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6 6.JUNIO\"/>
    </mc:Choice>
  </mc:AlternateContent>
  <xr:revisionPtr revIDLastSave="0" documentId="14_{FEFFE6BF-53BD-48D6-80E3-C2FF42D59465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Indice" sheetId="1" r:id="rId1"/>
    <sheet name="Deflactores" sheetId="2" state="hidden" r:id="rId2"/>
    <sheet name="C1 Aprop Resumen 2000-2026" sheetId="3" r:id="rId3"/>
    <sheet name="C2 Ejecución 00-18" sheetId="4" r:id="rId4"/>
    <sheet name="C3 Ejecución Nación 00-18" sheetId="5" r:id="rId5"/>
    <sheet name="C4 Ejecución Propios 00-18" sheetId="6" r:id="rId6"/>
    <sheet name="C5 Ejecución PGN 2019-2026" sheetId="7" r:id="rId7"/>
    <sheet name="C6 Ejec. Nac 19-26" sheetId="8" r:id="rId8"/>
    <sheet name="C7 Ejec. Prop 19-26" sheetId="9" r:id="rId9"/>
    <sheet name="C8 A Ejec. Sect. PGN 00-18" sheetId="10" r:id="rId10"/>
    <sheet name="C8 B Ejec. Sect. PGN 19-26" sheetId="11" r:id="rId11"/>
    <sheet name="C9 A Ejec. Sect. Nac 00-18" sheetId="12" r:id="rId12"/>
    <sheet name="C9 B Ejec. Sect. Nac 19-26" sheetId="13" r:id="rId13"/>
    <sheet name="C10 A Ejec. Sect Prop 00-18" sheetId="14" r:id="rId14"/>
    <sheet name="C10 B Ejec. Sect Prop 19-26" sheetId="15" r:id="rId15"/>
    <sheet name="C11 A Sec. Fto 00-18" sheetId="16" r:id="rId16"/>
    <sheet name="C11 B Sec. Fto 19-26" sheetId="17" r:id="rId17"/>
    <sheet name="C12 A Sec. Fto. Nac 00-18" sheetId="18" r:id="rId18"/>
    <sheet name="C12 B Sec. Fto. Nac 19-26" sheetId="19" r:id="rId19"/>
    <sheet name="C13 A Sec. Fto. Prop 00-18" sheetId="20" r:id="rId20"/>
    <sheet name="C13 B Sec. Fto. Prop 19-26" sheetId="21" r:id="rId21"/>
    <sheet name="C14 A Sec. Invsión 00-18" sheetId="22" r:id="rId22"/>
    <sheet name="C14 B Sec. Invsión 19-26" sheetId="23" r:id="rId23"/>
    <sheet name="C15 A Sec. Invsión Nac 00-18" sheetId="24" r:id="rId24"/>
    <sheet name="C15 B Sec. Invsión Nac 19-26" sheetId="25" r:id="rId25"/>
    <sheet name="C16 A Sec. Invsión Prop 00-18" sheetId="26" r:id="rId26"/>
    <sheet name="C16 B Sec. Invsión Prop 19-26" sheetId="27" r:id="rId27"/>
  </sheets>
  <definedNames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Fill" hidden="1">#REF!</definedName>
    <definedName name="_h35" hidden="1">{#N/A,#N/A,FALSE,"informes"}</definedName>
    <definedName name="_Key1" hidden="1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LPH2" hidden="1">#REF!</definedName>
    <definedName name="BLPH3" hidden="1">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L" hidden="1">{#N/A,#N/A,FALSE,"informes"}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fdha" hidden="1">{"INGRESOS DOLARES",#N/A,FALSE,"informes"}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ia" hidden="1">{#N/A,#N/A,FALSE,"informes"}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ENE" hidden="1">{"PAGOS DOLARES",#N/A,FALSE,"informes"}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hidden="1">{"trimestre",#N/A,FALSE,"TRIMESTRE"}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kghafdn" hidden="1">{"PAGOS DOLARES",#N/A,FALSE,"informes"}</definedName>
    <definedName name="SOL" hidden="1">{#N/A,#N/A,FALSE,"informes"}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TIM" hidden="1">{"PAGOS DOLARES",#N/A,FALSE,"informes"}</definedName>
    <definedName name="tony" hidden="1">{#N/A,#N/A,FALSE,"informes"}</definedName>
    <definedName name="TT" hidden="1">{"PAGOS DOLARES",#N/A,FALSE,"informes"}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knmryspo" hidden="1">{#N/A,#N/A,FALSE,"informes"}</definedName>
    <definedName name="VKNRSKNLRSJYÑKLNHJ" hidden="1">{"PAGOS DOLARES",#N/A,FALSE,"informes"}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9" i="27" l="1"/>
  <c r="K293" i="27"/>
  <c r="J293" i="27"/>
  <c r="K289" i="27"/>
  <c r="J289" i="27"/>
  <c r="K283" i="27"/>
  <c r="J283" i="27"/>
  <c r="K271" i="27"/>
  <c r="J271" i="27"/>
  <c r="K269" i="27"/>
  <c r="J269" i="27"/>
  <c r="C257" i="27"/>
  <c r="K255" i="27"/>
  <c r="K297" i="27" s="1"/>
  <c r="J255" i="27"/>
  <c r="J297" i="27" s="1"/>
  <c r="I255" i="27"/>
  <c r="I297" i="27" s="1"/>
  <c r="H255" i="27"/>
  <c r="H297" i="27" s="1"/>
  <c r="G255" i="27"/>
  <c r="G297" i="27" s="1"/>
  <c r="F255" i="27"/>
  <c r="F297" i="27" s="1"/>
  <c r="E255" i="27"/>
  <c r="E297" i="27" s="1"/>
  <c r="D255" i="27"/>
  <c r="D297" i="27" s="1"/>
  <c r="K254" i="27"/>
  <c r="K296" i="27" s="1"/>
  <c r="J254" i="27"/>
  <c r="J296" i="27" s="1"/>
  <c r="I254" i="27"/>
  <c r="I296" i="27" s="1"/>
  <c r="H254" i="27"/>
  <c r="H296" i="27" s="1"/>
  <c r="G254" i="27"/>
  <c r="G296" i="27" s="1"/>
  <c r="F254" i="27"/>
  <c r="F296" i="27" s="1"/>
  <c r="E254" i="27"/>
  <c r="E296" i="27" s="1"/>
  <c r="D254" i="27"/>
  <c r="D296" i="27" s="1"/>
  <c r="K253" i="27"/>
  <c r="J253" i="27"/>
  <c r="I253" i="27"/>
  <c r="I295" i="27" s="1"/>
  <c r="H253" i="27"/>
  <c r="H295" i="27" s="1"/>
  <c r="G253" i="27"/>
  <c r="G295" i="27" s="1"/>
  <c r="F253" i="27"/>
  <c r="F295" i="27" s="1"/>
  <c r="E253" i="27"/>
  <c r="E295" i="27" s="1"/>
  <c r="D253" i="27"/>
  <c r="D295" i="27" s="1"/>
  <c r="K252" i="27"/>
  <c r="K294" i="27" s="1"/>
  <c r="J252" i="27"/>
  <c r="J294" i="27" s="1"/>
  <c r="I252" i="27"/>
  <c r="I294" i="27" s="1"/>
  <c r="H252" i="27"/>
  <c r="H294" i="27" s="1"/>
  <c r="G252" i="27"/>
  <c r="G294" i="27" s="1"/>
  <c r="F252" i="27"/>
  <c r="F294" i="27" s="1"/>
  <c r="E252" i="27"/>
  <c r="E294" i="27" s="1"/>
  <c r="D252" i="27"/>
  <c r="D294" i="27" s="1"/>
  <c r="K251" i="27"/>
  <c r="J251" i="27"/>
  <c r="I251" i="27"/>
  <c r="I293" i="27" s="1"/>
  <c r="H251" i="27"/>
  <c r="H293" i="27" s="1"/>
  <c r="G251" i="27"/>
  <c r="G293" i="27" s="1"/>
  <c r="F251" i="27"/>
  <c r="F293" i="27" s="1"/>
  <c r="E251" i="27"/>
  <c r="E293" i="27" s="1"/>
  <c r="D251" i="27"/>
  <c r="D293" i="27" s="1"/>
  <c r="K250" i="27"/>
  <c r="K292" i="27" s="1"/>
  <c r="J250" i="27"/>
  <c r="J292" i="27" s="1"/>
  <c r="I250" i="27"/>
  <c r="I292" i="27" s="1"/>
  <c r="H250" i="27"/>
  <c r="H292" i="27" s="1"/>
  <c r="G250" i="27"/>
  <c r="G292" i="27" s="1"/>
  <c r="F250" i="27"/>
  <c r="F292" i="27" s="1"/>
  <c r="E250" i="27"/>
  <c r="E292" i="27" s="1"/>
  <c r="D250" i="27"/>
  <c r="D292" i="27" s="1"/>
  <c r="K249" i="27"/>
  <c r="J249" i="27"/>
  <c r="I249" i="27"/>
  <c r="I291" i="27" s="1"/>
  <c r="H249" i="27"/>
  <c r="H291" i="27" s="1"/>
  <c r="G249" i="27"/>
  <c r="G291" i="27" s="1"/>
  <c r="F249" i="27"/>
  <c r="F291" i="27" s="1"/>
  <c r="E249" i="27"/>
  <c r="E291" i="27" s="1"/>
  <c r="D249" i="27"/>
  <c r="D291" i="27" s="1"/>
  <c r="K248" i="27"/>
  <c r="K290" i="27" s="1"/>
  <c r="J248" i="27"/>
  <c r="J290" i="27" s="1"/>
  <c r="I248" i="27"/>
  <c r="I290" i="27" s="1"/>
  <c r="H248" i="27"/>
  <c r="H290" i="27" s="1"/>
  <c r="G248" i="27"/>
  <c r="G290" i="27" s="1"/>
  <c r="F248" i="27"/>
  <c r="F290" i="27" s="1"/>
  <c r="E248" i="27"/>
  <c r="E290" i="27" s="1"/>
  <c r="D248" i="27"/>
  <c r="D290" i="27" s="1"/>
  <c r="K247" i="27"/>
  <c r="J247" i="27"/>
  <c r="I247" i="27"/>
  <c r="I289" i="27" s="1"/>
  <c r="H247" i="27"/>
  <c r="H289" i="27" s="1"/>
  <c r="G247" i="27"/>
  <c r="G289" i="27" s="1"/>
  <c r="F247" i="27"/>
  <c r="F289" i="27" s="1"/>
  <c r="E247" i="27"/>
  <c r="E289" i="27" s="1"/>
  <c r="D247" i="27"/>
  <c r="D289" i="27" s="1"/>
  <c r="K246" i="27"/>
  <c r="K288" i="27" s="1"/>
  <c r="J246" i="27"/>
  <c r="J288" i="27" s="1"/>
  <c r="I246" i="27"/>
  <c r="I288" i="27" s="1"/>
  <c r="H246" i="27"/>
  <c r="H288" i="27" s="1"/>
  <c r="G246" i="27"/>
  <c r="G288" i="27" s="1"/>
  <c r="F246" i="27"/>
  <c r="F288" i="27" s="1"/>
  <c r="E246" i="27"/>
  <c r="E288" i="27" s="1"/>
  <c r="D246" i="27"/>
  <c r="D288" i="27" s="1"/>
  <c r="K245" i="27"/>
  <c r="J245" i="27"/>
  <c r="I245" i="27"/>
  <c r="I287" i="27" s="1"/>
  <c r="H245" i="27"/>
  <c r="H287" i="27" s="1"/>
  <c r="G245" i="27"/>
  <c r="G287" i="27" s="1"/>
  <c r="F245" i="27"/>
  <c r="F287" i="27" s="1"/>
  <c r="E245" i="27"/>
  <c r="E287" i="27" s="1"/>
  <c r="D245" i="27"/>
  <c r="D287" i="27" s="1"/>
  <c r="K244" i="27"/>
  <c r="K286" i="27" s="1"/>
  <c r="J244" i="27"/>
  <c r="J286" i="27" s="1"/>
  <c r="I244" i="27"/>
  <c r="I286" i="27" s="1"/>
  <c r="H244" i="27"/>
  <c r="H286" i="27" s="1"/>
  <c r="G244" i="27"/>
  <c r="G286" i="27" s="1"/>
  <c r="F244" i="27"/>
  <c r="F286" i="27" s="1"/>
  <c r="E244" i="27"/>
  <c r="E286" i="27" s="1"/>
  <c r="D244" i="27"/>
  <c r="D286" i="27" s="1"/>
  <c r="K243" i="27"/>
  <c r="J243" i="27"/>
  <c r="I243" i="27"/>
  <c r="I285" i="27" s="1"/>
  <c r="H243" i="27"/>
  <c r="H285" i="27" s="1"/>
  <c r="G243" i="27"/>
  <c r="G285" i="27" s="1"/>
  <c r="F243" i="27"/>
  <c r="F285" i="27" s="1"/>
  <c r="E243" i="27"/>
  <c r="E285" i="27" s="1"/>
  <c r="D243" i="27"/>
  <c r="D285" i="27" s="1"/>
  <c r="K242" i="27"/>
  <c r="K284" i="27" s="1"/>
  <c r="J242" i="27"/>
  <c r="J284" i="27" s="1"/>
  <c r="I242" i="27"/>
  <c r="I284" i="27" s="1"/>
  <c r="H242" i="27"/>
  <c r="H284" i="27" s="1"/>
  <c r="G242" i="27"/>
  <c r="G284" i="27" s="1"/>
  <c r="F242" i="27"/>
  <c r="F284" i="27" s="1"/>
  <c r="E242" i="27"/>
  <c r="E284" i="27" s="1"/>
  <c r="D242" i="27"/>
  <c r="D284" i="27" s="1"/>
  <c r="K241" i="27"/>
  <c r="J241" i="27"/>
  <c r="I241" i="27"/>
  <c r="I283" i="27" s="1"/>
  <c r="H241" i="27"/>
  <c r="H283" i="27" s="1"/>
  <c r="G241" i="27"/>
  <c r="G283" i="27" s="1"/>
  <c r="F241" i="27"/>
  <c r="F283" i="27" s="1"/>
  <c r="E241" i="27"/>
  <c r="E283" i="27" s="1"/>
  <c r="D241" i="27"/>
  <c r="D283" i="27" s="1"/>
  <c r="K240" i="27"/>
  <c r="K282" i="27" s="1"/>
  <c r="J240" i="27"/>
  <c r="J282" i="27" s="1"/>
  <c r="I240" i="27"/>
  <c r="I282" i="27" s="1"/>
  <c r="H240" i="27"/>
  <c r="H282" i="27" s="1"/>
  <c r="G240" i="27"/>
  <c r="G282" i="27" s="1"/>
  <c r="F240" i="27"/>
  <c r="F282" i="27" s="1"/>
  <c r="E240" i="27"/>
  <c r="E282" i="27" s="1"/>
  <c r="D240" i="27"/>
  <c r="D282" i="27" s="1"/>
  <c r="K239" i="27"/>
  <c r="J239" i="27"/>
  <c r="I239" i="27"/>
  <c r="I281" i="27" s="1"/>
  <c r="H239" i="27"/>
  <c r="H281" i="27" s="1"/>
  <c r="G239" i="27"/>
  <c r="G281" i="27" s="1"/>
  <c r="F239" i="27"/>
  <c r="F281" i="27" s="1"/>
  <c r="E239" i="27"/>
  <c r="E281" i="27" s="1"/>
  <c r="D239" i="27"/>
  <c r="D281" i="27" s="1"/>
  <c r="K238" i="27"/>
  <c r="K280" i="27" s="1"/>
  <c r="J238" i="27"/>
  <c r="J280" i="27" s="1"/>
  <c r="I238" i="27"/>
  <c r="I280" i="27" s="1"/>
  <c r="H238" i="27"/>
  <c r="H280" i="27" s="1"/>
  <c r="G238" i="27"/>
  <c r="G280" i="27" s="1"/>
  <c r="F238" i="27"/>
  <c r="F280" i="27" s="1"/>
  <c r="E238" i="27"/>
  <c r="E280" i="27" s="1"/>
  <c r="D238" i="27"/>
  <c r="D280" i="27" s="1"/>
  <c r="K237" i="27"/>
  <c r="J237" i="27"/>
  <c r="I237" i="27"/>
  <c r="I279" i="27" s="1"/>
  <c r="H237" i="27"/>
  <c r="H279" i="27" s="1"/>
  <c r="G237" i="27"/>
  <c r="G279" i="27" s="1"/>
  <c r="F237" i="27"/>
  <c r="F279" i="27" s="1"/>
  <c r="E237" i="27"/>
  <c r="E279" i="27" s="1"/>
  <c r="D237" i="27"/>
  <c r="D279" i="27" s="1"/>
  <c r="K236" i="27"/>
  <c r="K278" i="27" s="1"/>
  <c r="J236" i="27"/>
  <c r="J278" i="27" s="1"/>
  <c r="I236" i="27"/>
  <c r="I278" i="27" s="1"/>
  <c r="H236" i="27"/>
  <c r="H278" i="27" s="1"/>
  <c r="G236" i="27"/>
  <c r="G278" i="27" s="1"/>
  <c r="F236" i="27"/>
  <c r="F278" i="27" s="1"/>
  <c r="E236" i="27"/>
  <c r="E278" i="27" s="1"/>
  <c r="D236" i="27"/>
  <c r="D278" i="27" s="1"/>
  <c r="K235" i="27"/>
  <c r="J235" i="27"/>
  <c r="I235" i="27"/>
  <c r="I277" i="27" s="1"/>
  <c r="H235" i="27"/>
  <c r="H277" i="27" s="1"/>
  <c r="G235" i="27"/>
  <c r="G277" i="27" s="1"/>
  <c r="F235" i="27"/>
  <c r="F277" i="27" s="1"/>
  <c r="E235" i="27"/>
  <c r="E277" i="27" s="1"/>
  <c r="D235" i="27"/>
  <c r="D277" i="27" s="1"/>
  <c r="K234" i="27"/>
  <c r="K276" i="27" s="1"/>
  <c r="J234" i="27"/>
  <c r="J276" i="27" s="1"/>
  <c r="I234" i="27"/>
  <c r="I276" i="27" s="1"/>
  <c r="H234" i="27"/>
  <c r="H276" i="27" s="1"/>
  <c r="G234" i="27"/>
  <c r="G276" i="27" s="1"/>
  <c r="F234" i="27"/>
  <c r="F276" i="27" s="1"/>
  <c r="E234" i="27"/>
  <c r="E276" i="27" s="1"/>
  <c r="D234" i="27"/>
  <c r="D276" i="27" s="1"/>
  <c r="K233" i="27"/>
  <c r="J233" i="27"/>
  <c r="I233" i="27"/>
  <c r="I275" i="27" s="1"/>
  <c r="H233" i="27"/>
  <c r="H275" i="27" s="1"/>
  <c r="G233" i="27"/>
  <c r="G275" i="27" s="1"/>
  <c r="F233" i="27"/>
  <c r="F275" i="27" s="1"/>
  <c r="E233" i="27"/>
  <c r="E275" i="27" s="1"/>
  <c r="D233" i="27"/>
  <c r="D275" i="27" s="1"/>
  <c r="K232" i="27"/>
  <c r="K274" i="27" s="1"/>
  <c r="J232" i="27"/>
  <c r="J274" i="27" s="1"/>
  <c r="I232" i="27"/>
  <c r="I274" i="27" s="1"/>
  <c r="H232" i="27"/>
  <c r="H274" i="27" s="1"/>
  <c r="G232" i="27"/>
  <c r="G274" i="27" s="1"/>
  <c r="F232" i="27"/>
  <c r="F274" i="27" s="1"/>
  <c r="E232" i="27"/>
  <c r="E274" i="27" s="1"/>
  <c r="D232" i="27"/>
  <c r="D274" i="27" s="1"/>
  <c r="K231" i="27"/>
  <c r="J231" i="27"/>
  <c r="I231" i="27"/>
  <c r="I273" i="27" s="1"/>
  <c r="H231" i="27"/>
  <c r="H273" i="27" s="1"/>
  <c r="G231" i="27"/>
  <c r="G273" i="27" s="1"/>
  <c r="F231" i="27"/>
  <c r="F273" i="27" s="1"/>
  <c r="E231" i="27"/>
  <c r="E273" i="27" s="1"/>
  <c r="D231" i="27"/>
  <c r="D273" i="27" s="1"/>
  <c r="K230" i="27"/>
  <c r="K272" i="27" s="1"/>
  <c r="J230" i="27"/>
  <c r="J272" i="27" s="1"/>
  <c r="I230" i="27"/>
  <c r="I272" i="27" s="1"/>
  <c r="H230" i="27"/>
  <c r="H272" i="27" s="1"/>
  <c r="G230" i="27"/>
  <c r="G272" i="27" s="1"/>
  <c r="F230" i="27"/>
  <c r="F272" i="27" s="1"/>
  <c r="E230" i="27"/>
  <c r="E272" i="27" s="1"/>
  <c r="D230" i="27"/>
  <c r="D272" i="27" s="1"/>
  <c r="K229" i="27"/>
  <c r="J229" i="27"/>
  <c r="I229" i="27"/>
  <c r="I271" i="27" s="1"/>
  <c r="H229" i="27"/>
  <c r="H271" i="27" s="1"/>
  <c r="G229" i="27"/>
  <c r="G271" i="27" s="1"/>
  <c r="F229" i="27"/>
  <c r="F271" i="27" s="1"/>
  <c r="E229" i="27"/>
  <c r="E271" i="27" s="1"/>
  <c r="D229" i="27"/>
  <c r="D271" i="27" s="1"/>
  <c r="K228" i="27"/>
  <c r="K270" i="27" s="1"/>
  <c r="J228" i="27"/>
  <c r="J270" i="27" s="1"/>
  <c r="I228" i="27"/>
  <c r="I270" i="27" s="1"/>
  <c r="H228" i="27"/>
  <c r="H270" i="27" s="1"/>
  <c r="G228" i="27"/>
  <c r="G270" i="27" s="1"/>
  <c r="F228" i="27"/>
  <c r="F270" i="27" s="1"/>
  <c r="E228" i="27"/>
  <c r="E270" i="27" s="1"/>
  <c r="D228" i="27"/>
  <c r="D270" i="27" s="1"/>
  <c r="K227" i="27"/>
  <c r="J227" i="27"/>
  <c r="I227" i="27"/>
  <c r="I269" i="27" s="1"/>
  <c r="H227" i="27"/>
  <c r="H269" i="27" s="1"/>
  <c r="G227" i="27"/>
  <c r="G269" i="27" s="1"/>
  <c r="F227" i="27"/>
  <c r="F269" i="27" s="1"/>
  <c r="E227" i="27"/>
  <c r="E269" i="27" s="1"/>
  <c r="D227" i="27"/>
  <c r="D269" i="27" s="1"/>
  <c r="K226" i="27"/>
  <c r="K268" i="27" s="1"/>
  <c r="J226" i="27"/>
  <c r="J268" i="27" s="1"/>
  <c r="I226" i="27"/>
  <c r="I268" i="27" s="1"/>
  <c r="H226" i="27"/>
  <c r="H268" i="27" s="1"/>
  <c r="G226" i="27"/>
  <c r="G268" i="27" s="1"/>
  <c r="F226" i="27"/>
  <c r="F268" i="27" s="1"/>
  <c r="E226" i="27"/>
  <c r="E256" i="27" s="1"/>
  <c r="D226" i="27"/>
  <c r="D256" i="27" s="1"/>
  <c r="K225" i="27"/>
  <c r="J225" i="27"/>
  <c r="I225" i="27"/>
  <c r="I267" i="27" s="1"/>
  <c r="H225" i="27"/>
  <c r="H267" i="27" s="1"/>
  <c r="G225" i="27"/>
  <c r="G267" i="27" s="1"/>
  <c r="F225" i="27"/>
  <c r="F267" i="27" s="1"/>
  <c r="E225" i="27"/>
  <c r="E267" i="27" s="1"/>
  <c r="D225" i="27"/>
  <c r="D267" i="27" s="1"/>
  <c r="C216" i="27"/>
  <c r="E214" i="27"/>
  <c r="D214" i="27"/>
  <c r="H213" i="27"/>
  <c r="E213" i="27"/>
  <c r="H211" i="27"/>
  <c r="E211" i="27"/>
  <c r="E210" i="27"/>
  <c r="D210" i="27"/>
  <c r="H209" i="27"/>
  <c r="E209" i="27"/>
  <c r="H207" i="27"/>
  <c r="E207" i="27"/>
  <c r="E206" i="27"/>
  <c r="D206" i="27"/>
  <c r="H205" i="27"/>
  <c r="E205" i="27"/>
  <c r="I203" i="27"/>
  <c r="H203" i="27"/>
  <c r="E203" i="27"/>
  <c r="H201" i="27"/>
  <c r="E201" i="27"/>
  <c r="E200" i="27"/>
  <c r="D200" i="27"/>
  <c r="I199" i="27"/>
  <c r="H199" i="27"/>
  <c r="E199" i="27"/>
  <c r="I197" i="27"/>
  <c r="H197" i="27"/>
  <c r="E197" i="27"/>
  <c r="E196" i="27"/>
  <c r="D196" i="27"/>
  <c r="H195" i="27"/>
  <c r="E195" i="27"/>
  <c r="H193" i="27"/>
  <c r="E193" i="27"/>
  <c r="I191" i="27"/>
  <c r="H191" i="27"/>
  <c r="E191" i="27"/>
  <c r="H189" i="27"/>
  <c r="E189" i="27"/>
  <c r="E188" i="27"/>
  <c r="D188" i="27"/>
  <c r="H187" i="27"/>
  <c r="E187" i="27"/>
  <c r="E186" i="27"/>
  <c r="D186" i="27"/>
  <c r="H185" i="27"/>
  <c r="E185" i="27"/>
  <c r="C174" i="27"/>
  <c r="K172" i="27"/>
  <c r="K214" i="27" s="1"/>
  <c r="J172" i="27"/>
  <c r="J214" i="27" s="1"/>
  <c r="I172" i="27"/>
  <c r="I214" i="27" s="1"/>
  <c r="H172" i="27"/>
  <c r="H214" i="27" s="1"/>
  <c r="G172" i="27"/>
  <c r="G214" i="27" s="1"/>
  <c r="F172" i="27"/>
  <c r="F214" i="27" s="1"/>
  <c r="E172" i="27"/>
  <c r="D172" i="27"/>
  <c r="K171" i="27"/>
  <c r="K213" i="27" s="1"/>
  <c r="J171" i="27"/>
  <c r="J213" i="27" s="1"/>
  <c r="I171" i="27"/>
  <c r="H171" i="27"/>
  <c r="G171" i="27"/>
  <c r="G213" i="27" s="1"/>
  <c r="F171" i="27"/>
  <c r="F213" i="27" s="1"/>
  <c r="E171" i="27"/>
  <c r="D171" i="27"/>
  <c r="D213" i="27" s="1"/>
  <c r="K170" i="27"/>
  <c r="K212" i="27" s="1"/>
  <c r="J170" i="27"/>
  <c r="J212" i="27" s="1"/>
  <c r="I170" i="27"/>
  <c r="I212" i="27" s="1"/>
  <c r="H170" i="27"/>
  <c r="H212" i="27" s="1"/>
  <c r="G170" i="27"/>
  <c r="G212" i="27" s="1"/>
  <c r="F170" i="27"/>
  <c r="F212" i="27" s="1"/>
  <c r="E170" i="27"/>
  <c r="D170" i="27"/>
  <c r="K169" i="27"/>
  <c r="K211" i="27" s="1"/>
  <c r="J169" i="27"/>
  <c r="J211" i="27" s="1"/>
  <c r="I169" i="27"/>
  <c r="H169" i="27"/>
  <c r="G169" i="27"/>
  <c r="G211" i="27" s="1"/>
  <c r="F169" i="27"/>
  <c r="F211" i="27" s="1"/>
  <c r="E169" i="27"/>
  <c r="D169" i="27"/>
  <c r="D211" i="27" s="1"/>
  <c r="K168" i="27"/>
  <c r="K210" i="27" s="1"/>
  <c r="J168" i="27"/>
  <c r="J210" i="27" s="1"/>
  <c r="I168" i="27"/>
  <c r="I210" i="27" s="1"/>
  <c r="H168" i="27"/>
  <c r="H210" i="27" s="1"/>
  <c r="G168" i="27"/>
  <c r="G210" i="27" s="1"/>
  <c r="F168" i="27"/>
  <c r="F210" i="27" s="1"/>
  <c r="E168" i="27"/>
  <c r="D168" i="27"/>
  <c r="K167" i="27"/>
  <c r="K209" i="27" s="1"/>
  <c r="J167" i="27"/>
  <c r="J209" i="27" s="1"/>
  <c r="I167" i="27"/>
  <c r="H167" i="27"/>
  <c r="G167" i="27"/>
  <c r="G209" i="27" s="1"/>
  <c r="F167" i="27"/>
  <c r="F209" i="27" s="1"/>
  <c r="E167" i="27"/>
  <c r="D167" i="27"/>
  <c r="D209" i="27" s="1"/>
  <c r="K166" i="27"/>
  <c r="K208" i="27" s="1"/>
  <c r="J166" i="27"/>
  <c r="J208" i="27" s="1"/>
  <c r="I166" i="27"/>
  <c r="I208" i="27" s="1"/>
  <c r="H166" i="27"/>
  <c r="H208" i="27" s="1"/>
  <c r="G166" i="27"/>
  <c r="G208" i="27" s="1"/>
  <c r="F166" i="27"/>
  <c r="F208" i="27" s="1"/>
  <c r="E166" i="27"/>
  <c r="D166" i="27"/>
  <c r="K165" i="27"/>
  <c r="K207" i="27" s="1"/>
  <c r="J165" i="27"/>
  <c r="J207" i="27" s="1"/>
  <c r="I165" i="27"/>
  <c r="H165" i="27"/>
  <c r="G165" i="27"/>
  <c r="G207" i="27" s="1"/>
  <c r="F165" i="27"/>
  <c r="F207" i="27" s="1"/>
  <c r="E165" i="27"/>
  <c r="D165" i="27"/>
  <c r="D207" i="27" s="1"/>
  <c r="K164" i="27"/>
  <c r="K206" i="27" s="1"/>
  <c r="J164" i="27"/>
  <c r="J206" i="27" s="1"/>
  <c r="I164" i="27"/>
  <c r="I206" i="27" s="1"/>
  <c r="H164" i="27"/>
  <c r="H206" i="27" s="1"/>
  <c r="G164" i="27"/>
  <c r="G206" i="27" s="1"/>
  <c r="F164" i="27"/>
  <c r="F206" i="27" s="1"/>
  <c r="E164" i="27"/>
  <c r="D164" i="27"/>
  <c r="K163" i="27"/>
  <c r="K205" i="27" s="1"/>
  <c r="J163" i="27"/>
  <c r="J205" i="27" s="1"/>
  <c r="I163" i="27"/>
  <c r="H163" i="27"/>
  <c r="G163" i="27"/>
  <c r="G205" i="27" s="1"/>
  <c r="F163" i="27"/>
  <c r="F205" i="27" s="1"/>
  <c r="E163" i="27"/>
  <c r="D163" i="27"/>
  <c r="D205" i="27" s="1"/>
  <c r="K162" i="27"/>
  <c r="K204" i="27" s="1"/>
  <c r="J162" i="27"/>
  <c r="J204" i="27" s="1"/>
  <c r="I162" i="27"/>
  <c r="I204" i="27" s="1"/>
  <c r="H162" i="27"/>
  <c r="H204" i="27" s="1"/>
  <c r="G162" i="27"/>
  <c r="G204" i="27" s="1"/>
  <c r="F162" i="27"/>
  <c r="F204" i="27" s="1"/>
  <c r="E162" i="27"/>
  <c r="D162" i="27"/>
  <c r="K161" i="27"/>
  <c r="K203" i="27" s="1"/>
  <c r="J161" i="27"/>
  <c r="J203" i="27" s="1"/>
  <c r="I161" i="27"/>
  <c r="H161" i="27"/>
  <c r="G161" i="27"/>
  <c r="G203" i="27" s="1"/>
  <c r="F161" i="27"/>
  <c r="F203" i="27" s="1"/>
  <c r="E161" i="27"/>
  <c r="D161" i="27"/>
  <c r="D203" i="27" s="1"/>
  <c r="K160" i="27"/>
  <c r="K202" i="27" s="1"/>
  <c r="J160" i="27"/>
  <c r="J202" i="27" s="1"/>
  <c r="I160" i="27"/>
  <c r="I202" i="27" s="1"/>
  <c r="H160" i="27"/>
  <c r="H202" i="27" s="1"/>
  <c r="G160" i="27"/>
  <c r="G202" i="27" s="1"/>
  <c r="F160" i="27"/>
  <c r="F202" i="27" s="1"/>
  <c r="E160" i="27"/>
  <c r="D160" i="27"/>
  <c r="K159" i="27"/>
  <c r="K201" i="27" s="1"/>
  <c r="J159" i="27"/>
  <c r="J201" i="27" s="1"/>
  <c r="I159" i="27"/>
  <c r="H159" i="27"/>
  <c r="G159" i="27"/>
  <c r="G201" i="27" s="1"/>
  <c r="F159" i="27"/>
  <c r="F201" i="27" s="1"/>
  <c r="E159" i="27"/>
  <c r="D159" i="27"/>
  <c r="D201" i="27" s="1"/>
  <c r="K158" i="27"/>
  <c r="K200" i="27" s="1"/>
  <c r="J158" i="27"/>
  <c r="J200" i="27" s="1"/>
  <c r="I158" i="27"/>
  <c r="I200" i="27" s="1"/>
  <c r="H158" i="27"/>
  <c r="H200" i="27" s="1"/>
  <c r="G158" i="27"/>
  <c r="G200" i="27" s="1"/>
  <c r="F158" i="27"/>
  <c r="F200" i="27" s="1"/>
  <c r="E158" i="27"/>
  <c r="D158" i="27"/>
  <c r="K157" i="27"/>
  <c r="K199" i="27" s="1"/>
  <c r="J157" i="27"/>
  <c r="J199" i="27" s="1"/>
  <c r="I157" i="27"/>
  <c r="H157" i="27"/>
  <c r="G157" i="27"/>
  <c r="G199" i="27" s="1"/>
  <c r="F157" i="27"/>
  <c r="F199" i="27" s="1"/>
  <c r="E157" i="27"/>
  <c r="D157" i="27"/>
  <c r="D199" i="27" s="1"/>
  <c r="K156" i="27"/>
  <c r="K198" i="27" s="1"/>
  <c r="J156" i="27"/>
  <c r="J198" i="27" s="1"/>
  <c r="I156" i="27"/>
  <c r="I198" i="27" s="1"/>
  <c r="H156" i="27"/>
  <c r="H198" i="27" s="1"/>
  <c r="G156" i="27"/>
  <c r="G198" i="27" s="1"/>
  <c r="F156" i="27"/>
  <c r="F198" i="27" s="1"/>
  <c r="E156" i="27"/>
  <c r="D156" i="27"/>
  <c r="K155" i="27"/>
  <c r="K197" i="27" s="1"/>
  <c r="J155" i="27"/>
  <c r="J197" i="27" s="1"/>
  <c r="I155" i="27"/>
  <c r="H155" i="27"/>
  <c r="G155" i="27"/>
  <c r="G197" i="27" s="1"/>
  <c r="F155" i="27"/>
  <c r="F197" i="27" s="1"/>
  <c r="E155" i="27"/>
  <c r="D155" i="27"/>
  <c r="D197" i="27" s="1"/>
  <c r="K154" i="27"/>
  <c r="K196" i="27" s="1"/>
  <c r="J154" i="27"/>
  <c r="J196" i="27" s="1"/>
  <c r="I154" i="27"/>
  <c r="I196" i="27" s="1"/>
  <c r="H154" i="27"/>
  <c r="H196" i="27" s="1"/>
  <c r="G154" i="27"/>
  <c r="G196" i="27" s="1"/>
  <c r="F154" i="27"/>
  <c r="F196" i="27" s="1"/>
  <c r="E154" i="27"/>
  <c r="D154" i="27"/>
  <c r="K153" i="27"/>
  <c r="K195" i="27" s="1"/>
  <c r="J153" i="27"/>
  <c r="J195" i="27" s="1"/>
  <c r="I153" i="27"/>
  <c r="H153" i="27"/>
  <c r="G153" i="27"/>
  <c r="G195" i="27" s="1"/>
  <c r="F153" i="27"/>
  <c r="F195" i="27" s="1"/>
  <c r="E153" i="27"/>
  <c r="D153" i="27"/>
  <c r="D195" i="27" s="1"/>
  <c r="K152" i="27"/>
  <c r="K194" i="27" s="1"/>
  <c r="J152" i="27"/>
  <c r="J194" i="27" s="1"/>
  <c r="I152" i="27"/>
  <c r="I194" i="27" s="1"/>
  <c r="H152" i="27"/>
  <c r="H194" i="27" s="1"/>
  <c r="G152" i="27"/>
  <c r="G194" i="27" s="1"/>
  <c r="F152" i="27"/>
  <c r="F194" i="27" s="1"/>
  <c r="E152" i="27"/>
  <c r="D152" i="27"/>
  <c r="K151" i="27"/>
  <c r="K193" i="27" s="1"/>
  <c r="J151" i="27"/>
  <c r="J193" i="27" s="1"/>
  <c r="I151" i="27"/>
  <c r="H151" i="27"/>
  <c r="G151" i="27"/>
  <c r="G193" i="27" s="1"/>
  <c r="F151" i="27"/>
  <c r="F193" i="27" s="1"/>
  <c r="E151" i="27"/>
  <c r="D151" i="27"/>
  <c r="D193" i="27" s="1"/>
  <c r="K150" i="27"/>
  <c r="K192" i="27" s="1"/>
  <c r="J150" i="27"/>
  <c r="J192" i="27" s="1"/>
  <c r="I150" i="27"/>
  <c r="I192" i="27" s="1"/>
  <c r="H150" i="27"/>
  <c r="H192" i="27" s="1"/>
  <c r="G150" i="27"/>
  <c r="G192" i="27" s="1"/>
  <c r="F150" i="27"/>
  <c r="F192" i="27" s="1"/>
  <c r="E150" i="27"/>
  <c r="D150" i="27"/>
  <c r="K149" i="27"/>
  <c r="K191" i="27" s="1"/>
  <c r="J149" i="27"/>
  <c r="J191" i="27" s="1"/>
  <c r="I149" i="27"/>
  <c r="H149" i="27"/>
  <c r="G149" i="27"/>
  <c r="G191" i="27" s="1"/>
  <c r="F149" i="27"/>
  <c r="F191" i="27" s="1"/>
  <c r="E149" i="27"/>
  <c r="D149" i="27"/>
  <c r="D191" i="27" s="1"/>
  <c r="K148" i="27"/>
  <c r="K190" i="27" s="1"/>
  <c r="J148" i="27"/>
  <c r="J190" i="27" s="1"/>
  <c r="I148" i="27"/>
  <c r="I190" i="27" s="1"/>
  <c r="H148" i="27"/>
  <c r="H190" i="27" s="1"/>
  <c r="G148" i="27"/>
  <c r="G190" i="27" s="1"/>
  <c r="F148" i="27"/>
  <c r="F190" i="27" s="1"/>
  <c r="E148" i="27"/>
  <c r="D148" i="27"/>
  <c r="K147" i="27"/>
  <c r="K189" i="27" s="1"/>
  <c r="J147" i="27"/>
  <c r="J189" i="27" s="1"/>
  <c r="I147" i="27"/>
  <c r="H147" i="27"/>
  <c r="G147" i="27"/>
  <c r="G189" i="27" s="1"/>
  <c r="F147" i="27"/>
  <c r="F189" i="27" s="1"/>
  <c r="E147" i="27"/>
  <c r="D147" i="27"/>
  <c r="D189" i="27" s="1"/>
  <c r="K146" i="27"/>
  <c r="K188" i="27" s="1"/>
  <c r="J146" i="27"/>
  <c r="J188" i="27" s="1"/>
  <c r="I146" i="27"/>
  <c r="I188" i="27" s="1"/>
  <c r="H146" i="27"/>
  <c r="H188" i="27" s="1"/>
  <c r="G146" i="27"/>
  <c r="G188" i="27" s="1"/>
  <c r="F146" i="27"/>
  <c r="F188" i="27" s="1"/>
  <c r="E146" i="27"/>
  <c r="D146" i="27"/>
  <c r="K145" i="27"/>
  <c r="K187" i="27" s="1"/>
  <c r="J145" i="27"/>
  <c r="J187" i="27" s="1"/>
  <c r="I145" i="27"/>
  <c r="H145" i="27"/>
  <c r="G145" i="27"/>
  <c r="G187" i="27" s="1"/>
  <c r="F145" i="27"/>
  <c r="F187" i="27" s="1"/>
  <c r="E145" i="27"/>
  <c r="D145" i="27"/>
  <c r="D187" i="27" s="1"/>
  <c r="K144" i="27"/>
  <c r="K186" i="27" s="1"/>
  <c r="J144" i="27"/>
  <c r="J186" i="27" s="1"/>
  <c r="I144" i="27"/>
  <c r="I186" i="27" s="1"/>
  <c r="H144" i="27"/>
  <c r="H186" i="27" s="1"/>
  <c r="G144" i="27"/>
  <c r="G186" i="27" s="1"/>
  <c r="F144" i="27"/>
  <c r="F186" i="27" s="1"/>
  <c r="E144" i="27"/>
  <c r="D144" i="27"/>
  <c r="K143" i="27"/>
  <c r="K173" i="27" s="1"/>
  <c r="J143" i="27"/>
  <c r="J185" i="27" s="1"/>
  <c r="I143" i="27"/>
  <c r="H143" i="27"/>
  <c r="H173" i="27" s="1"/>
  <c r="G143" i="27"/>
  <c r="G173" i="27" s="1"/>
  <c r="F143" i="27"/>
  <c r="F185" i="27" s="1"/>
  <c r="E143" i="27"/>
  <c r="E173" i="27" s="1"/>
  <c r="D143" i="27"/>
  <c r="D185" i="27" s="1"/>
  <c r="K142" i="27"/>
  <c r="K184" i="27" s="1"/>
  <c r="J142" i="27"/>
  <c r="J184" i="27" s="1"/>
  <c r="I142" i="27"/>
  <c r="I184" i="27" s="1"/>
  <c r="H142" i="27"/>
  <c r="H184" i="27" s="1"/>
  <c r="G142" i="27"/>
  <c r="G184" i="27" s="1"/>
  <c r="F142" i="27"/>
  <c r="F184" i="27" s="1"/>
  <c r="E142" i="27"/>
  <c r="D142" i="27"/>
  <c r="C132" i="27"/>
  <c r="K130" i="27"/>
  <c r="J130" i="27"/>
  <c r="G130" i="27"/>
  <c r="G129" i="27"/>
  <c r="K128" i="27"/>
  <c r="J128" i="27"/>
  <c r="G128" i="27"/>
  <c r="G127" i="27"/>
  <c r="K126" i="27"/>
  <c r="J126" i="27"/>
  <c r="G126" i="27"/>
  <c r="G125" i="27"/>
  <c r="K124" i="27"/>
  <c r="J124" i="27"/>
  <c r="G124" i="27"/>
  <c r="G123" i="27"/>
  <c r="K122" i="27"/>
  <c r="J122" i="27"/>
  <c r="G122" i="27"/>
  <c r="G121" i="27"/>
  <c r="K120" i="27"/>
  <c r="J120" i="27"/>
  <c r="G120" i="27"/>
  <c r="I119" i="27"/>
  <c r="G119" i="27"/>
  <c r="K118" i="27"/>
  <c r="J118" i="27"/>
  <c r="G118" i="27"/>
  <c r="G117" i="27"/>
  <c r="K116" i="27"/>
  <c r="J116" i="27"/>
  <c r="G116" i="27"/>
  <c r="I115" i="27"/>
  <c r="G115" i="27"/>
  <c r="K114" i="27"/>
  <c r="J114" i="27"/>
  <c r="G114" i="27"/>
  <c r="I113" i="27"/>
  <c r="G113" i="27"/>
  <c r="K112" i="27"/>
  <c r="J112" i="27"/>
  <c r="G112" i="27"/>
  <c r="G111" i="27"/>
  <c r="K110" i="27"/>
  <c r="J110" i="27"/>
  <c r="G110" i="27"/>
  <c r="G109" i="27"/>
  <c r="K108" i="27"/>
  <c r="J108" i="27"/>
  <c r="G108" i="27"/>
  <c r="I107" i="27"/>
  <c r="G107" i="27"/>
  <c r="K106" i="27"/>
  <c r="J106" i="27"/>
  <c r="G106" i="27"/>
  <c r="G105" i="27"/>
  <c r="K104" i="27"/>
  <c r="J104" i="27"/>
  <c r="G104" i="27"/>
  <c r="G103" i="27"/>
  <c r="K102" i="27"/>
  <c r="J102" i="27"/>
  <c r="G102" i="27"/>
  <c r="G101" i="27"/>
  <c r="K100" i="27"/>
  <c r="J100" i="27"/>
  <c r="G100" i="27"/>
  <c r="C90" i="27"/>
  <c r="K88" i="27"/>
  <c r="J88" i="27"/>
  <c r="I88" i="27"/>
  <c r="I130" i="27" s="1"/>
  <c r="H88" i="27"/>
  <c r="H130" i="27" s="1"/>
  <c r="G88" i="27"/>
  <c r="F88" i="27"/>
  <c r="F130" i="27" s="1"/>
  <c r="E88" i="27"/>
  <c r="E130" i="27" s="1"/>
  <c r="D88" i="27"/>
  <c r="D130" i="27" s="1"/>
  <c r="K87" i="27"/>
  <c r="K129" i="27" s="1"/>
  <c r="J87" i="27"/>
  <c r="J129" i="27" s="1"/>
  <c r="I87" i="27"/>
  <c r="H87" i="27"/>
  <c r="H129" i="27" s="1"/>
  <c r="G87" i="27"/>
  <c r="F87" i="27"/>
  <c r="F129" i="27" s="1"/>
  <c r="E87" i="27"/>
  <c r="E129" i="27" s="1"/>
  <c r="D87" i="27"/>
  <c r="D129" i="27" s="1"/>
  <c r="K86" i="27"/>
  <c r="J86" i="27"/>
  <c r="I86" i="27"/>
  <c r="I128" i="27" s="1"/>
  <c r="H86" i="27"/>
  <c r="H128" i="27" s="1"/>
  <c r="G86" i="27"/>
  <c r="F86" i="27"/>
  <c r="F128" i="27" s="1"/>
  <c r="E86" i="27"/>
  <c r="E128" i="27" s="1"/>
  <c r="D86" i="27"/>
  <c r="D128" i="27" s="1"/>
  <c r="K85" i="27"/>
  <c r="K127" i="27" s="1"/>
  <c r="J85" i="27"/>
  <c r="J127" i="27" s="1"/>
  <c r="I85" i="27"/>
  <c r="H85" i="27"/>
  <c r="H127" i="27" s="1"/>
  <c r="G85" i="27"/>
  <c r="F85" i="27"/>
  <c r="F127" i="27" s="1"/>
  <c r="E85" i="27"/>
  <c r="E127" i="27" s="1"/>
  <c r="D85" i="27"/>
  <c r="D127" i="27" s="1"/>
  <c r="K84" i="27"/>
  <c r="J84" i="27"/>
  <c r="I84" i="27"/>
  <c r="I126" i="27" s="1"/>
  <c r="H84" i="27"/>
  <c r="H126" i="27" s="1"/>
  <c r="G84" i="27"/>
  <c r="F84" i="27"/>
  <c r="F126" i="27" s="1"/>
  <c r="E84" i="27"/>
  <c r="E126" i="27" s="1"/>
  <c r="D84" i="27"/>
  <c r="D126" i="27" s="1"/>
  <c r="K83" i="27"/>
  <c r="K125" i="27" s="1"/>
  <c r="J83" i="27"/>
  <c r="J125" i="27" s="1"/>
  <c r="I83" i="27"/>
  <c r="H83" i="27"/>
  <c r="H125" i="27" s="1"/>
  <c r="G83" i="27"/>
  <c r="F83" i="27"/>
  <c r="F125" i="27" s="1"/>
  <c r="E83" i="27"/>
  <c r="E125" i="27" s="1"/>
  <c r="D83" i="27"/>
  <c r="D125" i="27" s="1"/>
  <c r="K82" i="27"/>
  <c r="J82" i="27"/>
  <c r="I82" i="27"/>
  <c r="I124" i="27" s="1"/>
  <c r="H82" i="27"/>
  <c r="H124" i="27" s="1"/>
  <c r="G82" i="27"/>
  <c r="F82" i="27"/>
  <c r="F124" i="27" s="1"/>
  <c r="E82" i="27"/>
  <c r="E124" i="27" s="1"/>
  <c r="D82" i="27"/>
  <c r="D124" i="27" s="1"/>
  <c r="K81" i="27"/>
  <c r="K123" i="27" s="1"/>
  <c r="J81" i="27"/>
  <c r="J123" i="27" s="1"/>
  <c r="I81" i="27"/>
  <c r="H81" i="27"/>
  <c r="H123" i="27" s="1"/>
  <c r="G81" i="27"/>
  <c r="F81" i="27"/>
  <c r="F123" i="27" s="1"/>
  <c r="E81" i="27"/>
  <c r="E123" i="27" s="1"/>
  <c r="D81" i="27"/>
  <c r="D123" i="27" s="1"/>
  <c r="K80" i="27"/>
  <c r="J80" i="27"/>
  <c r="I80" i="27"/>
  <c r="I122" i="27" s="1"/>
  <c r="H80" i="27"/>
  <c r="H122" i="27" s="1"/>
  <c r="G80" i="27"/>
  <c r="F80" i="27"/>
  <c r="F122" i="27" s="1"/>
  <c r="E80" i="27"/>
  <c r="E122" i="27" s="1"/>
  <c r="D80" i="27"/>
  <c r="D122" i="27" s="1"/>
  <c r="K79" i="27"/>
  <c r="K121" i="27" s="1"/>
  <c r="J79" i="27"/>
  <c r="J121" i="27" s="1"/>
  <c r="I79" i="27"/>
  <c r="H79" i="27"/>
  <c r="H121" i="27" s="1"/>
  <c r="G79" i="27"/>
  <c r="F79" i="27"/>
  <c r="F121" i="27" s="1"/>
  <c r="E79" i="27"/>
  <c r="E121" i="27" s="1"/>
  <c r="D79" i="27"/>
  <c r="D121" i="27" s="1"/>
  <c r="K78" i="27"/>
  <c r="J78" i="27"/>
  <c r="I78" i="27"/>
  <c r="I120" i="27" s="1"/>
  <c r="H78" i="27"/>
  <c r="H120" i="27" s="1"/>
  <c r="G78" i="27"/>
  <c r="F78" i="27"/>
  <c r="F120" i="27" s="1"/>
  <c r="E78" i="27"/>
  <c r="E120" i="27" s="1"/>
  <c r="D78" i="27"/>
  <c r="D120" i="27" s="1"/>
  <c r="K77" i="27"/>
  <c r="K119" i="27" s="1"/>
  <c r="J77" i="27"/>
  <c r="J119" i="27" s="1"/>
  <c r="I77" i="27"/>
  <c r="H77" i="27"/>
  <c r="H119" i="27" s="1"/>
  <c r="G77" i="27"/>
  <c r="F77" i="27"/>
  <c r="F119" i="27" s="1"/>
  <c r="E77" i="27"/>
  <c r="E119" i="27" s="1"/>
  <c r="D77" i="27"/>
  <c r="D119" i="27" s="1"/>
  <c r="K76" i="27"/>
  <c r="J76" i="27"/>
  <c r="I76" i="27"/>
  <c r="I118" i="27" s="1"/>
  <c r="H76" i="27"/>
  <c r="H118" i="27" s="1"/>
  <c r="G76" i="27"/>
  <c r="F76" i="27"/>
  <c r="F118" i="27" s="1"/>
  <c r="E76" i="27"/>
  <c r="E118" i="27" s="1"/>
  <c r="D76" i="27"/>
  <c r="D118" i="27" s="1"/>
  <c r="K75" i="27"/>
  <c r="K117" i="27" s="1"/>
  <c r="J75" i="27"/>
  <c r="J117" i="27" s="1"/>
  <c r="I75" i="27"/>
  <c r="H75" i="27"/>
  <c r="H117" i="27" s="1"/>
  <c r="G75" i="27"/>
  <c r="F75" i="27"/>
  <c r="F117" i="27" s="1"/>
  <c r="E75" i="27"/>
  <c r="E117" i="27" s="1"/>
  <c r="D75" i="27"/>
  <c r="D117" i="27" s="1"/>
  <c r="K74" i="27"/>
  <c r="J74" i="27"/>
  <c r="I74" i="27"/>
  <c r="I116" i="27" s="1"/>
  <c r="H74" i="27"/>
  <c r="H116" i="27" s="1"/>
  <c r="G74" i="27"/>
  <c r="F74" i="27"/>
  <c r="F116" i="27" s="1"/>
  <c r="E74" i="27"/>
  <c r="E116" i="27" s="1"/>
  <c r="D74" i="27"/>
  <c r="D116" i="27" s="1"/>
  <c r="K73" i="27"/>
  <c r="K115" i="27" s="1"/>
  <c r="J73" i="27"/>
  <c r="J115" i="27" s="1"/>
  <c r="I73" i="27"/>
  <c r="H73" i="27"/>
  <c r="H115" i="27" s="1"/>
  <c r="G73" i="27"/>
  <c r="F73" i="27"/>
  <c r="F115" i="27" s="1"/>
  <c r="E73" i="27"/>
  <c r="E115" i="27" s="1"/>
  <c r="D73" i="27"/>
  <c r="D115" i="27" s="1"/>
  <c r="K72" i="27"/>
  <c r="J72" i="27"/>
  <c r="I72" i="27"/>
  <c r="I114" i="27" s="1"/>
  <c r="H72" i="27"/>
  <c r="H114" i="27" s="1"/>
  <c r="G72" i="27"/>
  <c r="F72" i="27"/>
  <c r="F114" i="27" s="1"/>
  <c r="E72" i="27"/>
  <c r="E114" i="27" s="1"/>
  <c r="D72" i="27"/>
  <c r="D114" i="27" s="1"/>
  <c r="K71" i="27"/>
  <c r="K113" i="27" s="1"/>
  <c r="J71" i="27"/>
  <c r="J113" i="27" s="1"/>
  <c r="I71" i="27"/>
  <c r="H71" i="27"/>
  <c r="H113" i="27" s="1"/>
  <c r="G71" i="27"/>
  <c r="F71" i="27"/>
  <c r="F113" i="27" s="1"/>
  <c r="E71" i="27"/>
  <c r="E113" i="27" s="1"/>
  <c r="D71" i="27"/>
  <c r="D113" i="27" s="1"/>
  <c r="K70" i="27"/>
  <c r="J70" i="27"/>
  <c r="I70" i="27"/>
  <c r="I112" i="27" s="1"/>
  <c r="H70" i="27"/>
  <c r="H112" i="27" s="1"/>
  <c r="G70" i="27"/>
  <c r="F70" i="27"/>
  <c r="F112" i="27" s="1"/>
  <c r="E70" i="27"/>
  <c r="E112" i="27" s="1"/>
  <c r="D70" i="27"/>
  <c r="D112" i="27" s="1"/>
  <c r="K69" i="27"/>
  <c r="K111" i="27" s="1"/>
  <c r="J69" i="27"/>
  <c r="J111" i="27" s="1"/>
  <c r="I69" i="27"/>
  <c r="H69" i="27"/>
  <c r="H111" i="27" s="1"/>
  <c r="G69" i="27"/>
  <c r="F69" i="27"/>
  <c r="F111" i="27" s="1"/>
  <c r="E69" i="27"/>
  <c r="E111" i="27" s="1"/>
  <c r="D69" i="27"/>
  <c r="D111" i="27" s="1"/>
  <c r="K68" i="27"/>
  <c r="J68" i="27"/>
  <c r="I68" i="27"/>
  <c r="I110" i="27" s="1"/>
  <c r="H68" i="27"/>
  <c r="H110" i="27" s="1"/>
  <c r="G68" i="27"/>
  <c r="F68" i="27"/>
  <c r="F110" i="27" s="1"/>
  <c r="E68" i="27"/>
  <c r="E110" i="27" s="1"/>
  <c r="D68" i="27"/>
  <c r="D110" i="27" s="1"/>
  <c r="K67" i="27"/>
  <c r="K109" i="27" s="1"/>
  <c r="J67" i="27"/>
  <c r="J109" i="27" s="1"/>
  <c r="I67" i="27"/>
  <c r="H67" i="27"/>
  <c r="H109" i="27" s="1"/>
  <c r="G67" i="27"/>
  <c r="F67" i="27"/>
  <c r="F109" i="27" s="1"/>
  <c r="E67" i="27"/>
  <c r="E109" i="27" s="1"/>
  <c r="D67" i="27"/>
  <c r="D109" i="27" s="1"/>
  <c r="K66" i="27"/>
  <c r="J66" i="27"/>
  <c r="I66" i="27"/>
  <c r="I108" i="27" s="1"/>
  <c r="H66" i="27"/>
  <c r="H108" i="27" s="1"/>
  <c r="G66" i="27"/>
  <c r="F66" i="27"/>
  <c r="F108" i="27" s="1"/>
  <c r="E66" i="27"/>
  <c r="E108" i="27" s="1"/>
  <c r="D66" i="27"/>
  <c r="D108" i="27" s="1"/>
  <c r="K65" i="27"/>
  <c r="K107" i="27" s="1"/>
  <c r="J65" i="27"/>
  <c r="J107" i="27" s="1"/>
  <c r="I65" i="27"/>
  <c r="H65" i="27"/>
  <c r="H107" i="27" s="1"/>
  <c r="G65" i="27"/>
  <c r="F65" i="27"/>
  <c r="F107" i="27" s="1"/>
  <c r="E65" i="27"/>
  <c r="E107" i="27" s="1"/>
  <c r="D65" i="27"/>
  <c r="D107" i="27" s="1"/>
  <c r="K64" i="27"/>
  <c r="J64" i="27"/>
  <c r="I64" i="27"/>
  <c r="I106" i="27" s="1"/>
  <c r="H64" i="27"/>
  <c r="H106" i="27" s="1"/>
  <c r="G64" i="27"/>
  <c r="F64" i="27"/>
  <c r="F106" i="27" s="1"/>
  <c r="E64" i="27"/>
  <c r="E106" i="27" s="1"/>
  <c r="D64" i="27"/>
  <c r="D106" i="27" s="1"/>
  <c r="K63" i="27"/>
  <c r="K105" i="27" s="1"/>
  <c r="J63" i="27"/>
  <c r="J105" i="27" s="1"/>
  <c r="I63" i="27"/>
  <c r="H63" i="27"/>
  <c r="H105" i="27" s="1"/>
  <c r="G63" i="27"/>
  <c r="F63" i="27"/>
  <c r="F105" i="27" s="1"/>
  <c r="E63" i="27"/>
  <c r="E105" i="27" s="1"/>
  <c r="D63" i="27"/>
  <c r="D105" i="27" s="1"/>
  <c r="K62" i="27"/>
  <c r="J62" i="27"/>
  <c r="I62" i="27"/>
  <c r="I104" i="27" s="1"/>
  <c r="H62" i="27"/>
  <c r="H104" i="27" s="1"/>
  <c r="G62" i="27"/>
  <c r="F62" i="27"/>
  <c r="F104" i="27" s="1"/>
  <c r="E62" i="27"/>
  <c r="E104" i="27" s="1"/>
  <c r="D62" i="27"/>
  <c r="D104" i="27" s="1"/>
  <c r="K61" i="27"/>
  <c r="K103" i="27" s="1"/>
  <c r="J61" i="27"/>
  <c r="J103" i="27" s="1"/>
  <c r="I61" i="27"/>
  <c r="H61" i="27"/>
  <c r="H103" i="27" s="1"/>
  <c r="G61" i="27"/>
  <c r="F61" i="27"/>
  <c r="F103" i="27" s="1"/>
  <c r="E61" i="27"/>
  <c r="E103" i="27" s="1"/>
  <c r="D61" i="27"/>
  <c r="D103" i="27" s="1"/>
  <c r="K60" i="27"/>
  <c r="J60" i="27"/>
  <c r="I60" i="27"/>
  <c r="I102" i="27" s="1"/>
  <c r="H60" i="27"/>
  <c r="H102" i="27" s="1"/>
  <c r="G60" i="27"/>
  <c r="F60" i="27"/>
  <c r="F102" i="27" s="1"/>
  <c r="E60" i="27"/>
  <c r="E102" i="27" s="1"/>
  <c r="D60" i="27"/>
  <c r="D102" i="27" s="1"/>
  <c r="K59" i="27"/>
  <c r="K101" i="27" s="1"/>
  <c r="J59" i="27"/>
  <c r="J101" i="27" s="1"/>
  <c r="I59" i="27"/>
  <c r="H59" i="27"/>
  <c r="H89" i="27" s="1"/>
  <c r="G59" i="27"/>
  <c r="F59" i="27"/>
  <c r="F89" i="27" s="1"/>
  <c r="E59" i="27"/>
  <c r="E89" i="27" s="1"/>
  <c r="D59" i="27"/>
  <c r="D101" i="27" s="1"/>
  <c r="K58" i="27"/>
  <c r="J58" i="27"/>
  <c r="J89" i="27" s="1"/>
  <c r="I58" i="27"/>
  <c r="I89" i="27" s="1"/>
  <c r="H58" i="27"/>
  <c r="H100" i="27" s="1"/>
  <c r="G58" i="27"/>
  <c r="G89" i="27" s="1"/>
  <c r="F58" i="27"/>
  <c r="F100" i="27" s="1"/>
  <c r="E58" i="27"/>
  <c r="E100" i="27" s="1"/>
  <c r="D58" i="27"/>
  <c r="D100" i="27" s="1"/>
  <c r="C47" i="27"/>
  <c r="K45" i="27"/>
  <c r="J45" i="27"/>
  <c r="I45" i="27"/>
  <c r="H45" i="27"/>
  <c r="G45" i="27"/>
  <c r="F45" i="27"/>
  <c r="E45" i="27"/>
  <c r="D45" i="27"/>
  <c r="K44" i="27"/>
  <c r="J44" i="27"/>
  <c r="I44" i="27"/>
  <c r="I129" i="27" s="1"/>
  <c r="H44" i="27"/>
  <c r="G44" i="27"/>
  <c r="F44" i="27"/>
  <c r="E44" i="27"/>
  <c r="D44" i="27"/>
  <c r="K43" i="27"/>
  <c r="K295" i="27" s="1"/>
  <c r="J43" i="27"/>
  <c r="J295" i="27" s="1"/>
  <c r="I43" i="27"/>
  <c r="H43" i="27"/>
  <c r="G43" i="27"/>
  <c r="F43" i="27"/>
  <c r="E43" i="27"/>
  <c r="E212" i="27" s="1"/>
  <c r="D43" i="27"/>
  <c r="D212" i="27" s="1"/>
  <c r="K42" i="27"/>
  <c r="J42" i="27"/>
  <c r="I42" i="27"/>
  <c r="I127" i="27" s="1"/>
  <c r="H42" i="27"/>
  <c r="G42" i="27"/>
  <c r="F42" i="27"/>
  <c r="E42" i="27"/>
  <c r="D42" i="27"/>
  <c r="K41" i="27"/>
  <c r="J41" i="27"/>
  <c r="I41" i="27"/>
  <c r="H41" i="27"/>
  <c r="G41" i="27"/>
  <c r="F41" i="27"/>
  <c r="E41" i="27"/>
  <c r="D41" i="27"/>
  <c r="K40" i="27"/>
  <c r="J40" i="27"/>
  <c r="I40" i="27"/>
  <c r="I125" i="27" s="1"/>
  <c r="H40" i="27"/>
  <c r="G40" i="27"/>
  <c r="F40" i="27"/>
  <c r="E40" i="27"/>
  <c r="D40" i="27"/>
  <c r="K39" i="27"/>
  <c r="K291" i="27" s="1"/>
  <c r="J39" i="27"/>
  <c r="J291" i="27" s="1"/>
  <c r="I39" i="27"/>
  <c r="H39" i="27"/>
  <c r="G39" i="27"/>
  <c r="F39" i="27"/>
  <c r="E39" i="27"/>
  <c r="E208" i="27" s="1"/>
  <c r="D39" i="27"/>
  <c r="D208" i="27" s="1"/>
  <c r="K38" i="27"/>
  <c r="J38" i="27"/>
  <c r="I38" i="27"/>
  <c r="I123" i="27" s="1"/>
  <c r="H38" i="27"/>
  <c r="G38" i="27"/>
  <c r="F38" i="27"/>
  <c r="E38" i="27"/>
  <c r="D38" i="27"/>
  <c r="K37" i="27"/>
  <c r="J37" i="27"/>
  <c r="I37" i="27"/>
  <c r="H37" i="27"/>
  <c r="G37" i="27"/>
  <c r="F37" i="27"/>
  <c r="E37" i="27"/>
  <c r="D37" i="27"/>
  <c r="K36" i="27"/>
  <c r="J36" i="27"/>
  <c r="I36" i="27"/>
  <c r="I121" i="27" s="1"/>
  <c r="H36" i="27"/>
  <c r="G36" i="27"/>
  <c r="F36" i="27"/>
  <c r="E36" i="27"/>
  <c r="D36" i="27"/>
  <c r="K35" i="27"/>
  <c r="K287" i="27" s="1"/>
  <c r="J35" i="27"/>
  <c r="J287" i="27" s="1"/>
  <c r="I35" i="27"/>
  <c r="H35" i="27"/>
  <c r="G35" i="27"/>
  <c r="F35" i="27"/>
  <c r="E35" i="27"/>
  <c r="E204" i="27" s="1"/>
  <c r="D35" i="27"/>
  <c r="D204" i="27" s="1"/>
  <c r="K34" i="27"/>
  <c r="J34" i="27"/>
  <c r="I34" i="27"/>
  <c r="H34" i="27"/>
  <c r="G34" i="27"/>
  <c r="F34" i="27"/>
  <c r="E34" i="27"/>
  <c r="D34" i="27"/>
  <c r="K33" i="27"/>
  <c r="K285" i="27" s="1"/>
  <c r="J33" i="27"/>
  <c r="J285" i="27" s="1"/>
  <c r="I33" i="27"/>
  <c r="H33" i="27"/>
  <c r="G33" i="27"/>
  <c r="F33" i="27"/>
  <c r="E33" i="27"/>
  <c r="E202" i="27" s="1"/>
  <c r="D33" i="27"/>
  <c r="D202" i="27" s="1"/>
  <c r="K32" i="27"/>
  <c r="J32" i="27"/>
  <c r="I32" i="27"/>
  <c r="I117" i="27" s="1"/>
  <c r="H32" i="27"/>
  <c r="G32" i="27"/>
  <c r="F32" i="27"/>
  <c r="E32" i="27"/>
  <c r="D32" i="27"/>
  <c r="K31" i="27"/>
  <c r="J31" i="27"/>
  <c r="I31" i="27"/>
  <c r="H31" i="27"/>
  <c r="G31" i="27"/>
  <c r="F31" i="27"/>
  <c r="E31" i="27"/>
  <c r="D31" i="27"/>
  <c r="K30" i="27"/>
  <c r="J30" i="27"/>
  <c r="I30" i="27"/>
  <c r="H30" i="27"/>
  <c r="G30" i="27"/>
  <c r="F30" i="27"/>
  <c r="E30" i="27"/>
  <c r="D30" i="27"/>
  <c r="K29" i="27"/>
  <c r="K281" i="27" s="1"/>
  <c r="J29" i="27"/>
  <c r="J281" i="27" s="1"/>
  <c r="I29" i="27"/>
  <c r="H29" i="27"/>
  <c r="G29" i="27"/>
  <c r="F29" i="27"/>
  <c r="E29" i="27"/>
  <c r="E198" i="27" s="1"/>
  <c r="D29" i="27"/>
  <c r="D198" i="27" s="1"/>
  <c r="K28" i="27"/>
  <c r="J28" i="27"/>
  <c r="I28" i="27"/>
  <c r="H28" i="27"/>
  <c r="G28" i="27"/>
  <c r="F28" i="27"/>
  <c r="E28" i="27"/>
  <c r="D28" i="27"/>
  <c r="K27" i="27"/>
  <c r="K279" i="27" s="1"/>
  <c r="J27" i="27"/>
  <c r="J279" i="27" s="1"/>
  <c r="I27" i="27"/>
  <c r="H27" i="27"/>
  <c r="G27" i="27"/>
  <c r="F27" i="27"/>
  <c r="E27" i="27"/>
  <c r="D27" i="27"/>
  <c r="K26" i="27"/>
  <c r="J26" i="27"/>
  <c r="I26" i="27"/>
  <c r="I111" i="27" s="1"/>
  <c r="H26" i="27"/>
  <c r="G26" i="27"/>
  <c r="F26" i="27"/>
  <c r="E26" i="27"/>
  <c r="D26" i="27"/>
  <c r="K25" i="27"/>
  <c r="K277" i="27" s="1"/>
  <c r="J25" i="27"/>
  <c r="J277" i="27" s="1"/>
  <c r="I25" i="27"/>
  <c r="H25" i="27"/>
  <c r="G25" i="27"/>
  <c r="F25" i="27"/>
  <c r="E25" i="27"/>
  <c r="E194" i="27" s="1"/>
  <c r="D25" i="27"/>
  <c r="D194" i="27" s="1"/>
  <c r="K24" i="27"/>
  <c r="J24" i="27"/>
  <c r="I24" i="27"/>
  <c r="I109" i="27" s="1"/>
  <c r="H24" i="27"/>
  <c r="G24" i="27"/>
  <c r="F24" i="27"/>
  <c r="E24" i="27"/>
  <c r="D24" i="27"/>
  <c r="K23" i="27"/>
  <c r="K275" i="27" s="1"/>
  <c r="J23" i="27"/>
  <c r="J275" i="27" s="1"/>
  <c r="I23" i="27"/>
  <c r="H23" i="27"/>
  <c r="G23" i="27"/>
  <c r="F23" i="27"/>
  <c r="E23" i="27"/>
  <c r="E192" i="27" s="1"/>
  <c r="D23" i="27"/>
  <c r="D192" i="27" s="1"/>
  <c r="K22" i="27"/>
  <c r="J22" i="27"/>
  <c r="I22" i="27"/>
  <c r="H22" i="27"/>
  <c r="G22" i="27"/>
  <c r="F22" i="27"/>
  <c r="E22" i="27"/>
  <c r="D22" i="27"/>
  <c r="K21" i="27"/>
  <c r="K273" i="27" s="1"/>
  <c r="J21" i="27"/>
  <c r="J273" i="27" s="1"/>
  <c r="I21" i="27"/>
  <c r="H21" i="27"/>
  <c r="G21" i="27"/>
  <c r="F21" i="27"/>
  <c r="E21" i="27"/>
  <c r="E190" i="27" s="1"/>
  <c r="D21" i="27"/>
  <c r="D190" i="27" s="1"/>
  <c r="K20" i="27"/>
  <c r="J20" i="27"/>
  <c r="I20" i="27"/>
  <c r="I105" i="27" s="1"/>
  <c r="H20" i="27"/>
  <c r="G20" i="27"/>
  <c r="F20" i="27"/>
  <c r="E20" i="27"/>
  <c r="D20" i="27"/>
  <c r="K19" i="27"/>
  <c r="J19" i="27"/>
  <c r="I19" i="27"/>
  <c r="H19" i="27"/>
  <c r="G19" i="27"/>
  <c r="F19" i="27"/>
  <c r="E19" i="27"/>
  <c r="D19" i="27"/>
  <c r="K18" i="27"/>
  <c r="J18" i="27"/>
  <c r="I18" i="27"/>
  <c r="I103" i="27" s="1"/>
  <c r="H18" i="27"/>
  <c r="G18" i="27"/>
  <c r="F18" i="27"/>
  <c r="E18" i="27"/>
  <c r="D18" i="27"/>
  <c r="K17" i="27"/>
  <c r="J17" i="27"/>
  <c r="I17" i="27"/>
  <c r="H17" i="27"/>
  <c r="G17" i="27"/>
  <c r="F17" i="27"/>
  <c r="E17" i="27"/>
  <c r="D17" i="27"/>
  <c r="K16" i="27"/>
  <c r="K46" i="27" s="1"/>
  <c r="J16" i="27"/>
  <c r="J46" i="27" s="1"/>
  <c r="I16" i="27"/>
  <c r="I101" i="27" s="1"/>
  <c r="H16" i="27"/>
  <c r="H46" i="27" s="1"/>
  <c r="G16" i="27"/>
  <c r="F16" i="27"/>
  <c r="E16" i="27"/>
  <c r="E46" i="27" s="1"/>
  <c r="D16" i="27"/>
  <c r="D46" i="27" s="1"/>
  <c r="K15" i="27"/>
  <c r="K267" i="27" s="1"/>
  <c r="J15" i="27"/>
  <c r="J267" i="27" s="1"/>
  <c r="I15" i="27"/>
  <c r="I46" i="27" s="1"/>
  <c r="H15" i="27"/>
  <c r="G15" i="27"/>
  <c r="G46" i="27" s="1"/>
  <c r="F15" i="27"/>
  <c r="F46" i="27" s="1"/>
  <c r="E15" i="27"/>
  <c r="E184" i="27" s="1"/>
  <c r="D15" i="27"/>
  <c r="D184" i="27" s="1"/>
  <c r="V259" i="26"/>
  <c r="U259" i="26"/>
  <c r="T259" i="26"/>
  <c r="S259" i="26"/>
  <c r="R259" i="26"/>
  <c r="Q259" i="26"/>
  <c r="P259" i="26"/>
  <c r="O259" i="26"/>
  <c r="N259" i="26"/>
  <c r="M259" i="26"/>
  <c r="L259" i="26"/>
  <c r="K259" i="26"/>
  <c r="J259" i="26"/>
  <c r="I259" i="26"/>
  <c r="H259" i="26"/>
  <c r="G259" i="26"/>
  <c r="F259" i="26"/>
  <c r="E259" i="26"/>
  <c r="D259" i="26"/>
  <c r="K258" i="26"/>
  <c r="H254" i="26"/>
  <c r="Q251" i="26"/>
  <c r="P251" i="26"/>
  <c r="V249" i="26"/>
  <c r="T249" i="26"/>
  <c r="S249" i="26"/>
  <c r="V236" i="26"/>
  <c r="V275" i="26" s="1"/>
  <c r="U236" i="26"/>
  <c r="U275" i="26" s="1"/>
  <c r="T236" i="26"/>
  <c r="T275" i="26" s="1"/>
  <c r="S236" i="26"/>
  <c r="S275" i="26" s="1"/>
  <c r="R236" i="26"/>
  <c r="R275" i="26" s="1"/>
  <c r="Q236" i="26"/>
  <c r="Q275" i="26" s="1"/>
  <c r="P236" i="26"/>
  <c r="P275" i="26" s="1"/>
  <c r="O236" i="26"/>
  <c r="O275" i="26" s="1"/>
  <c r="N236" i="26"/>
  <c r="N275" i="26" s="1"/>
  <c r="M236" i="26"/>
  <c r="M275" i="26" s="1"/>
  <c r="L236" i="26"/>
  <c r="L275" i="26" s="1"/>
  <c r="K236" i="26"/>
  <c r="K275" i="26" s="1"/>
  <c r="J236" i="26"/>
  <c r="J275" i="26" s="1"/>
  <c r="I236" i="26"/>
  <c r="I275" i="26" s="1"/>
  <c r="H236" i="26"/>
  <c r="H275" i="26" s="1"/>
  <c r="G236" i="26"/>
  <c r="G275" i="26" s="1"/>
  <c r="F236" i="26"/>
  <c r="E236" i="26"/>
  <c r="D236" i="26"/>
  <c r="V235" i="26"/>
  <c r="U235" i="26"/>
  <c r="T235" i="26"/>
  <c r="S235" i="26"/>
  <c r="R235" i="26"/>
  <c r="Q235" i="26"/>
  <c r="P235" i="26"/>
  <c r="O235" i="26"/>
  <c r="N235" i="26"/>
  <c r="M235" i="26"/>
  <c r="L235" i="26"/>
  <c r="K235" i="26"/>
  <c r="J235" i="26"/>
  <c r="I235" i="26"/>
  <c r="H235" i="26"/>
  <c r="G235" i="26"/>
  <c r="F235" i="26"/>
  <c r="E235" i="26"/>
  <c r="D235" i="26"/>
  <c r="V234" i="26"/>
  <c r="U234" i="26"/>
  <c r="T234" i="26"/>
  <c r="S234" i="26"/>
  <c r="R234" i="26"/>
  <c r="Q234" i="26"/>
  <c r="P234" i="26"/>
  <c r="O234" i="26"/>
  <c r="N234" i="26"/>
  <c r="M234" i="26"/>
  <c r="L234" i="26"/>
  <c r="K234" i="26"/>
  <c r="J234" i="26"/>
  <c r="I234" i="26"/>
  <c r="H234" i="26"/>
  <c r="G234" i="26"/>
  <c r="F234" i="26"/>
  <c r="E234" i="26"/>
  <c r="D234" i="26"/>
  <c r="V233" i="26"/>
  <c r="V272" i="26" s="1"/>
  <c r="U233" i="26"/>
  <c r="U272" i="26" s="1"/>
  <c r="T233" i="26"/>
  <c r="T272" i="26" s="1"/>
  <c r="S233" i="26"/>
  <c r="S272" i="26" s="1"/>
  <c r="R233" i="26"/>
  <c r="R272" i="26" s="1"/>
  <c r="Q233" i="26"/>
  <c r="Q272" i="26" s="1"/>
  <c r="P233" i="26"/>
  <c r="P272" i="26" s="1"/>
  <c r="O233" i="26"/>
  <c r="O272" i="26" s="1"/>
  <c r="N233" i="26"/>
  <c r="N272" i="26" s="1"/>
  <c r="M233" i="26"/>
  <c r="M272" i="26" s="1"/>
  <c r="L233" i="26"/>
  <c r="L272" i="26" s="1"/>
  <c r="K233" i="26"/>
  <c r="K272" i="26" s="1"/>
  <c r="J233" i="26"/>
  <c r="J272" i="26" s="1"/>
  <c r="I233" i="26"/>
  <c r="I272" i="26" s="1"/>
  <c r="H233" i="26"/>
  <c r="H272" i="26" s="1"/>
  <c r="G233" i="26"/>
  <c r="G272" i="26" s="1"/>
  <c r="F233" i="26"/>
  <c r="F272" i="26" s="1"/>
  <c r="E233" i="26"/>
  <c r="E272" i="26" s="1"/>
  <c r="D233" i="26"/>
  <c r="D272" i="26" s="1"/>
  <c r="V232" i="26"/>
  <c r="U232" i="26"/>
  <c r="T232" i="26"/>
  <c r="S232" i="26"/>
  <c r="R232" i="26"/>
  <c r="Q232" i="26"/>
  <c r="P232" i="26"/>
  <c r="O232" i="26"/>
  <c r="N232" i="26"/>
  <c r="M232" i="26"/>
  <c r="L232" i="26"/>
  <c r="K232" i="26"/>
  <c r="J232" i="26"/>
  <c r="I232" i="26"/>
  <c r="H232" i="26"/>
  <c r="G232" i="26"/>
  <c r="F232" i="26"/>
  <c r="E232" i="26"/>
  <c r="D232" i="26"/>
  <c r="V231" i="26"/>
  <c r="U231" i="26"/>
  <c r="T231" i="26"/>
  <c r="S231" i="26"/>
  <c r="R231" i="26"/>
  <c r="Q231" i="26"/>
  <c r="P231" i="26"/>
  <c r="O231" i="26"/>
  <c r="N231" i="26"/>
  <c r="M231" i="26"/>
  <c r="L231" i="26"/>
  <c r="K231" i="26"/>
  <c r="J231" i="26"/>
  <c r="I231" i="26"/>
  <c r="H231" i="26"/>
  <c r="G231" i="26"/>
  <c r="F231" i="26"/>
  <c r="E231" i="26"/>
  <c r="D231" i="26"/>
  <c r="V230" i="26"/>
  <c r="U230" i="26"/>
  <c r="T230" i="26"/>
  <c r="S230" i="26"/>
  <c r="R230" i="26"/>
  <c r="Q230" i="26"/>
  <c r="P230" i="26"/>
  <c r="O230" i="26"/>
  <c r="N230" i="26"/>
  <c r="M230" i="26"/>
  <c r="L230" i="26"/>
  <c r="K230" i="26"/>
  <c r="J230" i="26"/>
  <c r="I230" i="26"/>
  <c r="H230" i="26"/>
  <c r="G230" i="26"/>
  <c r="F230" i="26"/>
  <c r="E230" i="26"/>
  <c r="D230" i="26"/>
  <c r="V229" i="26"/>
  <c r="V268" i="26" s="1"/>
  <c r="U229" i="26"/>
  <c r="U268" i="26" s="1"/>
  <c r="T229" i="26"/>
  <c r="T268" i="26" s="1"/>
  <c r="S229" i="26"/>
  <c r="S268" i="26" s="1"/>
  <c r="R229" i="26"/>
  <c r="R268" i="26" s="1"/>
  <c r="Q229" i="26"/>
  <c r="Q268" i="26" s="1"/>
  <c r="P229" i="26"/>
  <c r="P268" i="26" s="1"/>
  <c r="O229" i="26"/>
  <c r="O268" i="26" s="1"/>
  <c r="N229" i="26"/>
  <c r="N268" i="26" s="1"/>
  <c r="M229" i="26"/>
  <c r="M268" i="26" s="1"/>
  <c r="L229" i="26"/>
  <c r="L268" i="26" s="1"/>
  <c r="K229" i="26"/>
  <c r="K268" i="26" s="1"/>
  <c r="J229" i="26"/>
  <c r="J268" i="26" s="1"/>
  <c r="I229" i="26"/>
  <c r="I268" i="26" s="1"/>
  <c r="H229" i="26"/>
  <c r="H268" i="26" s="1"/>
  <c r="G229" i="26"/>
  <c r="G268" i="26" s="1"/>
  <c r="F229" i="26"/>
  <c r="F268" i="26" s="1"/>
  <c r="E229" i="26"/>
  <c r="E268" i="26" s="1"/>
  <c r="D229" i="26"/>
  <c r="D268" i="26" s="1"/>
  <c r="V228" i="26"/>
  <c r="U228" i="26"/>
  <c r="T228" i="26"/>
  <c r="S228" i="26"/>
  <c r="R228" i="26"/>
  <c r="Q228" i="26"/>
  <c r="P228" i="26"/>
  <c r="O228" i="26"/>
  <c r="O267" i="26" s="1"/>
  <c r="N228" i="26"/>
  <c r="N267" i="26" s="1"/>
  <c r="M228" i="26"/>
  <c r="M267" i="26" s="1"/>
  <c r="L228" i="26"/>
  <c r="L267" i="26" s="1"/>
  <c r="K228" i="26"/>
  <c r="K267" i="26" s="1"/>
  <c r="J228" i="26"/>
  <c r="J267" i="26" s="1"/>
  <c r="I228" i="26"/>
  <c r="H228" i="26"/>
  <c r="G228" i="26"/>
  <c r="G267" i="26" s="1"/>
  <c r="F228" i="26"/>
  <c r="F267" i="26" s="1"/>
  <c r="E228" i="26"/>
  <c r="E267" i="26" s="1"/>
  <c r="D228" i="26"/>
  <c r="V227" i="26"/>
  <c r="U227" i="26"/>
  <c r="T227" i="26"/>
  <c r="S227" i="26"/>
  <c r="R227" i="26"/>
  <c r="Q227" i="26"/>
  <c r="P227" i="26"/>
  <c r="O227" i="26"/>
  <c r="N227" i="26"/>
  <c r="M227" i="26"/>
  <c r="L227" i="26"/>
  <c r="K227" i="26"/>
  <c r="J227" i="26"/>
  <c r="I227" i="26"/>
  <c r="H227" i="26"/>
  <c r="G227" i="26"/>
  <c r="F227" i="26"/>
  <c r="E227" i="26"/>
  <c r="D227" i="26"/>
  <c r="V226" i="26"/>
  <c r="V265" i="26" s="1"/>
  <c r="U226" i="26"/>
  <c r="U265" i="26" s="1"/>
  <c r="T226" i="26"/>
  <c r="S226" i="26"/>
  <c r="S265" i="26" s="1"/>
  <c r="R226" i="26"/>
  <c r="Q226" i="26"/>
  <c r="P226" i="26"/>
  <c r="O226" i="26"/>
  <c r="N226" i="26"/>
  <c r="M226" i="26"/>
  <c r="L226" i="26"/>
  <c r="K226" i="26"/>
  <c r="J226" i="26"/>
  <c r="J265" i="26" s="1"/>
  <c r="I226" i="26"/>
  <c r="I265" i="26" s="1"/>
  <c r="H226" i="26"/>
  <c r="H265" i="26" s="1"/>
  <c r="G226" i="26"/>
  <c r="G265" i="26" s="1"/>
  <c r="F226" i="26"/>
  <c r="F265" i="26" s="1"/>
  <c r="E226" i="26"/>
  <c r="E265" i="26" s="1"/>
  <c r="D226" i="26"/>
  <c r="D265" i="26" s="1"/>
  <c r="V225" i="26"/>
  <c r="U225" i="26"/>
  <c r="T225" i="26"/>
  <c r="S225" i="26"/>
  <c r="R225" i="26"/>
  <c r="Q225" i="26"/>
  <c r="P225" i="26"/>
  <c r="O225" i="26"/>
  <c r="N225" i="26"/>
  <c r="M225" i="26"/>
  <c r="L225" i="26"/>
  <c r="K225" i="26"/>
  <c r="J225" i="26"/>
  <c r="I225" i="26"/>
  <c r="H225" i="26"/>
  <c r="G225" i="26"/>
  <c r="F225" i="26"/>
  <c r="E225" i="26"/>
  <c r="D225" i="26"/>
  <c r="V224" i="26"/>
  <c r="U224" i="26"/>
  <c r="T224" i="26"/>
  <c r="S224" i="26"/>
  <c r="R224" i="26"/>
  <c r="Q224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V223" i="26"/>
  <c r="V262" i="26" s="1"/>
  <c r="U223" i="26"/>
  <c r="U262" i="26" s="1"/>
  <c r="T223" i="26"/>
  <c r="T262" i="26" s="1"/>
  <c r="S223" i="26"/>
  <c r="S262" i="26" s="1"/>
  <c r="R223" i="26"/>
  <c r="R262" i="26" s="1"/>
  <c r="Q223" i="26"/>
  <c r="P223" i="26"/>
  <c r="O223" i="26"/>
  <c r="N223" i="26"/>
  <c r="M223" i="26"/>
  <c r="L223" i="26"/>
  <c r="K223" i="26"/>
  <c r="J223" i="26"/>
  <c r="I223" i="26"/>
  <c r="H223" i="26"/>
  <c r="G223" i="26"/>
  <c r="F223" i="26"/>
  <c r="E223" i="26"/>
  <c r="D223" i="26"/>
  <c r="V222" i="26"/>
  <c r="U222" i="26"/>
  <c r="T222" i="26"/>
  <c r="S222" i="26"/>
  <c r="R222" i="26"/>
  <c r="Q222" i="26"/>
  <c r="P222" i="26"/>
  <c r="O222" i="26"/>
  <c r="N222" i="26"/>
  <c r="M222" i="26"/>
  <c r="L222" i="26"/>
  <c r="K222" i="26"/>
  <c r="J222" i="26"/>
  <c r="I222" i="26"/>
  <c r="H222" i="26"/>
  <c r="G222" i="26"/>
  <c r="F222" i="26"/>
  <c r="E222" i="26"/>
  <c r="D222" i="26"/>
  <c r="V221" i="26"/>
  <c r="U221" i="26"/>
  <c r="T221" i="26"/>
  <c r="S221" i="26"/>
  <c r="R221" i="26"/>
  <c r="Q221" i="26"/>
  <c r="P221" i="26"/>
  <c r="O221" i="26"/>
  <c r="N221" i="26"/>
  <c r="M221" i="26"/>
  <c r="L221" i="26"/>
  <c r="K221" i="26"/>
  <c r="J221" i="26"/>
  <c r="I221" i="26"/>
  <c r="H221" i="26"/>
  <c r="G221" i="26"/>
  <c r="F221" i="26"/>
  <c r="E221" i="26"/>
  <c r="D221" i="26"/>
  <c r="V219" i="26"/>
  <c r="U219" i="26"/>
  <c r="T219" i="26"/>
  <c r="S219" i="26"/>
  <c r="R219" i="26"/>
  <c r="Q219" i="26"/>
  <c r="P219" i="26"/>
  <c r="O219" i="26"/>
  <c r="N219" i="26"/>
  <c r="M219" i="26"/>
  <c r="L219" i="26"/>
  <c r="K219" i="26"/>
  <c r="J219" i="26"/>
  <c r="I219" i="26"/>
  <c r="H219" i="26"/>
  <c r="G219" i="26"/>
  <c r="F219" i="26"/>
  <c r="E219" i="26"/>
  <c r="D219" i="26"/>
  <c r="V218" i="26"/>
  <c r="U218" i="26"/>
  <c r="T218" i="26"/>
  <c r="S218" i="26"/>
  <c r="R218" i="26"/>
  <c r="Q218" i="26"/>
  <c r="P218" i="26"/>
  <c r="O218" i="26"/>
  <c r="N218" i="26"/>
  <c r="M218" i="26"/>
  <c r="L218" i="26"/>
  <c r="K218" i="26"/>
  <c r="J218" i="26"/>
  <c r="I218" i="26"/>
  <c r="H218" i="26"/>
  <c r="G218" i="26"/>
  <c r="G257" i="26" s="1"/>
  <c r="F218" i="26"/>
  <c r="F257" i="26" s="1"/>
  <c r="E218" i="26"/>
  <c r="E257" i="26" s="1"/>
  <c r="D218" i="26"/>
  <c r="D257" i="26" s="1"/>
  <c r="V217" i="26"/>
  <c r="U217" i="26"/>
  <c r="T217" i="26"/>
  <c r="S217" i="26"/>
  <c r="R217" i="26"/>
  <c r="Q217" i="26"/>
  <c r="P217" i="26"/>
  <c r="O217" i="26"/>
  <c r="N217" i="26"/>
  <c r="M217" i="26"/>
  <c r="L217" i="26"/>
  <c r="K217" i="26"/>
  <c r="J217" i="26"/>
  <c r="I217" i="26"/>
  <c r="H217" i="26"/>
  <c r="H256" i="26" s="1"/>
  <c r="G217" i="26"/>
  <c r="F217" i="26"/>
  <c r="E217" i="26"/>
  <c r="D217" i="26"/>
  <c r="V216" i="26"/>
  <c r="U216" i="26"/>
  <c r="T216" i="26"/>
  <c r="S216" i="26"/>
  <c r="R216" i="26"/>
  <c r="Q216" i="26"/>
  <c r="P216" i="26"/>
  <c r="O216" i="26"/>
  <c r="N216" i="26"/>
  <c r="M216" i="26"/>
  <c r="L216" i="26"/>
  <c r="K216" i="26"/>
  <c r="K255" i="26" s="1"/>
  <c r="J216" i="26"/>
  <c r="I216" i="26"/>
  <c r="H216" i="26"/>
  <c r="G216" i="26"/>
  <c r="F216" i="26"/>
  <c r="E216" i="26"/>
  <c r="D216" i="26"/>
  <c r="V215" i="26"/>
  <c r="V254" i="26" s="1"/>
  <c r="U215" i="26"/>
  <c r="U254" i="26" s="1"/>
  <c r="T215" i="26"/>
  <c r="T254" i="26" s="1"/>
  <c r="S215" i="26"/>
  <c r="S254" i="26" s="1"/>
  <c r="R215" i="26"/>
  <c r="R254" i="26" s="1"/>
  <c r="Q215" i="26"/>
  <c r="Q254" i="26" s="1"/>
  <c r="P215" i="26"/>
  <c r="P254" i="26" s="1"/>
  <c r="O215" i="26"/>
  <c r="N215" i="26"/>
  <c r="N254" i="26" s="1"/>
  <c r="M215" i="26"/>
  <c r="L215" i="26"/>
  <c r="K215" i="26"/>
  <c r="J215" i="26"/>
  <c r="I215" i="26"/>
  <c r="H215" i="26"/>
  <c r="G215" i="26"/>
  <c r="F215" i="26"/>
  <c r="E215" i="26"/>
  <c r="D215" i="26"/>
  <c r="V214" i="26"/>
  <c r="U214" i="26"/>
  <c r="T214" i="26"/>
  <c r="S214" i="26"/>
  <c r="R214" i="26"/>
  <c r="Q214" i="26"/>
  <c r="Q253" i="26" s="1"/>
  <c r="P214" i="26"/>
  <c r="O214" i="26"/>
  <c r="N214" i="26"/>
  <c r="M214" i="26"/>
  <c r="L214" i="26"/>
  <c r="K214" i="26"/>
  <c r="J214" i="26"/>
  <c r="I214" i="26"/>
  <c r="H214" i="26"/>
  <c r="G214" i="26"/>
  <c r="F214" i="26"/>
  <c r="E214" i="26"/>
  <c r="D214" i="26"/>
  <c r="V213" i="26"/>
  <c r="U213" i="26"/>
  <c r="T213" i="26"/>
  <c r="T252" i="26" s="1"/>
  <c r="S213" i="26"/>
  <c r="R213" i="26"/>
  <c r="Q213" i="26"/>
  <c r="P213" i="26"/>
  <c r="O213" i="26"/>
  <c r="N213" i="26"/>
  <c r="M213" i="26"/>
  <c r="L213" i="26"/>
  <c r="K213" i="26"/>
  <c r="J213" i="26"/>
  <c r="I213" i="26"/>
  <c r="H213" i="26"/>
  <c r="G213" i="26"/>
  <c r="F213" i="26"/>
  <c r="E213" i="26"/>
  <c r="D213" i="26"/>
  <c r="D252" i="26" s="1"/>
  <c r="V212" i="26"/>
  <c r="V251" i="26" s="1"/>
  <c r="U212" i="26"/>
  <c r="U251" i="26" s="1"/>
  <c r="T212" i="26"/>
  <c r="T251" i="26" s="1"/>
  <c r="S212" i="26"/>
  <c r="S251" i="26" s="1"/>
  <c r="R212" i="26"/>
  <c r="R251" i="26" s="1"/>
  <c r="Q212" i="26"/>
  <c r="P212" i="26"/>
  <c r="O212" i="26"/>
  <c r="O251" i="26" s="1"/>
  <c r="N212" i="26"/>
  <c r="N251" i="26" s="1"/>
  <c r="M212" i="26"/>
  <c r="M251" i="26" s="1"/>
  <c r="L212" i="26"/>
  <c r="L251" i="26" s="1"/>
  <c r="K212" i="26"/>
  <c r="K251" i="26" s="1"/>
  <c r="J212" i="26"/>
  <c r="J251" i="26" s="1"/>
  <c r="I212" i="26"/>
  <c r="I251" i="26" s="1"/>
  <c r="H212" i="26"/>
  <c r="H251" i="26" s="1"/>
  <c r="G212" i="26"/>
  <c r="G251" i="26" s="1"/>
  <c r="F212" i="26"/>
  <c r="F251" i="26" s="1"/>
  <c r="E212" i="26"/>
  <c r="E251" i="26" s="1"/>
  <c r="D212" i="26"/>
  <c r="D251" i="26" s="1"/>
  <c r="V211" i="26"/>
  <c r="U211" i="26"/>
  <c r="T211" i="26"/>
  <c r="S211" i="26"/>
  <c r="R211" i="26"/>
  <c r="Q211" i="26"/>
  <c r="P211" i="26"/>
  <c r="O211" i="26"/>
  <c r="N211" i="26"/>
  <c r="M211" i="26"/>
  <c r="L211" i="26"/>
  <c r="K211" i="26"/>
  <c r="J211" i="26"/>
  <c r="J250" i="26" s="1"/>
  <c r="I211" i="26"/>
  <c r="H211" i="26"/>
  <c r="G211" i="26"/>
  <c r="F211" i="26"/>
  <c r="E211" i="26"/>
  <c r="E250" i="26" s="1"/>
  <c r="D211" i="26"/>
  <c r="V210" i="26"/>
  <c r="U210" i="26"/>
  <c r="U249" i="26" s="1"/>
  <c r="T210" i="26"/>
  <c r="S210" i="26"/>
  <c r="R210" i="26"/>
  <c r="R249" i="26" s="1"/>
  <c r="Q210" i="26"/>
  <c r="Q249" i="26" s="1"/>
  <c r="P210" i="26"/>
  <c r="P249" i="26" s="1"/>
  <c r="O210" i="26"/>
  <c r="O249" i="26" s="1"/>
  <c r="N210" i="26"/>
  <c r="N249" i="26" s="1"/>
  <c r="M210" i="26"/>
  <c r="M249" i="26" s="1"/>
  <c r="L210" i="26"/>
  <c r="K210" i="26"/>
  <c r="J210" i="26"/>
  <c r="I210" i="26"/>
  <c r="H210" i="26"/>
  <c r="G210" i="26"/>
  <c r="F210" i="26"/>
  <c r="E210" i="26"/>
  <c r="D210" i="26"/>
  <c r="V209" i="26"/>
  <c r="U209" i="26"/>
  <c r="T209" i="26"/>
  <c r="S209" i="26"/>
  <c r="R209" i="26"/>
  <c r="Q209" i="26"/>
  <c r="P209" i="26"/>
  <c r="O209" i="26"/>
  <c r="N209" i="26"/>
  <c r="M209" i="26"/>
  <c r="L209" i="26"/>
  <c r="K209" i="26"/>
  <c r="J209" i="26"/>
  <c r="I209" i="26"/>
  <c r="H209" i="26"/>
  <c r="G209" i="26"/>
  <c r="F209" i="26"/>
  <c r="E209" i="26"/>
  <c r="D209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M198" i="26"/>
  <c r="L198" i="26"/>
  <c r="K198" i="26"/>
  <c r="J198" i="26"/>
  <c r="I198" i="26"/>
  <c r="H198" i="26"/>
  <c r="P197" i="26"/>
  <c r="V195" i="26"/>
  <c r="U195" i="26"/>
  <c r="T195" i="26"/>
  <c r="S195" i="26"/>
  <c r="R195" i="26"/>
  <c r="M195" i="26"/>
  <c r="G195" i="26"/>
  <c r="F195" i="26"/>
  <c r="E195" i="26"/>
  <c r="D195" i="26"/>
  <c r="I194" i="26"/>
  <c r="H194" i="26"/>
  <c r="R191" i="26"/>
  <c r="Q191" i="26"/>
  <c r="P191" i="26"/>
  <c r="O191" i="26"/>
  <c r="N191" i="26"/>
  <c r="I191" i="26"/>
  <c r="L190" i="26"/>
  <c r="E190" i="26"/>
  <c r="J188" i="26"/>
  <c r="I188" i="26"/>
  <c r="H188" i="26"/>
  <c r="G188" i="26"/>
  <c r="R186" i="26"/>
  <c r="T185" i="26"/>
  <c r="S185" i="26"/>
  <c r="R185" i="26"/>
  <c r="U184" i="26"/>
  <c r="V182" i="26"/>
  <c r="U182" i="26"/>
  <c r="T182" i="26"/>
  <c r="S182" i="26"/>
  <c r="R182" i="26"/>
  <c r="Q182" i="26"/>
  <c r="P182" i="26"/>
  <c r="O182" i="26"/>
  <c r="N182" i="26"/>
  <c r="M182" i="26"/>
  <c r="L182" i="26"/>
  <c r="K182" i="26"/>
  <c r="J182" i="26"/>
  <c r="I182" i="26"/>
  <c r="H182" i="26"/>
  <c r="G182" i="26"/>
  <c r="F182" i="26"/>
  <c r="E182" i="26"/>
  <c r="D182" i="26"/>
  <c r="D180" i="26"/>
  <c r="U177" i="26"/>
  <c r="S177" i="26"/>
  <c r="V174" i="26"/>
  <c r="T174" i="26"/>
  <c r="R174" i="26"/>
  <c r="Q174" i="26"/>
  <c r="P174" i="26"/>
  <c r="N174" i="26"/>
  <c r="F174" i="26"/>
  <c r="O173" i="26"/>
  <c r="V172" i="26"/>
  <c r="T172" i="26"/>
  <c r="E171" i="26"/>
  <c r="L170" i="26"/>
  <c r="V159" i="26"/>
  <c r="V198" i="26" s="1"/>
  <c r="U159" i="26"/>
  <c r="U198" i="26" s="1"/>
  <c r="T159" i="26"/>
  <c r="T198" i="26" s="1"/>
  <c r="S159" i="26"/>
  <c r="S198" i="26" s="1"/>
  <c r="R159" i="26"/>
  <c r="R198" i="26" s="1"/>
  <c r="Q159" i="26"/>
  <c r="Q198" i="26" s="1"/>
  <c r="P159" i="26"/>
  <c r="P198" i="26" s="1"/>
  <c r="O159" i="26"/>
  <c r="O198" i="26" s="1"/>
  <c r="N159" i="26"/>
  <c r="N198" i="26" s="1"/>
  <c r="M159" i="26"/>
  <c r="L159" i="26"/>
  <c r="K159" i="26"/>
  <c r="J159" i="26"/>
  <c r="I159" i="26"/>
  <c r="H159" i="26"/>
  <c r="G159" i="26"/>
  <c r="G198" i="26" s="1"/>
  <c r="F159" i="26"/>
  <c r="E159" i="26"/>
  <c r="D159" i="26"/>
  <c r="V158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V157" i="26"/>
  <c r="U157" i="26"/>
  <c r="T157" i="26"/>
  <c r="S157" i="26"/>
  <c r="R157" i="26"/>
  <c r="Q157" i="26"/>
  <c r="P157" i="26"/>
  <c r="O157" i="26"/>
  <c r="N157" i="26"/>
  <c r="M157" i="26"/>
  <c r="L157" i="26"/>
  <c r="K157" i="26"/>
  <c r="J157" i="26"/>
  <c r="I157" i="26"/>
  <c r="H157" i="26"/>
  <c r="G157" i="26"/>
  <c r="F157" i="26"/>
  <c r="E157" i="26"/>
  <c r="D157" i="26"/>
  <c r="D196" i="26" s="1"/>
  <c r="V156" i="26"/>
  <c r="U156" i="26"/>
  <c r="T156" i="26"/>
  <c r="S156" i="26"/>
  <c r="R156" i="26"/>
  <c r="Q156" i="26"/>
  <c r="Q195" i="26" s="1"/>
  <c r="P156" i="26"/>
  <c r="P195" i="26" s="1"/>
  <c r="O156" i="26"/>
  <c r="O195" i="26" s="1"/>
  <c r="N156" i="26"/>
  <c r="N195" i="26" s="1"/>
  <c r="M156" i="26"/>
  <c r="L156" i="26"/>
  <c r="L195" i="26" s="1"/>
  <c r="K156" i="26"/>
  <c r="K195" i="26" s="1"/>
  <c r="J156" i="26"/>
  <c r="J195" i="26" s="1"/>
  <c r="I156" i="26"/>
  <c r="I195" i="26" s="1"/>
  <c r="H156" i="26"/>
  <c r="H195" i="26" s="1"/>
  <c r="G156" i="26"/>
  <c r="F156" i="26"/>
  <c r="E156" i="26"/>
  <c r="D156" i="26"/>
  <c r="V155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V154" i="26"/>
  <c r="U154" i="26"/>
  <c r="T154" i="26"/>
  <c r="S154" i="26"/>
  <c r="R154" i="26"/>
  <c r="Q154" i="26"/>
  <c r="P154" i="26"/>
  <c r="O154" i="26"/>
  <c r="N154" i="26"/>
  <c r="M154" i="26"/>
  <c r="L154" i="26"/>
  <c r="K154" i="26"/>
  <c r="J154" i="26"/>
  <c r="I154" i="26"/>
  <c r="H154" i="26"/>
  <c r="G154" i="26"/>
  <c r="F154" i="26"/>
  <c r="E154" i="26"/>
  <c r="D154" i="26"/>
  <c r="V153" i="26"/>
  <c r="U153" i="26"/>
  <c r="T153" i="26"/>
  <c r="S153" i="26"/>
  <c r="R153" i="26"/>
  <c r="Q153" i="26"/>
  <c r="P153" i="26"/>
  <c r="O153" i="26"/>
  <c r="N153" i="26"/>
  <c r="M153" i="26"/>
  <c r="L153" i="26"/>
  <c r="K153" i="26"/>
  <c r="J153" i="26"/>
  <c r="I153" i="26"/>
  <c r="H153" i="26"/>
  <c r="G153" i="26"/>
  <c r="F153" i="26"/>
  <c r="E153" i="26"/>
  <c r="D153" i="26"/>
  <c r="V152" i="26"/>
  <c r="V191" i="26" s="1"/>
  <c r="U152" i="26"/>
  <c r="U191" i="26" s="1"/>
  <c r="T152" i="26"/>
  <c r="T191" i="26" s="1"/>
  <c r="S152" i="26"/>
  <c r="S191" i="26" s="1"/>
  <c r="R152" i="26"/>
  <c r="Q152" i="26"/>
  <c r="P152" i="26"/>
  <c r="O152" i="26"/>
  <c r="N152" i="26"/>
  <c r="M152" i="26"/>
  <c r="M191" i="26" s="1"/>
  <c r="L152" i="26"/>
  <c r="L191" i="26" s="1"/>
  <c r="K152" i="26"/>
  <c r="K191" i="26" s="1"/>
  <c r="J152" i="26"/>
  <c r="J191" i="26" s="1"/>
  <c r="I152" i="26"/>
  <c r="H152" i="26"/>
  <c r="H191" i="26" s="1"/>
  <c r="G152" i="26"/>
  <c r="G191" i="26" s="1"/>
  <c r="F152" i="26"/>
  <c r="F191" i="26" s="1"/>
  <c r="E152" i="26"/>
  <c r="E191" i="26" s="1"/>
  <c r="D152" i="26"/>
  <c r="D191" i="26" s="1"/>
  <c r="V151" i="26"/>
  <c r="U151" i="26"/>
  <c r="T151" i="26"/>
  <c r="S151" i="26"/>
  <c r="R151" i="26"/>
  <c r="Q151" i="26"/>
  <c r="P151" i="26"/>
  <c r="O151" i="26"/>
  <c r="O190" i="26" s="1"/>
  <c r="N151" i="26"/>
  <c r="N190" i="26" s="1"/>
  <c r="M151" i="26"/>
  <c r="M190" i="26" s="1"/>
  <c r="L151" i="26"/>
  <c r="K151" i="26"/>
  <c r="K190" i="26" s="1"/>
  <c r="J151" i="26"/>
  <c r="J190" i="26" s="1"/>
  <c r="I151" i="26"/>
  <c r="H151" i="26"/>
  <c r="G151" i="26"/>
  <c r="G190" i="26" s="1"/>
  <c r="F151" i="26"/>
  <c r="F190" i="26" s="1"/>
  <c r="E151" i="26"/>
  <c r="D151" i="26"/>
  <c r="V150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V149" i="26"/>
  <c r="V188" i="26" s="1"/>
  <c r="U149" i="26"/>
  <c r="U188" i="26" s="1"/>
  <c r="T149" i="26"/>
  <c r="S149" i="26"/>
  <c r="S188" i="26" s="1"/>
  <c r="R149" i="26"/>
  <c r="Q149" i="26"/>
  <c r="P149" i="26"/>
  <c r="O149" i="26"/>
  <c r="N149" i="26"/>
  <c r="M149" i="26"/>
  <c r="L149" i="26"/>
  <c r="L188" i="26" s="1"/>
  <c r="K149" i="26"/>
  <c r="J149" i="26"/>
  <c r="I149" i="26"/>
  <c r="H149" i="26"/>
  <c r="G149" i="26"/>
  <c r="F149" i="26"/>
  <c r="F188" i="26" s="1"/>
  <c r="E149" i="26"/>
  <c r="E188" i="26" s="1"/>
  <c r="D149" i="26"/>
  <c r="D188" i="26" s="1"/>
  <c r="V148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D148" i="26"/>
  <c r="V147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D147" i="26"/>
  <c r="V146" i="26"/>
  <c r="V185" i="26" s="1"/>
  <c r="U146" i="26"/>
  <c r="U185" i="26" s="1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V145" i="26"/>
  <c r="U145" i="26"/>
  <c r="T145" i="26"/>
  <c r="S145" i="26"/>
  <c r="R145" i="26"/>
  <c r="Q145" i="26"/>
  <c r="P145" i="26"/>
  <c r="O145" i="26"/>
  <c r="N145" i="26"/>
  <c r="M145" i="26"/>
  <c r="L145" i="26"/>
  <c r="K145" i="26"/>
  <c r="J145" i="26"/>
  <c r="I145" i="26"/>
  <c r="H145" i="26"/>
  <c r="G145" i="26"/>
  <c r="F145" i="26"/>
  <c r="E145" i="26"/>
  <c r="D145" i="26"/>
  <c r="V144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D144" i="26"/>
  <c r="V142" i="26"/>
  <c r="U142" i="26"/>
  <c r="T142" i="26"/>
  <c r="S142" i="26"/>
  <c r="R142" i="26"/>
  <c r="Q142" i="26"/>
  <c r="P142" i="26"/>
  <c r="O142" i="26"/>
  <c r="N142" i="26"/>
  <c r="N181" i="26" s="1"/>
  <c r="M142" i="26"/>
  <c r="L142" i="26"/>
  <c r="K142" i="26"/>
  <c r="J142" i="26"/>
  <c r="I142" i="26"/>
  <c r="H142" i="26"/>
  <c r="G142" i="26"/>
  <c r="F142" i="26"/>
  <c r="E142" i="26"/>
  <c r="D142" i="26"/>
  <c r="V141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G180" i="26" s="1"/>
  <c r="F141" i="26"/>
  <c r="F180" i="26" s="1"/>
  <c r="E141" i="26"/>
  <c r="E180" i="26" s="1"/>
  <c r="D141" i="26"/>
  <c r="V140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D140" i="26"/>
  <c r="V139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D139" i="26"/>
  <c r="V138" i="26"/>
  <c r="V177" i="26" s="1"/>
  <c r="U138" i="26"/>
  <c r="T138" i="26"/>
  <c r="T177" i="26" s="1"/>
  <c r="S138" i="26"/>
  <c r="R138" i="26"/>
  <c r="R177" i="26" s="1"/>
  <c r="Q138" i="26"/>
  <c r="Q177" i="26" s="1"/>
  <c r="P138" i="26"/>
  <c r="P177" i="26" s="1"/>
  <c r="O138" i="26"/>
  <c r="N138" i="26"/>
  <c r="N177" i="26" s="1"/>
  <c r="M138" i="26"/>
  <c r="L138" i="26"/>
  <c r="K138" i="26"/>
  <c r="J138" i="26"/>
  <c r="I138" i="26"/>
  <c r="H138" i="26"/>
  <c r="G138" i="26"/>
  <c r="F138" i="26"/>
  <c r="E138" i="26"/>
  <c r="D138" i="26"/>
  <c r="V137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F176" i="26" s="1"/>
  <c r="E137" i="26"/>
  <c r="D137" i="26"/>
  <c r="V136" i="26"/>
  <c r="U136" i="26"/>
  <c r="T136" i="26"/>
  <c r="S136" i="26"/>
  <c r="R136" i="26"/>
  <c r="Q136" i="26"/>
  <c r="P136" i="26"/>
  <c r="O136" i="26"/>
  <c r="N136" i="26"/>
  <c r="M136" i="26"/>
  <c r="L136" i="26"/>
  <c r="K136" i="26"/>
  <c r="J136" i="26"/>
  <c r="I136" i="26"/>
  <c r="I175" i="26" s="1"/>
  <c r="H136" i="26"/>
  <c r="G136" i="26"/>
  <c r="F136" i="26"/>
  <c r="E136" i="26"/>
  <c r="D136" i="26"/>
  <c r="V135" i="26"/>
  <c r="U135" i="26"/>
  <c r="U174" i="26" s="1"/>
  <c r="T135" i="26"/>
  <c r="S135" i="26"/>
  <c r="S174" i="26" s="1"/>
  <c r="R135" i="26"/>
  <c r="Q135" i="26"/>
  <c r="P135" i="26"/>
  <c r="O135" i="26"/>
  <c r="O174" i="26" s="1"/>
  <c r="N135" i="26"/>
  <c r="M135" i="26"/>
  <c r="M174" i="26" s="1"/>
  <c r="L135" i="26"/>
  <c r="L174" i="26" s="1"/>
  <c r="K135" i="26"/>
  <c r="K174" i="26" s="1"/>
  <c r="J135" i="26"/>
  <c r="J174" i="26" s="1"/>
  <c r="I135" i="26"/>
  <c r="I174" i="26" s="1"/>
  <c r="H135" i="26"/>
  <c r="H174" i="26" s="1"/>
  <c r="G135" i="26"/>
  <c r="G174" i="26" s="1"/>
  <c r="F135" i="26"/>
  <c r="E135" i="26"/>
  <c r="E174" i="26" s="1"/>
  <c r="D135" i="26"/>
  <c r="D174" i="26" s="1"/>
  <c r="V134" i="26"/>
  <c r="U134" i="26"/>
  <c r="T134" i="26"/>
  <c r="S134" i="26"/>
  <c r="R134" i="26"/>
  <c r="Q134" i="26"/>
  <c r="P134" i="26"/>
  <c r="O134" i="26"/>
  <c r="N134" i="26"/>
  <c r="M134" i="26"/>
  <c r="L134" i="26"/>
  <c r="K134" i="26"/>
  <c r="J134" i="26"/>
  <c r="I134" i="26"/>
  <c r="H134" i="26"/>
  <c r="G134" i="26"/>
  <c r="F134" i="26"/>
  <c r="E134" i="26"/>
  <c r="D134" i="26"/>
  <c r="V133" i="26"/>
  <c r="U133" i="26"/>
  <c r="U172" i="26" s="1"/>
  <c r="T133" i="26"/>
  <c r="S133" i="26"/>
  <c r="S172" i="26" s="1"/>
  <c r="R133" i="26"/>
  <c r="Q133" i="26"/>
  <c r="Q172" i="26" s="1"/>
  <c r="P133" i="26"/>
  <c r="P172" i="26" s="1"/>
  <c r="O133" i="26"/>
  <c r="O172" i="26" s="1"/>
  <c r="N133" i="26"/>
  <c r="N172" i="26" s="1"/>
  <c r="M133" i="26"/>
  <c r="L133" i="26"/>
  <c r="K133" i="26"/>
  <c r="J133" i="26"/>
  <c r="J172" i="26" s="1"/>
  <c r="I133" i="26"/>
  <c r="I172" i="26" s="1"/>
  <c r="H133" i="26"/>
  <c r="G133" i="26"/>
  <c r="F133" i="26"/>
  <c r="E133" i="26"/>
  <c r="D133" i="26"/>
  <c r="V132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V131" i="26"/>
  <c r="U131" i="26"/>
  <c r="T131" i="26"/>
  <c r="S131" i="26"/>
  <c r="R131" i="26"/>
  <c r="Q131" i="26"/>
  <c r="Q170" i="26" s="1"/>
  <c r="P131" i="26"/>
  <c r="P160" i="26" s="1"/>
  <c r="O131" i="26"/>
  <c r="N131" i="26"/>
  <c r="M131" i="26"/>
  <c r="L131" i="26"/>
  <c r="K131" i="26"/>
  <c r="J131" i="26"/>
  <c r="I131" i="26"/>
  <c r="H131" i="26"/>
  <c r="G131" i="26"/>
  <c r="F131" i="26"/>
  <c r="E131" i="26"/>
  <c r="D131" i="26"/>
  <c r="V120" i="26"/>
  <c r="N120" i="26"/>
  <c r="M120" i="26"/>
  <c r="K120" i="26"/>
  <c r="I120" i="26"/>
  <c r="G120" i="26"/>
  <c r="P119" i="26"/>
  <c r="T118" i="26"/>
  <c r="S118" i="26"/>
  <c r="R118" i="26"/>
  <c r="L118" i="26"/>
  <c r="U117" i="26"/>
  <c r="R117" i="26"/>
  <c r="P117" i="26"/>
  <c r="O117" i="26"/>
  <c r="G117" i="26"/>
  <c r="I116" i="26"/>
  <c r="H116" i="26"/>
  <c r="L115" i="26"/>
  <c r="I114" i="26"/>
  <c r="S113" i="26"/>
  <c r="R113" i="26"/>
  <c r="P113" i="26"/>
  <c r="O113" i="26"/>
  <c r="N113" i="26"/>
  <c r="L113" i="26"/>
  <c r="J113" i="26"/>
  <c r="U112" i="26"/>
  <c r="N112" i="26"/>
  <c r="E112" i="26"/>
  <c r="P111" i="26"/>
  <c r="U110" i="26"/>
  <c r="T110" i="26"/>
  <c r="N109" i="26"/>
  <c r="H109" i="26"/>
  <c r="J108" i="26"/>
  <c r="S107" i="26"/>
  <c r="M107" i="26"/>
  <c r="U106" i="26"/>
  <c r="S106" i="26"/>
  <c r="V104" i="26"/>
  <c r="U104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P103" i="26"/>
  <c r="G103" i="26"/>
  <c r="I102" i="26"/>
  <c r="F102" i="26"/>
  <c r="V99" i="26"/>
  <c r="R99" i="26"/>
  <c r="V98" i="26"/>
  <c r="O98" i="26"/>
  <c r="N98" i="26"/>
  <c r="S97" i="26"/>
  <c r="Q97" i="26"/>
  <c r="M97" i="26"/>
  <c r="R96" i="26"/>
  <c r="O96" i="26"/>
  <c r="K96" i="26"/>
  <c r="H96" i="26"/>
  <c r="D96" i="26"/>
  <c r="N95" i="26"/>
  <c r="V94" i="26"/>
  <c r="S94" i="26"/>
  <c r="L93" i="26"/>
  <c r="V82" i="26"/>
  <c r="V81" i="26"/>
  <c r="U81" i="26"/>
  <c r="U120" i="26" s="1"/>
  <c r="T81" i="26"/>
  <c r="T120" i="26" s="1"/>
  <c r="S81" i="26"/>
  <c r="S120" i="26" s="1"/>
  <c r="R81" i="26"/>
  <c r="R120" i="26" s="1"/>
  <c r="Q81" i="26"/>
  <c r="Q120" i="26" s="1"/>
  <c r="P81" i="26"/>
  <c r="P120" i="26" s="1"/>
  <c r="O81" i="26"/>
  <c r="O120" i="26" s="1"/>
  <c r="N81" i="26"/>
  <c r="M81" i="26"/>
  <c r="L81" i="26"/>
  <c r="L120" i="26" s="1"/>
  <c r="K81" i="26"/>
  <c r="J81" i="26"/>
  <c r="I81" i="26"/>
  <c r="H81" i="26"/>
  <c r="H120" i="26" s="1"/>
  <c r="G81" i="26"/>
  <c r="F81" i="26"/>
  <c r="F120" i="26" s="1"/>
  <c r="E81" i="26"/>
  <c r="E120" i="26" s="1"/>
  <c r="D81" i="26"/>
  <c r="D120" i="26" s="1"/>
  <c r="V80" i="26"/>
  <c r="U80" i="26"/>
  <c r="U119" i="26" s="1"/>
  <c r="T80" i="26"/>
  <c r="S80" i="26"/>
  <c r="R80" i="26"/>
  <c r="Q80" i="26"/>
  <c r="Q119" i="26" s="1"/>
  <c r="P80" i="26"/>
  <c r="O80" i="26"/>
  <c r="O119" i="26" s="1"/>
  <c r="N80" i="26"/>
  <c r="N119" i="26" s="1"/>
  <c r="M80" i="26"/>
  <c r="L80" i="26"/>
  <c r="K80" i="26"/>
  <c r="J80" i="26"/>
  <c r="J119" i="26" s="1"/>
  <c r="I80" i="26"/>
  <c r="H80" i="26"/>
  <c r="G80" i="26"/>
  <c r="G119" i="26" s="1"/>
  <c r="F80" i="26"/>
  <c r="E80" i="26"/>
  <c r="E119" i="26" s="1"/>
  <c r="D80" i="26"/>
  <c r="V79" i="26"/>
  <c r="U79" i="26"/>
  <c r="U118" i="26" s="1"/>
  <c r="T79" i="26"/>
  <c r="S79" i="26"/>
  <c r="R79" i="26"/>
  <c r="Q79" i="26"/>
  <c r="P79" i="26"/>
  <c r="O79" i="26"/>
  <c r="N79" i="26"/>
  <c r="M79" i="26"/>
  <c r="L79" i="26"/>
  <c r="K79" i="26"/>
  <c r="K118" i="26" s="1"/>
  <c r="J79" i="26"/>
  <c r="J118" i="26" s="1"/>
  <c r="I79" i="26"/>
  <c r="H79" i="26"/>
  <c r="H118" i="26" s="1"/>
  <c r="G79" i="26"/>
  <c r="F79" i="26"/>
  <c r="E79" i="26"/>
  <c r="E118" i="26" s="1"/>
  <c r="D79" i="26"/>
  <c r="D118" i="26" s="1"/>
  <c r="V78" i="26"/>
  <c r="V117" i="26" s="1"/>
  <c r="U78" i="26"/>
  <c r="T78" i="26"/>
  <c r="T117" i="26" s="1"/>
  <c r="S78" i="26"/>
  <c r="S117" i="26" s="1"/>
  <c r="R78" i="26"/>
  <c r="Q78" i="26"/>
  <c r="Q117" i="26" s="1"/>
  <c r="P78" i="26"/>
  <c r="O78" i="26"/>
  <c r="N78" i="26"/>
  <c r="N117" i="26" s="1"/>
  <c r="M78" i="26"/>
  <c r="M117" i="26" s="1"/>
  <c r="L78" i="26"/>
  <c r="L117" i="26" s="1"/>
  <c r="K78" i="26"/>
  <c r="K117" i="26" s="1"/>
  <c r="J78" i="26"/>
  <c r="J117" i="26" s="1"/>
  <c r="I78" i="26"/>
  <c r="I117" i="26" s="1"/>
  <c r="H78" i="26"/>
  <c r="H117" i="26" s="1"/>
  <c r="G78" i="26"/>
  <c r="F78" i="26"/>
  <c r="F117" i="26" s="1"/>
  <c r="E78" i="26"/>
  <c r="E117" i="26" s="1"/>
  <c r="D78" i="26"/>
  <c r="D117" i="26" s="1"/>
  <c r="V77" i="26"/>
  <c r="U77" i="26"/>
  <c r="U116" i="26" s="1"/>
  <c r="T77" i="26"/>
  <c r="S77" i="26"/>
  <c r="R77" i="26"/>
  <c r="R116" i="26" s="1"/>
  <c r="Q77" i="26"/>
  <c r="P77" i="26"/>
  <c r="P116" i="26" s="1"/>
  <c r="O77" i="26"/>
  <c r="N77" i="26"/>
  <c r="N116" i="26" s="1"/>
  <c r="M77" i="26"/>
  <c r="L77" i="26"/>
  <c r="K77" i="26"/>
  <c r="J77" i="26"/>
  <c r="J116" i="26" s="1"/>
  <c r="I77" i="26"/>
  <c r="H77" i="26"/>
  <c r="G77" i="26"/>
  <c r="F77" i="26"/>
  <c r="E77" i="26"/>
  <c r="D77" i="26"/>
  <c r="V76" i="26"/>
  <c r="V115" i="26" s="1"/>
  <c r="U76" i="26"/>
  <c r="U115" i="26" s="1"/>
  <c r="T76" i="26"/>
  <c r="S76" i="26"/>
  <c r="R76" i="26"/>
  <c r="Q76" i="26"/>
  <c r="Q115" i="26" s="1"/>
  <c r="P76" i="26"/>
  <c r="O76" i="26"/>
  <c r="N76" i="26"/>
  <c r="N115" i="26" s="1"/>
  <c r="M76" i="26"/>
  <c r="M115" i="26" s="1"/>
  <c r="L76" i="26"/>
  <c r="K76" i="26"/>
  <c r="J76" i="26"/>
  <c r="I76" i="26"/>
  <c r="H76" i="26"/>
  <c r="G76" i="26"/>
  <c r="F76" i="26"/>
  <c r="E76" i="26"/>
  <c r="D76" i="26"/>
  <c r="D115" i="26" s="1"/>
  <c r="V75" i="26"/>
  <c r="U75" i="26"/>
  <c r="T75" i="26"/>
  <c r="T114" i="26" s="1"/>
  <c r="S75" i="26"/>
  <c r="R75" i="26"/>
  <c r="Q75" i="26"/>
  <c r="Q114" i="26" s="1"/>
  <c r="P75" i="26"/>
  <c r="P114" i="26" s="1"/>
  <c r="O75" i="26"/>
  <c r="O114" i="26" s="1"/>
  <c r="N75" i="26"/>
  <c r="M75" i="26"/>
  <c r="L75" i="26"/>
  <c r="K75" i="26"/>
  <c r="K114" i="26" s="1"/>
  <c r="J75" i="26"/>
  <c r="I75" i="26"/>
  <c r="H75" i="26"/>
  <c r="G75" i="26"/>
  <c r="F75" i="26"/>
  <c r="E75" i="26"/>
  <c r="D75" i="26"/>
  <c r="D114" i="26" s="1"/>
  <c r="V74" i="26"/>
  <c r="V113" i="26" s="1"/>
  <c r="U74" i="26"/>
  <c r="U113" i="26" s="1"/>
  <c r="T74" i="26"/>
  <c r="T113" i="26" s="1"/>
  <c r="S74" i="26"/>
  <c r="R74" i="26"/>
  <c r="Q74" i="26"/>
  <c r="Q113" i="26" s="1"/>
  <c r="P74" i="26"/>
  <c r="O74" i="26"/>
  <c r="N74" i="26"/>
  <c r="M74" i="26"/>
  <c r="M113" i="26" s="1"/>
  <c r="L74" i="26"/>
  <c r="K74" i="26"/>
  <c r="K113" i="26" s="1"/>
  <c r="J74" i="26"/>
  <c r="I74" i="26"/>
  <c r="I113" i="26" s="1"/>
  <c r="H74" i="26"/>
  <c r="H113" i="26" s="1"/>
  <c r="G74" i="26"/>
  <c r="G113" i="26" s="1"/>
  <c r="F74" i="26"/>
  <c r="F113" i="26" s="1"/>
  <c r="E74" i="26"/>
  <c r="E113" i="26" s="1"/>
  <c r="D74" i="26"/>
  <c r="D113" i="26" s="1"/>
  <c r="V73" i="26"/>
  <c r="V112" i="26" s="1"/>
  <c r="U73" i="26"/>
  <c r="T73" i="26"/>
  <c r="S73" i="26"/>
  <c r="S112" i="26" s="1"/>
  <c r="R73" i="26"/>
  <c r="Q73" i="26"/>
  <c r="P73" i="26"/>
  <c r="O73" i="26"/>
  <c r="O112" i="26" s="1"/>
  <c r="N73" i="26"/>
  <c r="M73" i="26"/>
  <c r="M112" i="26" s="1"/>
  <c r="L73" i="26"/>
  <c r="L112" i="26" s="1"/>
  <c r="K73" i="26"/>
  <c r="K112" i="26" s="1"/>
  <c r="J73" i="26"/>
  <c r="J112" i="26" s="1"/>
  <c r="I73" i="26"/>
  <c r="H73" i="26"/>
  <c r="G73" i="26"/>
  <c r="G112" i="26" s="1"/>
  <c r="F73" i="26"/>
  <c r="F112" i="26" s="1"/>
  <c r="E73" i="26"/>
  <c r="D73" i="26"/>
  <c r="V72" i="26"/>
  <c r="U72" i="26"/>
  <c r="T72" i="26"/>
  <c r="S72" i="26"/>
  <c r="R72" i="26"/>
  <c r="Q72" i="26"/>
  <c r="P72" i="26"/>
  <c r="O72" i="26"/>
  <c r="N72" i="26"/>
  <c r="M72" i="26"/>
  <c r="M111" i="26" s="1"/>
  <c r="L72" i="26"/>
  <c r="K72" i="26"/>
  <c r="J72" i="26"/>
  <c r="J111" i="26" s="1"/>
  <c r="I72" i="26"/>
  <c r="I111" i="26" s="1"/>
  <c r="H72" i="26"/>
  <c r="H111" i="26" s="1"/>
  <c r="G72" i="26"/>
  <c r="F72" i="26"/>
  <c r="E72" i="26"/>
  <c r="D72" i="26"/>
  <c r="V71" i="26"/>
  <c r="V110" i="26" s="1"/>
  <c r="U71" i="26"/>
  <c r="T71" i="26"/>
  <c r="S71" i="26"/>
  <c r="S110" i="26" s="1"/>
  <c r="R71" i="26"/>
  <c r="Q71" i="26"/>
  <c r="P71" i="26"/>
  <c r="P110" i="26" s="1"/>
  <c r="O71" i="26"/>
  <c r="N71" i="26"/>
  <c r="M71" i="26"/>
  <c r="L71" i="26"/>
  <c r="L110" i="26" s="1"/>
  <c r="K71" i="26"/>
  <c r="K110" i="26" s="1"/>
  <c r="J71" i="26"/>
  <c r="J110" i="26" s="1"/>
  <c r="I71" i="26"/>
  <c r="I110" i="26" s="1"/>
  <c r="H71" i="26"/>
  <c r="H110" i="26" s="1"/>
  <c r="G71" i="26"/>
  <c r="G110" i="26" s="1"/>
  <c r="F71" i="26"/>
  <c r="F110" i="26" s="1"/>
  <c r="E71" i="26"/>
  <c r="E110" i="26" s="1"/>
  <c r="D71" i="26"/>
  <c r="D110" i="26" s="1"/>
  <c r="V70" i="26"/>
  <c r="V109" i="26" s="1"/>
  <c r="U70" i="26"/>
  <c r="T70" i="26"/>
  <c r="S70" i="26"/>
  <c r="S109" i="26" s="1"/>
  <c r="R70" i="26"/>
  <c r="Q70" i="26"/>
  <c r="P70" i="26"/>
  <c r="O70" i="26"/>
  <c r="O109" i="26" s="1"/>
  <c r="N70" i="26"/>
  <c r="M70" i="26"/>
  <c r="L70" i="26"/>
  <c r="K70" i="26"/>
  <c r="J70" i="26"/>
  <c r="I70" i="26"/>
  <c r="H70" i="26"/>
  <c r="G70" i="26"/>
  <c r="G109" i="26" s="1"/>
  <c r="F70" i="26"/>
  <c r="E70" i="26"/>
  <c r="D70" i="26"/>
  <c r="V69" i="26"/>
  <c r="V108" i="26" s="1"/>
  <c r="U69" i="26"/>
  <c r="T69" i="26"/>
  <c r="S69" i="26"/>
  <c r="S108" i="26" s="1"/>
  <c r="R69" i="26"/>
  <c r="R108" i="26" s="1"/>
  <c r="Q69" i="26"/>
  <c r="P69" i="26"/>
  <c r="O69" i="26"/>
  <c r="N69" i="26"/>
  <c r="M69" i="26"/>
  <c r="L69" i="26"/>
  <c r="K69" i="26"/>
  <c r="J69" i="26"/>
  <c r="I69" i="26"/>
  <c r="I108" i="26" s="1"/>
  <c r="H69" i="26"/>
  <c r="G69" i="26"/>
  <c r="F69" i="26"/>
  <c r="F108" i="26" s="1"/>
  <c r="E69" i="26"/>
  <c r="D69" i="26"/>
  <c r="V68" i="26"/>
  <c r="V107" i="26" s="1"/>
  <c r="U68" i="26"/>
  <c r="U107" i="26" s="1"/>
  <c r="T68" i="26"/>
  <c r="T107" i="26" s="1"/>
  <c r="S68" i="26"/>
  <c r="R68" i="26"/>
  <c r="R107" i="26" s="1"/>
  <c r="Q68" i="26"/>
  <c r="P68" i="26"/>
  <c r="P107" i="26" s="1"/>
  <c r="O68" i="26"/>
  <c r="N68" i="26"/>
  <c r="N107" i="26" s="1"/>
  <c r="M68" i="26"/>
  <c r="L68" i="26"/>
  <c r="K68" i="26"/>
  <c r="J68" i="26"/>
  <c r="I68" i="26"/>
  <c r="I107" i="26" s="1"/>
  <c r="H68" i="26"/>
  <c r="G68" i="26"/>
  <c r="F68" i="26"/>
  <c r="E68" i="26"/>
  <c r="E107" i="26" s="1"/>
  <c r="D68" i="26"/>
  <c r="D107" i="26" s="1"/>
  <c r="V67" i="26"/>
  <c r="U67" i="26"/>
  <c r="T67" i="26"/>
  <c r="S67" i="26"/>
  <c r="R67" i="26"/>
  <c r="Q67" i="26"/>
  <c r="Q106" i="26" s="1"/>
  <c r="P67" i="26"/>
  <c r="P106" i="26" s="1"/>
  <c r="O67" i="26"/>
  <c r="O106" i="26" s="1"/>
  <c r="N67" i="26"/>
  <c r="M67" i="26"/>
  <c r="L67" i="26"/>
  <c r="L106" i="26" s="1"/>
  <c r="K67" i="26"/>
  <c r="J67" i="26"/>
  <c r="I67" i="26"/>
  <c r="H67" i="26"/>
  <c r="H106" i="26" s="1"/>
  <c r="G67" i="26"/>
  <c r="F67" i="26"/>
  <c r="E67" i="26"/>
  <c r="D67" i="26"/>
  <c r="V66" i="26"/>
  <c r="U66" i="26"/>
  <c r="T66" i="26"/>
  <c r="T105" i="26" s="1"/>
  <c r="S66" i="26"/>
  <c r="R66" i="26"/>
  <c r="Q66" i="26"/>
  <c r="P66" i="26"/>
  <c r="O66" i="26"/>
  <c r="O105" i="26" s="1"/>
  <c r="N66" i="26"/>
  <c r="M66" i="26"/>
  <c r="L66" i="26"/>
  <c r="L105" i="26" s="1"/>
  <c r="K66" i="26"/>
  <c r="K105" i="26" s="1"/>
  <c r="J66" i="26"/>
  <c r="I66" i="26"/>
  <c r="H66" i="26"/>
  <c r="G66" i="26"/>
  <c r="F66" i="26"/>
  <c r="E66" i="26"/>
  <c r="D66" i="26"/>
  <c r="V64" i="26"/>
  <c r="V103" i="26" s="1"/>
  <c r="U64" i="26"/>
  <c r="T64" i="26"/>
  <c r="S64" i="26"/>
  <c r="R64" i="26"/>
  <c r="R103" i="26" s="1"/>
  <c r="Q64" i="26"/>
  <c r="P64" i="26"/>
  <c r="O64" i="26"/>
  <c r="O103" i="26" s="1"/>
  <c r="N64" i="26"/>
  <c r="N103" i="26" s="1"/>
  <c r="M64" i="26"/>
  <c r="L64" i="26"/>
  <c r="K64" i="26"/>
  <c r="J64" i="26"/>
  <c r="I64" i="26"/>
  <c r="H64" i="26"/>
  <c r="G64" i="26"/>
  <c r="F64" i="26"/>
  <c r="E64" i="26"/>
  <c r="D64" i="26"/>
  <c r="V63" i="26"/>
  <c r="U63" i="26"/>
  <c r="U102" i="26" s="1"/>
  <c r="T63" i="26"/>
  <c r="T102" i="26" s="1"/>
  <c r="S63" i="26"/>
  <c r="S102" i="26" s="1"/>
  <c r="R63" i="26"/>
  <c r="Q63" i="26"/>
  <c r="Q102" i="26" s="1"/>
  <c r="P63" i="26"/>
  <c r="O63" i="26"/>
  <c r="N63" i="26"/>
  <c r="M63" i="26"/>
  <c r="L63" i="26"/>
  <c r="K63" i="26"/>
  <c r="J63" i="26"/>
  <c r="I63" i="26"/>
  <c r="H63" i="26"/>
  <c r="G63" i="26"/>
  <c r="G102" i="26" s="1"/>
  <c r="F63" i="26"/>
  <c r="E63" i="26"/>
  <c r="E102" i="26" s="1"/>
  <c r="D63" i="26"/>
  <c r="D102" i="26" s="1"/>
  <c r="V62" i="26"/>
  <c r="U62" i="26"/>
  <c r="T62" i="26"/>
  <c r="T101" i="26" s="1"/>
  <c r="S62" i="26"/>
  <c r="R62" i="26"/>
  <c r="Q62" i="26"/>
  <c r="P62" i="26"/>
  <c r="O62" i="26"/>
  <c r="N62" i="26"/>
  <c r="M62" i="26"/>
  <c r="L62" i="26"/>
  <c r="K62" i="26"/>
  <c r="J62" i="26"/>
  <c r="I62" i="26"/>
  <c r="H62" i="26"/>
  <c r="H101" i="26" s="1"/>
  <c r="G62" i="26"/>
  <c r="F62" i="26"/>
  <c r="F101" i="26" s="1"/>
  <c r="E62" i="26"/>
  <c r="E101" i="26" s="1"/>
  <c r="D62" i="26"/>
  <c r="D101" i="26" s="1"/>
  <c r="V61" i="26"/>
  <c r="V100" i="26" s="1"/>
  <c r="U61" i="26"/>
  <c r="T61" i="26"/>
  <c r="S61" i="26"/>
  <c r="R61" i="26"/>
  <c r="Q61" i="26"/>
  <c r="P61" i="26"/>
  <c r="P100" i="26" s="1"/>
  <c r="O61" i="26"/>
  <c r="O100" i="26" s="1"/>
  <c r="N61" i="26"/>
  <c r="M61" i="26"/>
  <c r="L61" i="26"/>
  <c r="K61" i="26"/>
  <c r="K100" i="26" s="1"/>
  <c r="J61" i="26"/>
  <c r="I61" i="26"/>
  <c r="I100" i="26" s="1"/>
  <c r="H61" i="26"/>
  <c r="G61" i="26"/>
  <c r="G100" i="26" s="1"/>
  <c r="F61" i="26"/>
  <c r="F100" i="26" s="1"/>
  <c r="E61" i="26"/>
  <c r="D61" i="26"/>
  <c r="V60" i="26"/>
  <c r="U60" i="26"/>
  <c r="U99" i="26" s="1"/>
  <c r="T60" i="26"/>
  <c r="T99" i="26" s="1"/>
  <c r="S60" i="26"/>
  <c r="S99" i="26" s="1"/>
  <c r="R60" i="26"/>
  <c r="Q60" i="26"/>
  <c r="Q99" i="26" s="1"/>
  <c r="P60" i="26"/>
  <c r="P99" i="26" s="1"/>
  <c r="O60" i="26"/>
  <c r="N60" i="26"/>
  <c r="N99" i="26" s="1"/>
  <c r="M60" i="26"/>
  <c r="L60" i="26"/>
  <c r="K60" i="26"/>
  <c r="J60" i="26"/>
  <c r="J99" i="26" s="1"/>
  <c r="I60" i="26"/>
  <c r="H60" i="26"/>
  <c r="G60" i="26"/>
  <c r="F60" i="26"/>
  <c r="E60" i="26"/>
  <c r="D60" i="26"/>
  <c r="V59" i="26"/>
  <c r="U59" i="26"/>
  <c r="U98" i="26" s="1"/>
  <c r="T59" i="26"/>
  <c r="S59" i="26"/>
  <c r="R59" i="26"/>
  <c r="Q59" i="26"/>
  <c r="Q98" i="26" s="1"/>
  <c r="P59" i="26"/>
  <c r="O59" i="26"/>
  <c r="N59" i="26"/>
  <c r="M59" i="26"/>
  <c r="M98" i="26" s="1"/>
  <c r="L59" i="26"/>
  <c r="L98" i="26" s="1"/>
  <c r="K59" i="26"/>
  <c r="J59" i="26"/>
  <c r="I59" i="26"/>
  <c r="H59" i="26"/>
  <c r="H98" i="26" s="1"/>
  <c r="G59" i="26"/>
  <c r="F59" i="26"/>
  <c r="F98" i="26" s="1"/>
  <c r="E59" i="26"/>
  <c r="D59" i="26"/>
  <c r="V58" i="26"/>
  <c r="U58" i="26"/>
  <c r="T58" i="26"/>
  <c r="T97" i="26" s="1"/>
  <c r="S58" i="26"/>
  <c r="R58" i="26"/>
  <c r="R97" i="26" s="1"/>
  <c r="Q58" i="26"/>
  <c r="P58" i="26"/>
  <c r="P97" i="26" s="1"/>
  <c r="O58" i="26"/>
  <c r="O97" i="26" s="1"/>
  <c r="N58" i="26"/>
  <c r="M58" i="26"/>
  <c r="L58" i="26"/>
  <c r="K58" i="26"/>
  <c r="J58" i="26"/>
  <c r="I58" i="26"/>
  <c r="I97" i="26" s="1"/>
  <c r="H58" i="26"/>
  <c r="G58" i="26"/>
  <c r="F58" i="26"/>
  <c r="E58" i="26"/>
  <c r="D58" i="26"/>
  <c r="D97" i="26" s="1"/>
  <c r="V57" i="26"/>
  <c r="V96" i="26" s="1"/>
  <c r="U57" i="26"/>
  <c r="U96" i="26" s="1"/>
  <c r="T57" i="26"/>
  <c r="T96" i="26" s="1"/>
  <c r="S57" i="26"/>
  <c r="S96" i="26" s="1"/>
  <c r="R57" i="26"/>
  <c r="Q57" i="26"/>
  <c r="Q96" i="26" s="1"/>
  <c r="P57" i="26"/>
  <c r="P96" i="26" s="1"/>
  <c r="O57" i="26"/>
  <c r="N57" i="26"/>
  <c r="N96" i="26" s="1"/>
  <c r="M57" i="26"/>
  <c r="M96" i="26" s="1"/>
  <c r="L57" i="26"/>
  <c r="L96" i="26" s="1"/>
  <c r="K57" i="26"/>
  <c r="J57" i="26"/>
  <c r="J96" i="26" s="1"/>
  <c r="I57" i="26"/>
  <c r="I96" i="26" s="1"/>
  <c r="H57" i="26"/>
  <c r="G57" i="26"/>
  <c r="G96" i="26" s="1"/>
  <c r="F57" i="26"/>
  <c r="F96" i="26" s="1"/>
  <c r="E57" i="26"/>
  <c r="E96" i="26" s="1"/>
  <c r="D57" i="26"/>
  <c r="V56" i="26"/>
  <c r="V95" i="26" s="1"/>
  <c r="U56" i="26"/>
  <c r="T56" i="26"/>
  <c r="S56" i="26"/>
  <c r="R56" i="26"/>
  <c r="Q56" i="26"/>
  <c r="P56" i="26"/>
  <c r="O56" i="26"/>
  <c r="N56" i="26"/>
  <c r="M56" i="26"/>
  <c r="L56" i="26"/>
  <c r="K56" i="26"/>
  <c r="J56" i="26"/>
  <c r="J95" i="26" s="1"/>
  <c r="I56" i="26"/>
  <c r="H56" i="26"/>
  <c r="H95" i="26" s="1"/>
  <c r="G56" i="26"/>
  <c r="F56" i="26"/>
  <c r="F95" i="26" s="1"/>
  <c r="E56" i="26"/>
  <c r="E95" i="26" s="1"/>
  <c r="D56" i="26"/>
  <c r="V55" i="26"/>
  <c r="U55" i="26"/>
  <c r="U94" i="26" s="1"/>
  <c r="T55" i="26"/>
  <c r="T94" i="26" s="1"/>
  <c r="S55" i="26"/>
  <c r="R55" i="26"/>
  <c r="R94" i="26" s="1"/>
  <c r="Q55" i="26"/>
  <c r="Q94" i="26" s="1"/>
  <c r="P55" i="26"/>
  <c r="P94" i="26" s="1"/>
  <c r="O55" i="26"/>
  <c r="O82" i="26" s="1"/>
  <c r="N55" i="26"/>
  <c r="N94" i="26" s="1"/>
  <c r="M55" i="26"/>
  <c r="M94" i="26" s="1"/>
  <c r="L55" i="26"/>
  <c r="K55" i="26"/>
  <c r="K94" i="26" s="1"/>
  <c r="J55" i="26"/>
  <c r="I55" i="26"/>
  <c r="I94" i="26" s="1"/>
  <c r="H55" i="26"/>
  <c r="H94" i="26" s="1"/>
  <c r="G55" i="26"/>
  <c r="F55" i="26"/>
  <c r="E55" i="26"/>
  <c r="D55" i="26"/>
  <c r="V54" i="26"/>
  <c r="U54" i="26"/>
  <c r="T54" i="26"/>
  <c r="T93" i="26" s="1"/>
  <c r="S54" i="26"/>
  <c r="R54" i="26"/>
  <c r="Q54" i="26"/>
  <c r="P54" i="26"/>
  <c r="P93" i="26" s="1"/>
  <c r="O54" i="26"/>
  <c r="N54" i="26"/>
  <c r="N93" i="26" s="1"/>
  <c r="M54" i="26"/>
  <c r="L54" i="26"/>
  <c r="K54" i="26"/>
  <c r="K93" i="26" s="1"/>
  <c r="J54" i="26"/>
  <c r="I54" i="26"/>
  <c r="H54" i="26"/>
  <c r="G54" i="26"/>
  <c r="F54" i="26"/>
  <c r="E54" i="26"/>
  <c r="D54" i="26"/>
  <c r="D93" i="26" s="1"/>
  <c r="V53" i="26"/>
  <c r="U53" i="26"/>
  <c r="T53" i="26"/>
  <c r="S53" i="26"/>
  <c r="R53" i="26"/>
  <c r="Q53" i="26"/>
  <c r="Q92" i="26" s="1"/>
  <c r="P53" i="26"/>
  <c r="P82" i="26" s="1"/>
  <c r="O53" i="26"/>
  <c r="O92" i="26" s="1"/>
  <c r="N53" i="26"/>
  <c r="M53" i="26"/>
  <c r="L53" i="26"/>
  <c r="K53" i="26"/>
  <c r="J53" i="26"/>
  <c r="I53" i="26"/>
  <c r="I82" i="26" s="1"/>
  <c r="H53" i="26"/>
  <c r="G53" i="26"/>
  <c r="G92" i="26" s="1"/>
  <c r="F53" i="26"/>
  <c r="E53" i="26"/>
  <c r="E92" i="26" s="1"/>
  <c r="D53" i="26"/>
  <c r="V41" i="26"/>
  <c r="U41" i="26"/>
  <c r="T41" i="26"/>
  <c r="S41" i="26"/>
  <c r="R41" i="26"/>
  <c r="Q41" i="26"/>
  <c r="P41" i="26"/>
  <c r="O41" i="26"/>
  <c r="N41" i="26"/>
  <c r="M41" i="26"/>
  <c r="L41" i="26"/>
  <c r="K41" i="26"/>
  <c r="J41" i="26"/>
  <c r="J120" i="26" s="1"/>
  <c r="I41" i="26"/>
  <c r="H41" i="26"/>
  <c r="G41" i="26"/>
  <c r="F41" i="26"/>
  <c r="E41" i="26"/>
  <c r="D41" i="26"/>
  <c r="D198" i="26" s="1"/>
  <c r="V40" i="26"/>
  <c r="U40" i="26"/>
  <c r="T40" i="26"/>
  <c r="S40" i="26"/>
  <c r="R40" i="26"/>
  <c r="Q40" i="26"/>
  <c r="P40" i="26"/>
  <c r="O40" i="26"/>
  <c r="O197" i="26" s="1"/>
  <c r="N40" i="26"/>
  <c r="N197" i="26" s="1"/>
  <c r="M40" i="26"/>
  <c r="M197" i="26" s="1"/>
  <c r="L40" i="26"/>
  <c r="L197" i="26" s="1"/>
  <c r="K40" i="26"/>
  <c r="J40" i="26"/>
  <c r="I40" i="26"/>
  <c r="I119" i="26" s="1"/>
  <c r="H40" i="26"/>
  <c r="G40" i="26"/>
  <c r="G197" i="26" s="1"/>
  <c r="F40" i="26"/>
  <c r="E40" i="26"/>
  <c r="D40" i="26"/>
  <c r="V39" i="26"/>
  <c r="U39" i="26"/>
  <c r="T39" i="26"/>
  <c r="S39" i="26"/>
  <c r="S196" i="26" s="1"/>
  <c r="R39" i="26"/>
  <c r="R196" i="26" s="1"/>
  <c r="Q39" i="26"/>
  <c r="Q196" i="26" s="1"/>
  <c r="P39" i="26"/>
  <c r="O39" i="26"/>
  <c r="O196" i="26" s="1"/>
  <c r="N39" i="26"/>
  <c r="M39" i="26"/>
  <c r="L39" i="26"/>
  <c r="K39" i="26"/>
  <c r="J39" i="26"/>
  <c r="J196" i="26" s="1"/>
  <c r="I39" i="26"/>
  <c r="H39" i="26"/>
  <c r="G39" i="26"/>
  <c r="F39" i="26"/>
  <c r="E39" i="26"/>
  <c r="D39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E38" i="26"/>
  <c r="D38" i="26"/>
  <c r="V37" i="26"/>
  <c r="U37" i="26"/>
  <c r="U194" i="26" s="1"/>
  <c r="T37" i="26"/>
  <c r="S37" i="26"/>
  <c r="R37" i="26"/>
  <c r="Q37" i="26"/>
  <c r="Q116" i="26" s="1"/>
  <c r="P37" i="26"/>
  <c r="P194" i="26" s="1"/>
  <c r="O37" i="26"/>
  <c r="N37" i="26"/>
  <c r="M37" i="26"/>
  <c r="L37" i="26"/>
  <c r="K37" i="26"/>
  <c r="J37" i="26"/>
  <c r="I37" i="26"/>
  <c r="H37" i="26"/>
  <c r="G37" i="26"/>
  <c r="G194" i="26" s="1"/>
  <c r="F37" i="26"/>
  <c r="F194" i="26" s="1"/>
  <c r="E37" i="26"/>
  <c r="E194" i="26" s="1"/>
  <c r="D37" i="26"/>
  <c r="V36" i="26"/>
  <c r="U36" i="26"/>
  <c r="T36" i="26"/>
  <c r="S36" i="26"/>
  <c r="S193" i="26" s="1"/>
  <c r="R36" i="26"/>
  <c r="Q36" i="26"/>
  <c r="P36" i="26"/>
  <c r="O36" i="26"/>
  <c r="N36" i="26"/>
  <c r="M36" i="26"/>
  <c r="L36" i="26"/>
  <c r="L193" i="26" s="1"/>
  <c r="K36" i="26"/>
  <c r="K193" i="26" s="1"/>
  <c r="J36" i="26"/>
  <c r="J193" i="26" s="1"/>
  <c r="I36" i="26"/>
  <c r="I193" i="26" s="1"/>
  <c r="H36" i="26"/>
  <c r="H193" i="26" s="1"/>
  <c r="G36" i="26"/>
  <c r="F36" i="26"/>
  <c r="E36" i="26"/>
  <c r="E115" i="26" s="1"/>
  <c r="D36" i="26"/>
  <c r="V35" i="26"/>
  <c r="U35" i="26"/>
  <c r="T35" i="26"/>
  <c r="S35" i="26"/>
  <c r="R35" i="26"/>
  <c r="Q35" i="26"/>
  <c r="P35" i="26"/>
  <c r="O35" i="26"/>
  <c r="O192" i="26" s="1"/>
  <c r="N35" i="26"/>
  <c r="M35" i="26"/>
  <c r="M192" i="26" s="1"/>
  <c r="L35" i="26"/>
  <c r="L192" i="26" s="1"/>
  <c r="K35" i="26"/>
  <c r="K192" i="26" s="1"/>
  <c r="J35" i="26"/>
  <c r="I35" i="26"/>
  <c r="H35" i="26"/>
  <c r="H114" i="26" s="1"/>
  <c r="G35" i="26"/>
  <c r="F35" i="26"/>
  <c r="F192" i="26" s="1"/>
  <c r="E35" i="26"/>
  <c r="D35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V33" i="26"/>
  <c r="U33" i="26"/>
  <c r="U190" i="26" s="1"/>
  <c r="T33" i="26"/>
  <c r="T190" i="26" s="1"/>
  <c r="S33" i="26"/>
  <c r="S190" i="26" s="1"/>
  <c r="R33" i="26"/>
  <c r="R190" i="26" s="1"/>
  <c r="Q33" i="26"/>
  <c r="Q190" i="26" s="1"/>
  <c r="P33" i="26"/>
  <c r="P190" i="26" s="1"/>
  <c r="O33" i="26"/>
  <c r="N33" i="26"/>
  <c r="M33" i="26"/>
  <c r="L33" i="26"/>
  <c r="K33" i="26"/>
  <c r="J33" i="26"/>
  <c r="I33" i="26"/>
  <c r="H33" i="26"/>
  <c r="G33" i="26"/>
  <c r="F33" i="26"/>
  <c r="E33" i="26"/>
  <c r="D33" i="26"/>
  <c r="V32" i="26"/>
  <c r="V189" i="26" s="1"/>
  <c r="U32" i="26"/>
  <c r="U189" i="26" s="1"/>
  <c r="T32" i="26"/>
  <c r="T189" i="26" s="1"/>
  <c r="S32" i="26"/>
  <c r="S189" i="26" s="1"/>
  <c r="R32" i="26"/>
  <c r="Q32" i="26"/>
  <c r="Q111" i="26" s="1"/>
  <c r="P32" i="26"/>
  <c r="O32" i="26"/>
  <c r="N32" i="26"/>
  <c r="M32" i="26"/>
  <c r="L32" i="26"/>
  <c r="K32" i="26"/>
  <c r="J32" i="26"/>
  <c r="I32" i="26"/>
  <c r="H32" i="26"/>
  <c r="H189" i="26" s="1"/>
  <c r="G32" i="26"/>
  <c r="F32" i="26"/>
  <c r="F189" i="26" s="1"/>
  <c r="E32" i="26"/>
  <c r="E189" i="26" s="1"/>
  <c r="D32" i="26"/>
  <c r="D189" i="26" s="1"/>
  <c r="V31" i="26"/>
  <c r="U31" i="26"/>
  <c r="T31" i="26"/>
  <c r="S31" i="26"/>
  <c r="R31" i="26"/>
  <c r="R188" i="26" s="1"/>
  <c r="Q31" i="26"/>
  <c r="P31" i="26"/>
  <c r="O31" i="26"/>
  <c r="N31" i="26"/>
  <c r="M31" i="26"/>
  <c r="L31" i="26"/>
  <c r="K31" i="26"/>
  <c r="K188" i="26" s="1"/>
  <c r="J31" i="26"/>
  <c r="I31" i="26"/>
  <c r="H31" i="26"/>
  <c r="G31" i="26"/>
  <c r="F31" i="26"/>
  <c r="E31" i="26"/>
  <c r="D31" i="26"/>
  <c r="V30" i="26"/>
  <c r="U30" i="26"/>
  <c r="U187" i="26" s="1"/>
  <c r="T30" i="26"/>
  <c r="S30" i="26"/>
  <c r="R30" i="26"/>
  <c r="Q30" i="26"/>
  <c r="P30" i="26"/>
  <c r="O30" i="26"/>
  <c r="N30" i="26"/>
  <c r="N187" i="26" s="1"/>
  <c r="M30" i="26"/>
  <c r="L30" i="26"/>
  <c r="L187" i="26" s="1"/>
  <c r="K30" i="26"/>
  <c r="J30" i="26"/>
  <c r="J187" i="26" s="1"/>
  <c r="I30" i="26"/>
  <c r="H30" i="26"/>
  <c r="G30" i="26"/>
  <c r="F30" i="26"/>
  <c r="E30" i="26"/>
  <c r="E187" i="26" s="1"/>
  <c r="D30" i="26"/>
  <c r="V29" i="26"/>
  <c r="U29" i="26"/>
  <c r="T29" i="26"/>
  <c r="S29" i="26"/>
  <c r="R29" i="26"/>
  <c r="Q29" i="26"/>
  <c r="Q186" i="26" s="1"/>
  <c r="P29" i="26"/>
  <c r="P186" i="26" s="1"/>
  <c r="O29" i="26"/>
  <c r="O186" i="26" s="1"/>
  <c r="N29" i="26"/>
  <c r="M29" i="26"/>
  <c r="M186" i="26" s="1"/>
  <c r="L29" i="26"/>
  <c r="L186" i="26" s="1"/>
  <c r="K29" i="26"/>
  <c r="J29" i="26"/>
  <c r="I29" i="26"/>
  <c r="H29" i="26"/>
  <c r="H186" i="26" s="1"/>
  <c r="G29" i="26"/>
  <c r="F29" i="26"/>
  <c r="E29" i="26"/>
  <c r="D29" i="26"/>
  <c r="V28" i="26"/>
  <c r="U28" i="26"/>
  <c r="T28" i="26"/>
  <c r="S28" i="26"/>
  <c r="R28" i="26"/>
  <c r="Q28" i="26"/>
  <c r="Q185" i="26" s="1"/>
  <c r="P28" i="26"/>
  <c r="P185" i="26" s="1"/>
  <c r="O28" i="26"/>
  <c r="N28" i="26"/>
  <c r="M28" i="26"/>
  <c r="L28" i="26"/>
  <c r="K28" i="26"/>
  <c r="K185" i="26" s="1"/>
  <c r="J28" i="26"/>
  <c r="I28" i="26"/>
  <c r="H28" i="26"/>
  <c r="G28" i="26"/>
  <c r="F28" i="26"/>
  <c r="E28" i="26"/>
  <c r="D28" i="26"/>
  <c r="D185" i="26" s="1"/>
  <c r="V27" i="26"/>
  <c r="V184" i="26" s="1"/>
  <c r="U27" i="26"/>
  <c r="T27" i="26"/>
  <c r="S27" i="26"/>
  <c r="S184" i="26" s="1"/>
  <c r="R27" i="26"/>
  <c r="R184" i="26" s="1"/>
  <c r="Q27" i="26"/>
  <c r="P27" i="26"/>
  <c r="O27" i="26"/>
  <c r="N27" i="26"/>
  <c r="N184" i="26" s="1"/>
  <c r="M27" i="26"/>
  <c r="L27" i="26"/>
  <c r="K27" i="26"/>
  <c r="J27" i="26"/>
  <c r="I27" i="26"/>
  <c r="H27" i="26"/>
  <c r="G27" i="26"/>
  <c r="G184" i="26" s="1"/>
  <c r="F27" i="26"/>
  <c r="E27" i="26"/>
  <c r="E184" i="26" s="1"/>
  <c r="D27" i="26"/>
  <c r="D184" i="26" s="1"/>
  <c r="V26" i="26"/>
  <c r="V183" i="26" s="1"/>
  <c r="U26" i="26"/>
  <c r="T26" i="26"/>
  <c r="S26" i="26"/>
  <c r="S105" i="26" s="1"/>
  <c r="R26" i="26"/>
  <c r="Q26" i="26"/>
  <c r="Q183" i="26" s="1"/>
  <c r="P26" i="26"/>
  <c r="O26" i="26"/>
  <c r="N26" i="26"/>
  <c r="M26" i="26"/>
  <c r="L26" i="26"/>
  <c r="K26" i="26"/>
  <c r="J26" i="26"/>
  <c r="J183" i="26" s="1"/>
  <c r="I26" i="26"/>
  <c r="H26" i="26"/>
  <c r="H183" i="26" s="1"/>
  <c r="G26" i="26"/>
  <c r="F26" i="26"/>
  <c r="F183" i="26" s="1"/>
  <c r="E26" i="26"/>
  <c r="E183" i="26" s="1"/>
  <c r="D26" i="26"/>
  <c r="V24" i="26"/>
  <c r="U24" i="26"/>
  <c r="T24" i="26"/>
  <c r="S24" i="26"/>
  <c r="S258" i="26" s="1"/>
  <c r="R24" i="26"/>
  <c r="Q24" i="26"/>
  <c r="Q181" i="26" s="1"/>
  <c r="P24" i="26"/>
  <c r="O24" i="26"/>
  <c r="N24" i="26"/>
  <c r="M24" i="26"/>
  <c r="M181" i="26" s="1"/>
  <c r="L24" i="26"/>
  <c r="K24" i="26"/>
  <c r="K181" i="26" s="1"/>
  <c r="J24" i="26"/>
  <c r="J103" i="26" s="1"/>
  <c r="I24" i="26"/>
  <c r="I181" i="26" s="1"/>
  <c r="H24" i="26"/>
  <c r="G24" i="26"/>
  <c r="F24" i="26"/>
  <c r="F103" i="26" s="1"/>
  <c r="E24" i="26"/>
  <c r="D24" i="26"/>
  <c r="V23" i="26"/>
  <c r="U23" i="26"/>
  <c r="T23" i="26"/>
  <c r="T180" i="26" s="1"/>
  <c r="S23" i="26"/>
  <c r="R23" i="26"/>
  <c r="Q23" i="26"/>
  <c r="P23" i="26"/>
  <c r="P180" i="26" s="1"/>
  <c r="O23" i="26"/>
  <c r="O180" i="26" s="1"/>
  <c r="N23" i="26"/>
  <c r="M23" i="26"/>
  <c r="L23" i="26"/>
  <c r="K23" i="26"/>
  <c r="J23" i="26"/>
  <c r="I23" i="26"/>
  <c r="I257" i="26" s="1"/>
  <c r="H23" i="26"/>
  <c r="G23" i="26"/>
  <c r="F23" i="26"/>
  <c r="E23" i="26"/>
  <c r="D23" i="26"/>
  <c r="V22" i="26"/>
  <c r="V101" i="26" s="1"/>
  <c r="U22" i="26"/>
  <c r="T22" i="26"/>
  <c r="S22" i="26"/>
  <c r="S179" i="26" s="1"/>
  <c r="R22" i="26"/>
  <c r="Q22" i="26"/>
  <c r="P22" i="26"/>
  <c r="P101" i="26" s="1"/>
  <c r="O22" i="26"/>
  <c r="N22" i="26"/>
  <c r="N256" i="26" s="1"/>
  <c r="M22" i="26"/>
  <c r="L22" i="26"/>
  <c r="L101" i="26" s="1"/>
  <c r="K22" i="26"/>
  <c r="J22" i="26"/>
  <c r="I22" i="26"/>
  <c r="H22" i="26"/>
  <c r="G22" i="26"/>
  <c r="G179" i="26" s="1"/>
  <c r="F22" i="26"/>
  <c r="F256" i="26" s="1"/>
  <c r="E22" i="26"/>
  <c r="D22" i="26"/>
  <c r="V21" i="26"/>
  <c r="V178" i="26" s="1"/>
  <c r="U21" i="26"/>
  <c r="T21" i="26"/>
  <c r="S21" i="26"/>
  <c r="S100" i="26" s="1"/>
  <c r="R21" i="26"/>
  <c r="R178" i="26" s="1"/>
  <c r="Q21" i="26"/>
  <c r="Q255" i="26" s="1"/>
  <c r="P21" i="26"/>
  <c r="P178" i="26" s="1"/>
  <c r="O21" i="26"/>
  <c r="N21" i="26"/>
  <c r="M21" i="26"/>
  <c r="L21" i="26"/>
  <c r="L255" i="26" s="1"/>
  <c r="K21" i="26"/>
  <c r="J21" i="26"/>
  <c r="J100" i="26" s="1"/>
  <c r="I21" i="26"/>
  <c r="H21" i="26"/>
  <c r="H178" i="26" s="1"/>
  <c r="G21" i="26"/>
  <c r="F21" i="26"/>
  <c r="F178" i="26" s="1"/>
  <c r="E21" i="26"/>
  <c r="D21" i="26"/>
  <c r="V20" i="26"/>
  <c r="U20" i="26"/>
  <c r="T20" i="26"/>
  <c r="S20" i="26"/>
  <c r="R20" i="26"/>
  <c r="Q20" i="26"/>
  <c r="P20" i="26"/>
  <c r="O20" i="26"/>
  <c r="N20" i="26"/>
  <c r="M20" i="26"/>
  <c r="M177" i="26" s="1"/>
  <c r="L20" i="26"/>
  <c r="L99" i="26" s="1"/>
  <c r="K20" i="26"/>
  <c r="J20" i="26"/>
  <c r="I20" i="26"/>
  <c r="I177" i="26" s="1"/>
  <c r="H20" i="26"/>
  <c r="H177" i="26" s="1"/>
  <c r="G20" i="26"/>
  <c r="F20" i="26"/>
  <c r="F99" i="26" s="1"/>
  <c r="E20" i="26"/>
  <c r="E99" i="26" s="1"/>
  <c r="D20" i="26"/>
  <c r="V19" i="26"/>
  <c r="V176" i="26" s="1"/>
  <c r="U19" i="26"/>
  <c r="T19" i="26"/>
  <c r="S19" i="26"/>
  <c r="R19" i="26"/>
  <c r="Q19" i="26"/>
  <c r="P19" i="26"/>
  <c r="P176" i="26" s="1"/>
  <c r="O19" i="26"/>
  <c r="N19" i="26"/>
  <c r="N176" i="26" s="1"/>
  <c r="M19" i="26"/>
  <c r="L19" i="26"/>
  <c r="L176" i="26" s="1"/>
  <c r="K19" i="26"/>
  <c r="J19" i="26"/>
  <c r="I19" i="26"/>
  <c r="H19" i="26"/>
  <c r="G19" i="26"/>
  <c r="G253" i="26" s="1"/>
  <c r="F19" i="26"/>
  <c r="E19" i="26"/>
  <c r="E98" i="26" s="1"/>
  <c r="D19" i="26"/>
  <c r="V18" i="26"/>
  <c r="U18" i="26"/>
  <c r="T18" i="26"/>
  <c r="S18" i="26"/>
  <c r="S175" i="26" s="1"/>
  <c r="R18" i="26"/>
  <c r="R252" i="26" s="1"/>
  <c r="Q18" i="26"/>
  <c r="P18" i="26"/>
  <c r="O18" i="26"/>
  <c r="O175" i="26" s="1"/>
  <c r="N18" i="26"/>
  <c r="N175" i="26" s="1"/>
  <c r="M18" i="26"/>
  <c r="M175" i="26" s="1"/>
  <c r="L18" i="26"/>
  <c r="K18" i="26"/>
  <c r="K175" i="26" s="1"/>
  <c r="J18" i="26"/>
  <c r="J252" i="26" s="1"/>
  <c r="I18" i="26"/>
  <c r="H18" i="26"/>
  <c r="H97" i="26" s="1"/>
  <c r="G18" i="26"/>
  <c r="G42" i="26" s="1"/>
  <c r="F18" i="26"/>
  <c r="E18" i="26"/>
  <c r="E252" i="26" s="1"/>
  <c r="D18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V16" i="26"/>
  <c r="U16" i="26"/>
  <c r="U173" i="26" s="1"/>
  <c r="T16" i="26"/>
  <c r="S16" i="26"/>
  <c r="R16" i="26"/>
  <c r="Q16" i="26"/>
  <c r="P16" i="26"/>
  <c r="O16" i="26"/>
  <c r="N16" i="26"/>
  <c r="N250" i="26" s="1"/>
  <c r="M16" i="26"/>
  <c r="L16" i="26"/>
  <c r="K16" i="26"/>
  <c r="J16" i="26"/>
  <c r="I16" i="26"/>
  <c r="I173" i="26" s="1"/>
  <c r="H16" i="26"/>
  <c r="G16" i="26"/>
  <c r="F16" i="26"/>
  <c r="E16" i="26"/>
  <c r="E173" i="26" s="1"/>
  <c r="D16" i="26"/>
  <c r="V15" i="26"/>
  <c r="U15" i="26"/>
  <c r="T15" i="26"/>
  <c r="S15" i="26"/>
  <c r="R15" i="26"/>
  <c r="Q15" i="26"/>
  <c r="P15" i="26"/>
  <c r="O15" i="26"/>
  <c r="N15" i="26"/>
  <c r="M15" i="26"/>
  <c r="L15" i="26"/>
  <c r="L172" i="26" s="1"/>
  <c r="K15" i="26"/>
  <c r="K249" i="26" s="1"/>
  <c r="J15" i="26"/>
  <c r="I15" i="26"/>
  <c r="H15" i="26"/>
  <c r="H172" i="26" s="1"/>
  <c r="G15" i="26"/>
  <c r="G172" i="26" s="1"/>
  <c r="F15" i="26"/>
  <c r="F172" i="26" s="1"/>
  <c r="E15" i="26"/>
  <c r="D15" i="26"/>
  <c r="D172" i="26" s="1"/>
  <c r="V14" i="26"/>
  <c r="V248" i="26" s="1"/>
  <c r="U14" i="26"/>
  <c r="T14" i="26"/>
  <c r="S14" i="26"/>
  <c r="R14" i="26"/>
  <c r="Q14" i="26"/>
  <c r="Q248" i="26" s="1"/>
  <c r="P14" i="26"/>
  <c r="O14" i="26"/>
  <c r="O171" i="26" s="1"/>
  <c r="N14" i="26"/>
  <c r="M14" i="26"/>
  <c r="L14" i="26"/>
  <c r="K14" i="26"/>
  <c r="K171" i="26" s="1"/>
  <c r="J14" i="26"/>
  <c r="J93" i="26" s="1"/>
  <c r="I14" i="26"/>
  <c r="H14" i="26"/>
  <c r="G14" i="26"/>
  <c r="G171" i="26" s="1"/>
  <c r="F14" i="26"/>
  <c r="F171" i="26" s="1"/>
  <c r="E14" i="26"/>
  <c r="D14" i="26"/>
  <c r="V13" i="26"/>
  <c r="U13" i="26"/>
  <c r="T13" i="26"/>
  <c r="T92" i="26" s="1"/>
  <c r="S13" i="26"/>
  <c r="R13" i="26"/>
  <c r="R170" i="26" s="1"/>
  <c r="Q13" i="26"/>
  <c r="P13" i="26"/>
  <c r="O13" i="26"/>
  <c r="O247" i="26" s="1"/>
  <c r="N13" i="26"/>
  <c r="N170" i="26" s="1"/>
  <c r="M13" i="26"/>
  <c r="L13" i="26"/>
  <c r="K13" i="26"/>
  <c r="J13" i="26"/>
  <c r="I13" i="26"/>
  <c r="H13" i="26"/>
  <c r="G13" i="26"/>
  <c r="F13" i="26"/>
  <c r="E13" i="26"/>
  <c r="D13" i="26"/>
  <c r="C299" i="25"/>
  <c r="E296" i="25"/>
  <c r="J295" i="25"/>
  <c r="F294" i="25"/>
  <c r="E294" i="25"/>
  <c r="E292" i="25"/>
  <c r="K291" i="25"/>
  <c r="J291" i="25"/>
  <c r="I290" i="25"/>
  <c r="I288" i="25"/>
  <c r="E288" i="25"/>
  <c r="F287" i="25"/>
  <c r="F285" i="25"/>
  <c r="I284" i="25"/>
  <c r="J283" i="25"/>
  <c r="K281" i="25"/>
  <c r="J281" i="25"/>
  <c r="F281" i="25"/>
  <c r="E278" i="25"/>
  <c r="J277" i="25"/>
  <c r="J275" i="25"/>
  <c r="I274" i="25"/>
  <c r="F274" i="25"/>
  <c r="D274" i="25"/>
  <c r="J273" i="25"/>
  <c r="E273" i="25"/>
  <c r="J271" i="25"/>
  <c r="G269" i="25"/>
  <c r="J267" i="25"/>
  <c r="C257" i="25"/>
  <c r="I256" i="25"/>
  <c r="G256" i="25"/>
  <c r="K255" i="25"/>
  <c r="J255" i="25"/>
  <c r="J297" i="25" s="1"/>
  <c r="I255" i="25"/>
  <c r="I297" i="25" s="1"/>
  <c r="H255" i="25"/>
  <c r="H297" i="25" s="1"/>
  <c r="G255" i="25"/>
  <c r="F255" i="25"/>
  <c r="F297" i="25" s="1"/>
  <c r="E255" i="25"/>
  <c r="D255" i="25"/>
  <c r="K254" i="25"/>
  <c r="J254" i="25"/>
  <c r="I254" i="25"/>
  <c r="H254" i="25"/>
  <c r="G254" i="25"/>
  <c r="F254" i="25"/>
  <c r="E254" i="25"/>
  <c r="D254" i="25"/>
  <c r="K253" i="25"/>
  <c r="J253" i="25"/>
  <c r="I253" i="25"/>
  <c r="I295" i="25" s="1"/>
  <c r="H253" i="25"/>
  <c r="H295" i="25" s="1"/>
  <c r="G253" i="25"/>
  <c r="F253" i="25"/>
  <c r="F295" i="25" s="1"/>
  <c r="E253" i="25"/>
  <c r="D253" i="25"/>
  <c r="K252" i="25"/>
  <c r="K294" i="25" s="1"/>
  <c r="J252" i="25"/>
  <c r="I252" i="25"/>
  <c r="H252" i="25"/>
  <c r="H294" i="25" s="1"/>
  <c r="G252" i="25"/>
  <c r="G294" i="25" s="1"/>
  <c r="F252" i="25"/>
  <c r="E252" i="25"/>
  <c r="D252" i="25"/>
  <c r="K251" i="25"/>
  <c r="J251" i="25"/>
  <c r="J293" i="25" s="1"/>
  <c r="I251" i="25"/>
  <c r="I293" i="25" s="1"/>
  <c r="H251" i="25"/>
  <c r="H293" i="25" s="1"/>
  <c r="G251" i="25"/>
  <c r="F251" i="25"/>
  <c r="F293" i="25" s="1"/>
  <c r="E251" i="25"/>
  <c r="D251" i="25"/>
  <c r="K250" i="25"/>
  <c r="J250" i="25"/>
  <c r="I250" i="25"/>
  <c r="H250" i="25"/>
  <c r="G250" i="25"/>
  <c r="F250" i="25"/>
  <c r="E250" i="25"/>
  <c r="D250" i="25"/>
  <c r="K249" i="25"/>
  <c r="J249" i="25"/>
  <c r="I249" i="25"/>
  <c r="I291" i="25" s="1"/>
  <c r="H249" i="25"/>
  <c r="H291" i="25" s="1"/>
  <c r="G249" i="25"/>
  <c r="F249" i="25"/>
  <c r="F291" i="25" s="1"/>
  <c r="E249" i="25"/>
  <c r="D249" i="25"/>
  <c r="K248" i="25"/>
  <c r="J248" i="25"/>
  <c r="I248" i="25"/>
  <c r="H248" i="25"/>
  <c r="G248" i="25"/>
  <c r="F248" i="25"/>
  <c r="E248" i="25"/>
  <c r="D248" i="25"/>
  <c r="K247" i="25"/>
  <c r="J247" i="25"/>
  <c r="J289" i="25" s="1"/>
  <c r="I247" i="25"/>
  <c r="I289" i="25" s="1"/>
  <c r="H247" i="25"/>
  <c r="H289" i="25" s="1"/>
  <c r="G247" i="25"/>
  <c r="F247" i="25"/>
  <c r="F289" i="25" s="1"/>
  <c r="E247" i="25"/>
  <c r="D247" i="25"/>
  <c r="K246" i="25"/>
  <c r="J246" i="25"/>
  <c r="I246" i="25"/>
  <c r="H246" i="25"/>
  <c r="G246" i="25"/>
  <c r="F246" i="25"/>
  <c r="E246" i="25"/>
  <c r="D246" i="25"/>
  <c r="K245" i="25"/>
  <c r="J245" i="25"/>
  <c r="J287" i="25" s="1"/>
  <c r="I245" i="25"/>
  <c r="I287" i="25" s="1"/>
  <c r="H245" i="25"/>
  <c r="H287" i="25" s="1"/>
  <c r="G245" i="25"/>
  <c r="G287" i="25" s="1"/>
  <c r="F245" i="25"/>
  <c r="E245" i="25"/>
  <c r="D245" i="25"/>
  <c r="K244" i="25"/>
  <c r="J244" i="25"/>
  <c r="I244" i="25"/>
  <c r="I286" i="25" s="1"/>
  <c r="H244" i="25"/>
  <c r="G244" i="25"/>
  <c r="F244" i="25"/>
  <c r="E244" i="25"/>
  <c r="D244" i="25"/>
  <c r="K243" i="25"/>
  <c r="J243" i="25"/>
  <c r="J285" i="25" s="1"/>
  <c r="I243" i="25"/>
  <c r="I285" i="25" s="1"/>
  <c r="H243" i="25"/>
  <c r="H285" i="25" s="1"/>
  <c r="G243" i="25"/>
  <c r="F243" i="25"/>
  <c r="E243" i="25"/>
  <c r="D243" i="25"/>
  <c r="K242" i="25"/>
  <c r="J242" i="25"/>
  <c r="I242" i="25"/>
  <c r="H242" i="25"/>
  <c r="G242" i="25"/>
  <c r="F242" i="25"/>
  <c r="E242" i="25"/>
  <c r="D242" i="25"/>
  <c r="K241" i="25"/>
  <c r="J241" i="25"/>
  <c r="I241" i="25"/>
  <c r="I283" i="25" s="1"/>
  <c r="H241" i="25"/>
  <c r="H283" i="25" s="1"/>
  <c r="G241" i="25"/>
  <c r="G283" i="25" s="1"/>
  <c r="F241" i="25"/>
  <c r="F283" i="25" s="1"/>
  <c r="E241" i="25"/>
  <c r="D241" i="25"/>
  <c r="K240" i="25"/>
  <c r="J240" i="25"/>
  <c r="I240" i="25"/>
  <c r="I282" i="25" s="1"/>
  <c r="H240" i="25"/>
  <c r="G240" i="25"/>
  <c r="F240" i="25"/>
  <c r="E240" i="25"/>
  <c r="D240" i="25"/>
  <c r="K239" i="25"/>
  <c r="J239" i="25"/>
  <c r="I239" i="25"/>
  <c r="I281" i="25" s="1"/>
  <c r="H239" i="25"/>
  <c r="H281" i="25" s="1"/>
  <c r="G239" i="25"/>
  <c r="G281" i="25" s="1"/>
  <c r="F239" i="25"/>
  <c r="E239" i="25"/>
  <c r="D239" i="25"/>
  <c r="K238" i="25"/>
  <c r="J238" i="25"/>
  <c r="I238" i="25"/>
  <c r="I280" i="25" s="1"/>
  <c r="H238" i="25"/>
  <c r="G238" i="25"/>
  <c r="F238" i="25"/>
  <c r="E238" i="25"/>
  <c r="D238" i="25"/>
  <c r="K237" i="25"/>
  <c r="J237" i="25"/>
  <c r="J279" i="25" s="1"/>
  <c r="I237" i="25"/>
  <c r="I279" i="25" s="1"/>
  <c r="H237" i="25"/>
  <c r="H279" i="25" s="1"/>
  <c r="G237" i="25"/>
  <c r="G279" i="25" s="1"/>
  <c r="F237" i="25"/>
  <c r="F279" i="25" s="1"/>
  <c r="E237" i="25"/>
  <c r="E279" i="25" s="1"/>
  <c r="D237" i="25"/>
  <c r="D279" i="25" s="1"/>
  <c r="K236" i="25"/>
  <c r="J236" i="25"/>
  <c r="I236" i="25"/>
  <c r="I278" i="25" s="1"/>
  <c r="H236" i="25"/>
  <c r="G236" i="25"/>
  <c r="F236" i="25"/>
  <c r="E236" i="25"/>
  <c r="D236" i="25"/>
  <c r="K235" i="25"/>
  <c r="J235" i="25"/>
  <c r="I235" i="25"/>
  <c r="I277" i="25" s="1"/>
  <c r="H235" i="25"/>
  <c r="H277" i="25" s="1"/>
  <c r="G235" i="25"/>
  <c r="F235" i="25"/>
  <c r="E235" i="25"/>
  <c r="D235" i="25"/>
  <c r="K234" i="25"/>
  <c r="J234" i="25"/>
  <c r="I234" i="25"/>
  <c r="I276" i="25" s="1"/>
  <c r="H234" i="25"/>
  <c r="G234" i="25"/>
  <c r="F234" i="25"/>
  <c r="E234" i="25"/>
  <c r="D234" i="25"/>
  <c r="K233" i="25"/>
  <c r="J233" i="25"/>
  <c r="I233" i="25"/>
  <c r="I275" i="25" s="1"/>
  <c r="H233" i="25"/>
  <c r="H275" i="25" s="1"/>
  <c r="G233" i="25"/>
  <c r="G275" i="25" s="1"/>
  <c r="F233" i="25"/>
  <c r="E233" i="25"/>
  <c r="D233" i="25"/>
  <c r="K232" i="25"/>
  <c r="J232" i="25"/>
  <c r="I232" i="25"/>
  <c r="H232" i="25"/>
  <c r="G232" i="25"/>
  <c r="F232" i="25"/>
  <c r="E232" i="25"/>
  <c r="D232" i="25"/>
  <c r="K231" i="25"/>
  <c r="J231" i="25"/>
  <c r="I231" i="25"/>
  <c r="I273" i="25" s="1"/>
  <c r="H231" i="25"/>
  <c r="H273" i="25" s="1"/>
  <c r="G231" i="25"/>
  <c r="G273" i="25" s="1"/>
  <c r="F231" i="25"/>
  <c r="E231" i="25"/>
  <c r="D231" i="25"/>
  <c r="K230" i="25"/>
  <c r="J230" i="25"/>
  <c r="I230" i="25"/>
  <c r="I272" i="25" s="1"/>
  <c r="H230" i="25"/>
  <c r="G230" i="25"/>
  <c r="F230" i="25"/>
  <c r="E230" i="25"/>
  <c r="D230" i="25"/>
  <c r="K229" i="25"/>
  <c r="J229" i="25"/>
  <c r="I229" i="25"/>
  <c r="I271" i="25" s="1"/>
  <c r="H229" i="25"/>
  <c r="H271" i="25" s="1"/>
  <c r="G229" i="25"/>
  <c r="G271" i="25" s="1"/>
  <c r="F229" i="25"/>
  <c r="F271" i="25" s="1"/>
  <c r="E229" i="25"/>
  <c r="D229" i="25"/>
  <c r="K228" i="25"/>
  <c r="J228" i="25"/>
  <c r="I228" i="25"/>
  <c r="I270" i="25" s="1"/>
  <c r="H228" i="25"/>
  <c r="G228" i="25"/>
  <c r="F228" i="25"/>
  <c r="E228" i="25"/>
  <c r="D228" i="25"/>
  <c r="K227" i="25"/>
  <c r="J227" i="25"/>
  <c r="J269" i="25" s="1"/>
  <c r="I227" i="25"/>
  <c r="I269" i="25" s="1"/>
  <c r="H227" i="25"/>
  <c r="H269" i="25" s="1"/>
  <c r="G227" i="25"/>
  <c r="F227" i="25"/>
  <c r="E227" i="25"/>
  <c r="D227" i="25"/>
  <c r="K226" i="25"/>
  <c r="J226" i="25"/>
  <c r="I226" i="25"/>
  <c r="I268" i="25" s="1"/>
  <c r="H226" i="25"/>
  <c r="G226" i="25"/>
  <c r="F226" i="25"/>
  <c r="E226" i="25"/>
  <c r="D226" i="25"/>
  <c r="K225" i="25"/>
  <c r="J225" i="25"/>
  <c r="J256" i="25" s="1"/>
  <c r="I225" i="25"/>
  <c r="I267" i="25" s="1"/>
  <c r="H225" i="25"/>
  <c r="G225" i="25"/>
  <c r="F225" i="25"/>
  <c r="E225" i="25"/>
  <c r="E256" i="25" s="1"/>
  <c r="D225" i="25"/>
  <c r="C216" i="25"/>
  <c r="J214" i="25"/>
  <c r="H214" i="25"/>
  <c r="F214" i="25"/>
  <c r="I213" i="25"/>
  <c r="J212" i="25"/>
  <c r="I211" i="25"/>
  <c r="H211" i="25"/>
  <c r="F210" i="25"/>
  <c r="I209" i="25"/>
  <c r="J208" i="25"/>
  <c r="I207" i="25"/>
  <c r="J206" i="25"/>
  <c r="H206" i="25"/>
  <c r="F206" i="25"/>
  <c r="I205" i="25"/>
  <c r="J204" i="25"/>
  <c r="I203" i="25"/>
  <c r="H203" i="25"/>
  <c r="F202" i="25"/>
  <c r="I201" i="25"/>
  <c r="J200" i="25"/>
  <c r="I199" i="25"/>
  <c r="J198" i="25"/>
  <c r="H198" i="25"/>
  <c r="F198" i="25"/>
  <c r="I197" i="25"/>
  <c r="J196" i="25"/>
  <c r="G196" i="25"/>
  <c r="F196" i="25"/>
  <c r="E196" i="25"/>
  <c r="D196" i="25"/>
  <c r="I195" i="25"/>
  <c r="H195" i="25"/>
  <c r="I193" i="25"/>
  <c r="J192" i="25"/>
  <c r="I191" i="25"/>
  <c r="J190" i="25"/>
  <c r="H190" i="25"/>
  <c r="E190" i="25"/>
  <c r="J189" i="25"/>
  <c r="I189" i="25"/>
  <c r="J188" i="25"/>
  <c r="I187" i="25"/>
  <c r="H187" i="25"/>
  <c r="I185" i="25"/>
  <c r="J184" i="25"/>
  <c r="C174" i="25"/>
  <c r="G173" i="25"/>
  <c r="F173" i="25"/>
  <c r="K172" i="25"/>
  <c r="K214" i="25" s="1"/>
  <c r="J172" i="25"/>
  <c r="I172" i="25"/>
  <c r="H172" i="25"/>
  <c r="G172" i="25"/>
  <c r="F172" i="25"/>
  <c r="E172" i="25"/>
  <c r="D172" i="25"/>
  <c r="K171" i="25"/>
  <c r="J171" i="25"/>
  <c r="I171" i="25"/>
  <c r="H171" i="25"/>
  <c r="H213" i="25" s="1"/>
  <c r="G171" i="25"/>
  <c r="F171" i="25"/>
  <c r="E171" i="25"/>
  <c r="E213" i="25" s="1"/>
  <c r="D171" i="25"/>
  <c r="K170" i="25"/>
  <c r="K212" i="25" s="1"/>
  <c r="J170" i="25"/>
  <c r="I170" i="25"/>
  <c r="H170" i="25"/>
  <c r="H212" i="25" s="1"/>
  <c r="G170" i="25"/>
  <c r="F170" i="25"/>
  <c r="E170" i="25"/>
  <c r="D170" i="25"/>
  <c r="K169" i="25"/>
  <c r="K211" i="25" s="1"/>
  <c r="J169" i="25"/>
  <c r="I169" i="25"/>
  <c r="H169" i="25"/>
  <c r="G169" i="25"/>
  <c r="G211" i="25" s="1"/>
  <c r="F169" i="25"/>
  <c r="F211" i="25" s="1"/>
  <c r="E169" i="25"/>
  <c r="E211" i="25" s="1"/>
  <c r="D169" i="25"/>
  <c r="K168" i="25"/>
  <c r="K210" i="25" s="1"/>
  <c r="J168" i="25"/>
  <c r="J210" i="25" s="1"/>
  <c r="I168" i="25"/>
  <c r="H168" i="25"/>
  <c r="H210" i="25" s="1"/>
  <c r="G168" i="25"/>
  <c r="F168" i="25"/>
  <c r="E168" i="25"/>
  <c r="D168" i="25"/>
  <c r="D210" i="25" s="1"/>
  <c r="K167" i="25"/>
  <c r="J167" i="25"/>
  <c r="I167" i="25"/>
  <c r="H167" i="25"/>
  <c r="H209" i="25" s="1"/>
  <c r="G167" i="25"/>
  <c r="F167" i="25"/>
  <c r="E167" i="25"/>
  <c r="E209" i="25" s="1"/>
  <c r="D167" i="25"/>
  <c r="K166" i="25"/>
  <c r="K208" i="25" s="1"/>
  <c r="J166" i="25"/>
  <c r="I166" i="25"/>
  <c r="H166" i="25"/>
  <c r="H208" i="25" s="1"/>
  <c r="G166" i="25"/>
  <c r="F166" i="25"/>
  <c r="E166" i="25"/>
  <c r="D166" i="25"/>
  <c r="K165" i="25"/>
  <c r="J165" i="25"/>
  <c r="I165" i="25"/>
  <c r="H165" i="25"/>
  <c r="H207" i="25" s="1"/>
  <c r="G165" i="25"/>
  <c r="F165" i="25"/>
  <c r="E165" i="25"/>
  <c r="E207" i="25" s="1"/>
  <c r="D165" i="25"/>
  <c r="K164" i="25"/>
  <c r="K206" i="25" s="1"/>
  <c r="J164" i="25"/>
  <c r="I164" i="25"/>
  <c r="H164" i="25"/>
  <c r="G164" i="25"/>
  <c r="F164" i="25"/>
  <c r="E164" i="25"/>
  <c r="D164" i="25"/>
  <c r="K163" i="25"/>
  <c r="J163" i="25"/>
  <c r="I163" i="25"/>
  <c r="H163" i="25"/>
  <c r="H205" i="25" s="1"/>
  <c r="G163" i="25"/>
  <c r="F163" i="25"/>
  <c r="E163" i="25"/>
  <c r="E205" i="25" s="1"/>
  <c r="D163" i="25"/>
  <c r="K162" i="25"/>
  <c r="K204" i="25" s="1"/>
  <c r="J162" i="25"/>
  <c r="I162" i="25"/>
  <c r="H162" i="25"/>
  <c r="H204" i="25" s="1"/>
  <c r="G162" i="25"/>
  <c r="F162" i="25"/>
  <c r="E162" i="25"/>
  <c r="D162" i="25"/>
  <c r="K161" i="25"/>
  <c r="J161" i="25"/>
  <c r="I161" i="25"/>
  <c r="H161" i="25"/>
  <c r="G161" i="25"/>
  <c r="F161" i="25"/>
  <c r="E161" i="25"/>
  <c r="E203" i="25" s="1"/>
  <c r="D161" i="25"/>
  <c r="K160" i="25"/>
  <c r="K202" i="25" s="1"/>
  <c r="J160" i="25"/>
  <c r="J202" i="25" s="1"/>
  <c r="I160" i="25"/>
  <c r="H160" i="25"/>
  <c r="H202" i="25" s="1"/>
  <c r="G160" i="25"/>
  <c r="F160" i="25"/>
  <c r="E160" i="25"/>
  <c r="D160" i="25"/>
  <c r="D202" i="25" s="1"/>
  <c r="K159" i="25"/>
  <c r="J159" i="25"/>
  <c r="I159" i="25"/>
  <c r="H159" i="25"/>
  <c r="H201" i="25" s="1"/>
  <c r="G159" i="25"/>
  <c r="F159" i="25"/>
  <c r="E159" i="25"/>
  <c r="E201" i="25" s="1"/>
  <c r="D159" i="25"/>
  <c r="K158" i="25"/>
  <c r="K200" i="25" s="1"/>
  <c r="J158" i="25"/>
  <c r="I158" i="25"/>
  <c r="H158" i="25"/>
  <c r="H200" i="25" s="1"/>
  <c r="G158" i="25"/>
  <c r="F158" i="25"/>
  <c r="E158" i="25"/>
  <c r="D158" i="25"/>
  <c r="K157" i="25"/>
  <c r="J157" i="25"/>
  <c r="I157" i="25"/>
  <c r="H157" i="25"/>
  <c r="H199" i="25" s="1"/>
  <c r="G157" i="25"/>
  <c r="F157" i="25"/>
  <c r="E157" i="25"/>
  <c r="E199" i="25" s="1"/>
  <c r="D157" i="25"/>
  <c r="K156" i="25"/>
  <c r="K198" i="25" s="1"/>
  <c r="J156" i="25"/>
  <c r="I156" i="25"/>
  <c r="H156" i="25"/>
  <c r="G156" i="25"/>
  <c r="F156" i="25"/>
  <c r="E156" i="25"/>
  <c r="D156" i="25"/>
  <c r="K155" i="25"/>
  <c r="J155" i="25"/>
  <c r="I155" i="25"/>
  <c r="H155" i="25"/>
  <c r="H197" i="25" s="1"/>
  <c r="G155" i="25"/>
  <c r="F155" i="25"/>
  <c r="E155" i="25"/>
  <c r="E197" i="25" s="1"/>
  <c r="D155" i="25"/>
  <c r="K154" i="25"/>
  <c r="K196" i="25" s="1"/>
  <c r="J154" i="25"/>
  <c r="I154" i="25"/>
  <c r="H154" i="25"/>
  <c r="H196" i="25" s="1"/>
  <c r="G154" i="25"/>
  <c r="F154" i="25"/>
  <c r="E154" i="25"/>
  <c r="D154" i="25"/>
  <c r="K153" i="25"/>
  <c r="J153" i="25"/>
  <c r="I153" i="25"/>
  <c r="H153" i="25"/>
  <c r="G153" i="25"/>
  <c r="F153" i="25"/>
  <c r="E153" i="25"/>
  <c r="E195" i="25" s="1"/>
  <c r="D153" i="25"/>
  <c r="K152" i="25"/>
  <c r="K194" i="25" s="1"/>
  <c r="J152" i="25"/>
  <c r="J194" i="25" s="1"/>
  <c r="I152" i="25"/>
  <c r="H152" i="25"/>
  <c r="H194" i="25" s="1"/>
  <c r="G152" i="25"/>
  <c r="F152" i="25"/>
  <c r="E152" i="25"/>
  <c r="D152" i="25"/>
  <c r="D194" i="25" s="1"/>
  <c r="K151" i="25"/>
  <c r="J151" i="25"/>
  <c r="I151" i="25"/>
  <c r="H151" i="25"/>
  <c r="H193" i="25" s="1"/>
  <c r="G151" i="25"/>
  <c r="F151" i="25"/>
  <c r="E151" i="25"/>
  <c r="E193" i="25" s="1"/>
  <c r="D151" i="25"/>
  <c r="K150" i="25"/>
  <c r="K192" i="25" s="1"/>
  <c r="J150" i="25"/>
  <c r="I150" i="25"/>
  <c r="H150" i="25"/>
  <c r="H192" i="25" s="1"/>
  <c r="G150" i="25"/>
  <c r="F150" i="25"/>
  <c r="E150" i="25"/>
  <c r="D150" i="25"/>
  <c r="K149" i="25"/>
  <c r="J149" i="25"/>
  <c r="I149" i="25"/>
  <c r="H149" i="25"/>
  <c r="H191" i="25" s="1"/>
  <c r="G149" i="25"/>
  <c r="F149" i="25"/>
  <c r="E149" i="25"/>
  <c r="E191" i="25" s="1"/>
  <c r="D149" i="25"/>
  <c r="K148" i="25"/>
  <c r="K190" i="25" s="1"/>
  <c r="J148" i="25"/>
  <c r="I148" i="25"/>
  <c r="H148" i="25"/>
  <c r="G148" i="25"/>
  <c r="F148" i="25"/>
  <c r="E148" i="25"/>
  <c r="D148" i="25"/>
  <c r="K147" i="25"/>
  <c r="J147" i="25"/>
  <c r="I147" i="25"/>
  <c r="H147" i="25"/>
  <c r="H189" i="25" s="1"/>
  <c r="G147" i="25"/>
  <c r="F147" i="25"/>
  <c r="E147" i="25"/>
  <c r="E189" i="25" s="1"/>
  <c r="D147" i="25"/>
  <c r="K146" i="25"/>
  <c r="K188" i="25" s="1"/>
  <c r="J146" i="25"/>
  <c r="I146" i="25"/>
  <c r="H146" i="25"/>
  <c r="H188" i="25" s="1"/>
  <c r="G146" i="25"/>
  <c r="F146" i="25"/>
  <c r="E146" i="25"/>
  <c r="D146" i="25"/>
  <c r="K145" i="25"/>
  <c r="J145" i="25"/>
  <c r="I145" i="25"/>
  <c r="H145" i="25"/>
  <c r="G145" i="25"/>
  <c r="F145" i="25"/>
  <c r="E145" i="25"/>
  <c r="E187" i="25" s="1"/>
  <c r="D145" i="25"/>
  <c r="K144" i="25"/>
  <c r="K186" i="25" s="1"/>
  <c r="J144" i="25"/>
  <c r="J186" i="25" s="1"/>
  <c r="I144" i="25"/>
  <c r="H144" i="25"/>
  <c r="H186" i="25" s="1"/>
  <c r="G144" i="25"/>
  <c r="F144" i="25"/>
  <c r="E144" i="25"/>
  <c r="D144" i="25"/>
  <c r="D186" i="25" s="1"/>
  <c r="K143" i="25"/>
  <c r="J143" i="25"/>
  <c r="I143" i="25"/>
  <c r="H143" i="25"/>
  <c r="H185" i="25" s="1"/>
  <c r="G143" i="25"/>
  <c r="F143" i="25"/>
  <c r="E143" i="25"/>
  <c r="D143" i="25"/>
  <c r="K142" i="25"/>
  <c r="J142" i="25"/>
  <c r="J173" i="25" s="1"/>
  <c r="I142" i="25"/>
  <c r="I173" i="25" s="1"/>
  <c r="H142" i="25"/>
  <c r="H173" i="25" s="1"/>
  <c r="G142" i="25"/>
  <c r="F142" i="25"/>
  <c r="E142" i="25"/>
  <c r="D142" i="25"/>
  <c r="D173" i="25" s="1"/>
  <c r="C132" i="25"/>
  <c r="J130" i="25"/>
  <c r="D130" i="25"/>
  <c r="I129" i="25"/>
  <c r="F129" i="25"/>
  <c r="D129" i="25"/>
  <c r="K128" i="25"/>
  <c r="J128" i="25"/>
  <c r="D128" i="25"/>
  <c r="I127" i="25"/>
  <c r="G127" i="25"/>
  <c r="E127" i="25"/>
  <c r="J126" i="25"/>
  <c r="I125" i="25"/>
  <c r="J124" i="25"/>
  <c r="G124" i="25"/>
  <c r="D124" i="25"/>
  <c r="K123" i="25"/>
  <c r="I123" i="25"/>
  <c r="D123" i="25"/>
  <c r="J122" i="25"/>
  <c r="D122" i="25"/>
  <c r="I121" i="25"/>
  <c r="E121" i="25"/>
  <c r="J120" i="25"/>
  <c r="D120" i="25"/>
  <c r="I119" i="25"/>
  <c r="H119" i="25"/>
  <c r="E119" i="25"/>
  <c r="J118" i="25"/>
  <c r="I117" i="25"/>
  <c r="H117" i="25"/>
  <c r="E117" i="25"/>
  <c r="K116" i="25"/>
  <c r="J116" i="25"/>
  <c r="D116" i="25"/>
  <c r="I115" i="25"/>
  <c r="F115" i="25"/>
  <c r="D115" i="25"/>
  <c r="K114" i="25"/>
  <c r="J114" i="25"/>
  <c r="D113" i="25"/>
  <c r="J112" i="25"/>
  <c r="D112" i="25"/>
  <c r="I111" i="25"/>
  <c r="D111" i="25"/>
  <c r="J110" i="25"/>
  <c r="G110" i="25"/>
  <c r="E110" i="25"/>
  <c r="I109" i="25"/>
  <c r="J108" i="25"/>
  <c r="D108" i="25"/>
  <c r="I107" i="25"/>
  <c r="J106" i="25"/>
  <c r="D106" i="25"/>
  <c r="I105" i="25"/>
  <c r="G105" i="25"/>
  <c r="E105" i="25"/>
  <c r="J104" i="25"/>
  <c r="D104" i="25"/>
  <c r="I103" i="25"/>
  <c r="E103" i="25"/>
  <c r="J102" i="25"/>
  <c r="I101" i="25"/>
  <c r="E101" i="25"/>
  <c r="K100" i="25"/>
  <c r="J100" i="25"/>
  <c r="C90" i="25"/>
  <c r="F89" i="25"/>
  <c r="K88" i="25"/>
  <c r="K130" i="25" s="1"/>
  <c r="J88" i="25"/>
  <c r="I88" i="25"/>
  <c r="H88" i="25"/>
  <c r="H130" i="25" s="1"/>
  <c r="G88" i="25"/>
  <c r="F88" i="25"/>
  <c r="E88" i="25"/>
  <c r="D88" i="25"/>
  <c r="K87" i="25"/>
  <c r="K129" i="25" s="1"/>
  <c r="J87" i="25"/>
  <c r="I87" i="25"/>
  <c r="H87" i="25"/>
  <c r="H129" i="25" s="1"/>
  <c r="G87" i="25"/>
  <c r="F87" i="25"/>
  <c r="E87" i="25"/>
  <c r="E129" i="25" s="1"/>
  <c r="D87" i="25"/>
  <c r="K86" i="25"/>
  <c r="J86" i="25"/>
  <c r="I86" i="25"/>
  <c r="H86" i="25"/>
  <c r="H128" i="25" s="1"/>
  <c r="G86" i="25"/>
  <c r="F86" i="25"/>
  <c r="E86" i="25"/>
  <c r="D86" i="25"/>
  <c r="K85" i="25"/>
  <c r="K127" i="25" s="1"/>
  <c r="J85" i="25"/>
  <c r="I85" i="25"/>
  <c r="H85" i="25"/>
  <c r="H127" i="25" s="1"/>
  <c r="G85" i="25"/>
  <c r="F85" i="25"/>
  <c r="F127" i="25" s="1"/>
  <c r="E85" i="25"/>
  <c r="D85" i="25"/>
  <c r="D127" i="25" s="1"/>
  <c r="K84" i="25"/>
  <c r="K126" i="25" s="1"/>
  <c r="J84" i="25"/>
  <c r="I84" i="25"/>
  <c r="H84" i="25"/>
  <c r="H126" i="25" s="1"/>
  <c r="G84" i="25"/>
  <c r="F84" i="25"/>
  <c r="E84" i="25"/>
  <c r="D84" i="25"/>
  <c r="D126" i="25" s="1"/>
  <c r="K83" i="25"/>
  <c r="K125" i="25" s="1"/>
  <c r="J83" i="25"/>
  <c r="I83" i="25"/>
  <c r="H83" i="25"/>
  <c r="H125" i="25" s="1"/>
  <c r="G83" i="25"/>
  <c r="F83" i="25"/>
  <c r="F125" i="25" s="1"/>
  <c r="E83" i="25"/>
  <c r="E125" i="25" s="1"/>
  <c r="D83" i="25"/>
  <c r="D125" i="25" s="1"/>
  <c r="K82" i="25"/>
  <c r="K124" i="25" s="1"/>
  <c r="J82" i="25"/>
  <c r="I82" i="25"/>
  <c r="H82" i="25"/>
  <c r="H124" i="25" s="1"/>
  <c r="G82" i="25"/>
  <c r="F82" i="25"/>
  <c r="E82" i="25"/>
  <c r="D82" i="25"/>
  <c r="K81" i="25"/>
  <c r="J81" i="25"/>
  <c r="I81" i="25"/>
  <c r="H81" i="25"/>
  <c r="H123" i="25" s="1"/>
  <c r="G81" i="25"/>
  <c r="F81" i="25"/>
  <c r="E81" i="25"/>
  <c r="E123" i="25" s="1"/>
  <c r="D81" i="25"/>
  <c r="K80" i="25"/>
  <c r="K122" i="25" s="1"/>
  <c r="J80" i="25"/>
  <c r="I80" i="25"/>
  <c r="H80" i="25"/>
  <c r="H122" i="25" s="1"/>
  <c r="G80" i="25"/>
  <c r="G122" i="25" s="1"/>
  <c r="F80" i="25"/>
  <c r="E80" i="25"/>
  <c r="D80" i="25"/>
  <c r="K79" i="25"/>
  <c r="K121" i="25" s="1"/>
  <c r="J79" i="25"/>
  <c r="J121" i="25" s="1"/>
  <c r="I79" i="25"/>
  <c r="H79" i="25"/>
  <c r="H121" i="25" s="1"/>
  <c r="G79" i="25"/>
  <c r="F79" i="25"/>
  <c r="E79" i="25"/>
  <c r="D79" i="25"/>
  <c r="K78" i="25"/>
  <c r="K120" i="25" s="1"/>
  <c r="J78" i="25"/>
  <c r="I78" i="25"/>
  <c r="H78" i="25"/>
  <c r="H120" i="25" s="1"/>
  <c r="G78" i="25"/>
  <c r="F78" i="25"/>
  <c r="E78" i="25"/>
  <c r="D78" i="25"/>
  <c r="K77" i="25"/>
  <c r="K119" i="25" s="1"/>
  <c r="J77" i="25"/>
  <c r="J119" i="25" s="1"/>
  <c r="I77" i="25"/>
  <c r="H77" i="25"/>
  <c r="G77" i="25"/>
  <c r="F77" i="25"/>
  <c r="E77" i="25"/>
  <c r="D77" i="25"/>
  <c r="K76" i="25"/>
  <c r="K118" i="25" s="1"/>
  <c r="J76" i="25"/>
  <c r="I76" i="25"/>
  <c r="H76" i="25"/>
  <c r="H118" i="25" s="1"/>
  <c r="G76" i="25"/>
  <c r="G118" i="25" s="1"/>
  <c r="F76" i="25"/>
  <c r="E76" i="25"/>
  <c r="D76" i="25"/>
  <c r="D118" i="25" s="1"/>
  <c r="K75" i="25"/>
  <c r="K117" i="25" s="1"/>
  <c r="J75" i="25"/>
  <c r="J117" i="25" s="1"/>
  <c r="I75" i="25"/>
  <c r="H75" i="25"/>
  <c r="G75" i="25"/>
  <c r="F75" i="25"/>
  <c r="F117" i="25" s="1"/>
  <c r="E75" i="25"/>
  <c r="D75" i="25"/>
  <c r="K74" i="25"/>
  <c r="J74" i="25"/>
  <c r="I74" i="25"/>
  <c r="H74" i="25"/>
  <c r="H116" i="25" s="1"/>
  <c r="G74" i="25"/>
  <c r="F74" i="25"/>
  <c r="E74" i="25"/>
  <c r="D74" i="25"/>
  <c r="K73" i="25"/>
  <c r="K115" i="25" s="1"/>
  <c r="J73" i="25"/>
  <c r="I73" i="25"/>
  <c r="H73" i="25"/>
  <c r="H115" i="25" s="1"/>
  <c r="G73" i="25"/>
  <c r="F73" i="25"/>
  <c r="E73" i="25"/>
  <c r="E115" i="25" s="1"/>
  <c r="D73" i="25"/>
  <c r="K72" i="25"/>
  <c r="J72" i="25"/>
  <c r="I72" i="25"/>
  <c r="H72" i="25"/>
  <c r="H114" i="25" s="1"/>
  <c r="G72" i="25"/>
  <c r="F72" i="25"/>
  <c r="E72" i="25"/>
  <c r="D72" i="25"/>
  <c r="D114" i="25" s="1"/>
  <c r="K71" i="25"/>
  <c r="K113" i="25" s="1"/>
  <c r="J71" i="25"/>
  <c r="J113" i="25" s="1"/>
  <c r="I71" i="25"/>
  <c r="H71" i="25"/>
  <c r="H113" i="25" s="1"/>
  <c r="G71" i="25"/>
  <c r="F71" i="25"/>
  <c r="F113" i="25" s="1"/>
  <c r="E71" i="25"/>
  <c r="E113" i="25" s="1"/>
  <c r="D71" i="25"/>
  <c r="K70" i="25"/>
  <c r="K112" i="25" s="1"/>
  <c r="J70" i="25"/>
  <c r="I70" i="25"/>
  <c r="H70" i="25"/>
  <c r="H112" i="25" s="1"/>
  <c r="G70" i="25"/>
  <c r="G112" i="25" s="1"/>
  <c r="F70" i="25"/>
  <c r="F112" i="25" s="1"/>
  <c r="E70" i="25"/>
  <c r="E112" i="25" s="1"/>
  <c r="D70" i="25"/>
  <c r="K69" i="25"/>
  <c r="K111" i="25" s="1"/>
  <c r="J69" i="25"/>
  <c r="I69" i="25"/>
  <c r="H69" i="25"/>
  <c r="H111" i="25" s="1"/>
  <c r="G69" i="25"/>
  <c r="F69" i="25"/>
  <c r="E69" i="25"/>
  <c r="E111" i="25" s="1"/>
  <c r="D69" i="25"/>
  <c r="K68" i="25"/>
  <c r="K110" i="25" s="1"/>
  <c r="J68" i="25"/>
  <c r="I68" i="25"/>
  <c r="H68" i="25"/>
  <c r="H110" i="25" s="1"/>
  <c r="G68" i="25"/>
  <c r="F68" i="25"/>
  <c r="E68" i="25"/>
  <c r="D68" i="25"/>
  <c r="D110" i="25" s="1"/>
  <c r="K67" i="25"/>
  <c r="K109" i="25" s="1"/>
  <c r="J67" i="25"/>
  <c r="I67" i="25"/>
  <c r="H67" i="25"/>
  <c r="H109" i="25" s="1"/>
  <c r="G67" i="25"/>
  <c r="F67" i="25"/>
  <c r="F109" i="25" s="1"/>
  <c r="E67" i="25"/>
  <c r="E109" i="25" s="1"/>
  <c r="D67" i="25"/>
  <c r="D109" i="25" s="1"/>
  <c r="K66" i="25"/>
  <c r="K108" i="25" s="1"/>
  <c r="J66" i="25"/>
  <c r="I66" i="25"/>
  <c r="H66" i="25"/>
  <c r="H108" i="25" s="1"/>
  <c r="G66" i="25"/>
  <c r="G108" i="25" s="1"/>
  <c r="F66" i="25"/>
  <c r="E66" i="25"/>
  <c r="D66" i="25"/>
  <c r="K65" i="25"/>
  <c r="K107" i="25" s="1"/>
  <c r="J65" i="25"/>
  <c r="I65" i="25"/>
  <c r="H65" i="25"/>
  <c r="H107" i="25" s="1"/>
  <c r="G65" i="25"/>
  <c r="F65" i="25"/>
  <c r="E65" i="25"/>
  <c r="E107" i="25" s="1"/>
  <c r="D65" i="25"/>
  <c r="K64" i="25"/>
  <c r="K106" i="25" s="1"/>
  <c r="J64" i="25"/>
  <c r="I64" i="25"/>
  <c r="H64" i="25"/>
  <c r="H106" i="25" s="1"/>
  <c r="G64" i="25"/>
  <c r="G106" i="25" s="1"/>
  <c r="F64" i="25"/>
  <c r="E64" i="25"/>
  <c r="D64" i="25"/>
  <c r="K63" i="25"/>
  <c r="K105" i="25" s="1"/>
  <c r="J63" i="25"/>
  <c r="J105" i="25" s="1"/>
  <c r="I63" i="25"/>
  <c r="H63" i="25"/>
  <c r="H105" i="25" s="1"/>
  <c r="G63" i="25"/>
  <c r="F63" i="25"/>
  <c r="E63" i="25"/>
  <c r="D63" i="25"/>
  <c r="K62" i="25"/>
  <c r="K104" i="25" s="1"/>
  <c r="J62" i="25"/>
  <c r="I62" i="25"/>
  <c r="H62" i="25"/>
  <c r="H104" i="25" s="1"/>
  <c r="G62" i="25"/>
  <c r="F62" i="25"/>
  <c r="E62" i="25"/>
  <c r="D62" i="25"/>
  <c r="K61" i="25"/>
  <c r="K103" i="25" s="1"/>
  <c r="J61" i="25"/>
  <c r="J103" i="25" s="1"/>
  <c r="I61" i="25"/>
  <c r="H61" i="25"/>
  <c r="H103" i="25" s="1"/>
  <c r="G61" i="25"/>
  <c r="F61" i="25"/>
  <c r="E61" i="25"/>
  <c r="D61" i="25"/>
  <c r="K60" i="25"/>
  <c r="K102" i="25" s="1"/>
  <c r="J60" i="25"/>
  <c r="I60" i="25"/>
  <c r="H60" i="25"/>
  <c r="H102" i="25" s="1"/>
  <c r="G60" i="25"/>
  <c r="G102" i="25" s="1"/>
  <c r="F60" i="25"/>
  <c r="E60" i="25"/>
  <c r="D60" i="25"/>
  <c r="D102" i="25" s="1"/>
  <c r="K59" i="25"/>
  <c r="K101" i="25" s="1"/>
  <c r="J59" i="25"/>
  <c r="J101" i="25" s="1"/>
  <c r="I59" i="25"/>
  <c r="H59" i="25"/>
  <c r="H101" i="25" s="1"/>
  <c r="G59" i="25"/>
  <c r="F59" i="25"/>
  <c r="F101" i="25" s="1"/>
  <c r="E59" i="25"/>
  <c r="D59" i="25"/>
  <c r="K58" i="25"/>
  <c r="J58" i="25"/>
  <c r="I58" i="25"/>
  <c r="I89" i="25" s="1"/>
  <c r="H58" i="25"/>
  <c r="H100" i="25" s="1"/>
  <c r="G58" i="25"/>
  <c r="F58" i="25"/>
  <c r="E58" i="25"/>
  <c r="D58" i="25"/>
  <c r="D89" i="25" s="1"/>
  <c r="C47" i="25"/>
  <c r="F46" i="25"/>
  <c r="K45" i="25"/>
  <c r="K297" i="25" s="1"/>
  <c r="J45" i="25"/>
  <c r="I45" i="25"/>
  <c r="I130" i="25" s="1"/>
  <c r="H45" i="25"/>
  <c r="G45" i="25"/>
  <c r="F45" i="25"/>
  <c r="E45" i="25"/>
  <c r="D45" i="25"/>
  <c r="D214" i="25" s="1"/>
  <c r="K44" i="25"/>
  <c r="J44" i="25"/>
  <c r="J213" i="25" s="1"/>
  <c r="I44" i="25"/>
  <c r="I296" i="25" s="1"/>
  <c r="H44" i="25"/>
  <c r="G44" i="25"/>
  <c r="G129" i="25" s="1"/>
  <c r="F44" i="25"/>
  <c r="F296" i="25" s="1"/>
  <c r="E44" i="25"/>
  <c r="D44" i="25"/>
  <c r="D296" i="25" s="1"/>
  <c r="K43" i="25"/>
  <c r="K295" i="25" s="1"/>
  <c r="J43" i="25"/>
  <c r="I43" i="25"/>
  <c r="I128" i="25" s="1"/>
  <c r="H43" i="25"/>
  <c r="G43" i="25"/>
  <c r="F43" i="25"/>
  <c r="F212" i="25" s="1"/>
  <c r="E43" i="25"/>
  <c r="E212" i="25" s="1"/>
  <c r="D43" i="25"/>
  <c r="D212" i="25" s="1"/>
  <c r="K42" i="25"/>
  <c r="J42" i="25"/>
  <c r="I42" i="25"/>
  <c r="I294" i="25" s="1"/>
  <c r="H42" i="25"/>
  <c r="G42" i="25"/>
  <c r="F42" i="25"/>
  <c r="E42" i="25"/>
  <c r="D42" i="25"/>
  <c r="D294" i="25" s="1"/>
  <c r="K41" i="25"/>
  <c r="K293" i="25" s="1"/>
  <c r="J41" i="25"/>
  <c r="I41" i="25"/>
  <c r="I126" i="25" s="1"/>
  <c r="H41" i="25"/>
  <c r="G41" i="25"/>
  <c r="F41" i="25"/>
  <c r="E41" i="25"/>
  <c r="D41" i="25"/>
  <c r="K40" i="25"/>
  <c r="J40" i="25"/>
  <c r="I40" i="25"/>
  <c r="I292" i="25" s="1"/>
  <c r="H40" i="25"/>
  <c r="G40" i="25"/>
  <c r="F40" i="25"/>
  <c r="F292" i="25" s="1"/>
  <c r="E40" i="25"/>
  <c r="D40" i="25"/>
  <c r="D292" i="25" s="1"/>
  <c r="K39" i="25"/>
  <c r="J39" i="25"/>
  <c r="I39" i="25"/>
  <c r="I208" i="25" s="1"/>
  <c r="H39" i="25"/>
  <c r="G39" i="25"/>
  <c r="G291" i="25" s="1"/>
  <c r="F39" i="25"/>
  <c r="F208" i="25" s="1"/>
  <c r="E39" i="25"/>
  <c r="E208" i="25" s="1"/>
  <c r="D39" i="25"/>
  <c r="D208" i="25" s="1"/>
  <c r="K38" i="25"/>
  <c r="J38" i="25"/>
  <c r="I38" i="25"/>
  <c r="H38" i="25"/>
  <c r="G38" i="25"/>
  <c r="G123" i="25" s="1"/>
  <c r="F38" i="25"/>
  <c r="E38" i="25"/>
  <c r="E290" i="25" s="1"/>
  <c r="D38" i="25"/>
  <c r="D290" i="25" s="1"/>
  <c r="K37" i="25"/>
  <c r="K289" i="25" s="1"/>
  <c r="J37" i="25"/>
  <c r="I37" i="25"/>
  <c r="I122" i="25" s="1"/>
  <c r="H37" i="25"/>
  <c r="G37" i="25"/>
  <c r="F37" i="25"/>
  <c r="E37" i="25"/>
  <c r="D37" i="25"/>
  <c r="D206" i="25" s="1"/>
  <c r="K36" i="25"/>
  <c r="J36" i="25"/>
  <c r="J205" i="25" s="1"/>
  <c r="I36" i="25"/>
  <c r="H36" i="25"/>
  <c r="G36" i="25"/>
  <c r="G121" i="25" s="1"/>
  <c r="F36" i="25"/>
  <c r="F288" i="25" s="1"/>
  <c r="E36" i="25"/>
  <c r="D36" i="25"/>
  <c r="K35" i="25"/>
  <c r="K287" i="25" s="1"/>
  <c r="J35" i="25"/>
  <c r="I35" i="25"/>
  <c r="H35" i="25"/>
  <c r="G35" i="25"/>
  <c r="G204" i="25" s="1"/>
  <c r="F35" i="25"/>
  <c r="F204" i="25" s="1"/>
  <c r="E35" i="25"/>
  <c r="E204" i="25" s="1"/>
  <c r="D35" i="25"/>
  <c r="D204" i="25" s="1"/>
  <c r="K34" i="25"/>
  <c r="J34" i="25"/>
  <c r="I34" i="25"/>
  <c r="H34" i="25"/>
  <c r="G34" i="25"/>
  <c r="G119" i="25" s="1"/>
  <c r="F34" i="25"/>
  <c r="E34" i="25"/>
  <c r="E286" i="25" s="1"/>
  <c r="D34" i="25"/>
  <c r="K33" i="25"/>
  <c r="K285" i="25" s="1"/>
  <c r="J33" i="25"/>
  <c r="I33" i="25"/>
  <c r="H33" i="25"/>
  <c r="G33" i="25"/>
  <c r="G202" i="25" s="1"/>
  <c r="F33" i="25"/>
  <c r="E33" i="25"/>
  <c r="E202" i="25" s="1"/>
  <c r="D33" i="25"/>
  <c r="K32" i="25"/>
  <c r="J32" i="25"/>
  <c r="I32" i="25"/>
  <c r="H32" i="25"/>
  <c r="G32" i="25"/>
  <c r="F32" i="25"/>
  <c r="F284" i="25" s="1"/>
  <c r="E32" i="25"/>
  <c r="E284" i="25" s="1"/>
  <c r="D32" i="25"/>
  <c r="K31" i="25"/>
  <c r="K283" i="25" s="1"/>
  <c r="J31" i="25"/>
  <c r="I31" i="25"/>
  <c r="I116" i="25" s="1"/>
  <c r="H31" i="25"/>
  <c r="G31" i="25"/>
  <c r="G200" i="25" s="1"/>
  <c r="F31" i="25"/>
  <c r="F200" i="25" s="1"/>
  <c r="E31" i="25"/>
  <c r="E200" i="25" s="1"/>
  <c r="D31" i="25"/>
  <c r="D200" i="25" s="1"/>
  <c r="K30" i="25"/>
  <c r="J30" i="25"/>
  <c r="I30" i="25"/>
  <c r="H30" i="25"/>
  <c r="G30" i="25"/>
  <c r="G115" i="25" s="1"/>
  <c r="F30" i="25"/>
  <c r="F282" i="25" s="1"/>
  <c r="E30" i="25"/>
  <c r="E282" i="25" s="1"/>
  <c r="D30" i="25"/>
  <c r="D282" i="25" s="1"/>
  <c r="K29" i="25"/>
  <c r="J29" i="25"/>
  <c r="I29" i="25"/>
  <c r="I114" i="25" s="1"/>
  <c r="H29" i="25"/>
  <c r="G29" i="25"/>
  <c r="G198" i="25" s="1"/>
  <c r="F29" i="25"/>
  <c r="E29" i="25"/>
  <c r="E198" i="25" s="1"/>
  <c r="D29" i="25"/>
  <c r="D198" i="25" s="1"/>
  <c r="K28" i="25"/>
  <c r="J28" i="25"/>
  <c r="J197" i="25" s="1"/>
  <c r="I28" i="25"/>
  <c r="I113" i="25" s="1"/>
  <c r="H28" i="25"/>
  <c r="G28" i="25"/>
  <c r="G113" i="25" s="1"/>
  <c r="F28" i="25"/>
  <c r="F280" i="25" s="1"/>
  <c r="E28" i="25"/>
  <c r="E280" i="25" s="1"/>
  <c r="D28" i="25"/>
  <c r="D280" i="25" s="1"/>
  <c r="K27" i="25"/>
  <c r="K279" i="25" s="1"/>
  <c r="J27" i="25"/>
  <c r="I27" i="25"/>
  <c r="I112" i="25" s="1"/>
  <c r="H27" i="25"/>
  <c r="G27" i="25"/>
  <c r="F27" i="25"/>
  <c r="E27" i="25"/>
  <c r="D27" i="25"/>
  <c r="K26" i="25"/>
  <c r="J26" i="25"/>
  <c r="I26" i="25"/>
  <c r="H26" i="25"/>
  <c r="G26" i="25"/>
  <c r="G111" i="25" s="1"/>
  <c r="F26" i="25"/>
  <c r="F278" i="25" s="1"/>
  <c r="E26" i="25"/>
  <c r="D26" i="25"/>
  <c r="D278" i="25" s="1"/>
  <c r="K25" i="25"/>
  <c r="K277" i="25" s="1"/>
  <c r="J25" i="25"/>
  <c r="I25" i="25"/>
  <c r="H25" i="25"/>
  <c r="G25" i="25"/>
  <c r="F25" i="25"/>
  <c r="F194" i="25" s="1"/>
  <c r="E25" i="25"/>
  <c r="E194" i="25" s="1"/>
  <c r="D25" i="25"/>
  <c r="K24" i="25"/>
  <c r="J24" i="25"/>
  <c r="I24" i="25"/>
  <c r="H24" i="25"/>
  <c r="G24" i="25"/>
  <c r="F24" i="25"/>
  <c r="F276" i="25" s="1"/>
  <c r="E24" i="25"/>
  <c r="E276" i="25" s="1"/>
  <c r="D24" i="25"/>
  <c r="D276" i="25" s="1"/>
  <c r="K23" i="25"/>
  <c r="K275" i="25" s="1"/>
  <c r="J23" i="25"/>
  <c r="I23" i="25"/>
  <c r="I192" i="25" s="1"/>
  <c r="H23" i="25"/>
  <c r="G23" i="25"/>
  <c r="G192" i="25" s="1"/>
  <c r="F23" i="25"/>
  <c r="F192" i="25" s="1"/>
  <c r="E23" i="25"/>
  <c r="E192" i="25" s="1"/>
  <c r="D23" i="25"/>
  <c r="D192" i="25" s="1"/>
  <c r="K22" i="25"/>
  <c r="J22" i="25"/>
  <c r="I22" i="25"/>
  <c r="H22" i="25"/>
  <c r="G22" i="25"/>
  <c r="G107" i="25" s="1"/>
  <c r="F22" i="25"/>
  <c r="E22" i="25"/>
  <c r="E274" i="25" s="1"/>
  <c r="D22" i="25"/>
  <c r="D107" i="25" s="1"/>
  <c r="K21" i="25"/>
  <c r="K273" i="25" s="1"/>
  <c r="J21" i="25"/>
  <c r="I21" i="25"/>
  <c r="H21" i="25"/>
  <c r="G21" i="25"/>
  <c r="G190" i="25" s="1"/>
  <c r="F21" i="25"/>
  <c r="F190" i="25" s="1"/>
  <c r="E21" i="25"/>
  <c r="D21" i="25"/>
  <c r="D190" i="25" s="1"/>
  <c r="K20" i="25"/>
  <c r="J20" i="25"/>
  <c r="I20" i="25"/>
  <c r="H20" i="25"/>
  <c r="G20" i="25"/>
  <c r="F20" i="25"/>
  <c r="E20" i="25"/>
  <c r="E272" i="25" s="1"/>
  <c r="D20" i="25"/>
  <c r="K19" i="25"/>
  <c r="K271" i="25" s="1"/>
  <c r="J19" i="25"/>
  <c r="I19" i="25"/>
  <c r="H19" i="25"/>
  <c r="G19" i="25"/>
  <c r="G188" i="25" s="1"/>
  <c r="F19" i="25"/>
  <c r="F188" i="25" s="1"/>
  <c r="E19" i="25"/>
  <c r="D19" i="25"/>
  <c r="D188" i="25" s="1"/>
  <c r="K18" i="25"/>
  <c r="J18" i="25"/>
  <c r="I18" i="25"/>
  <c r="H18" i="25"/>
  <c r="G18" i="25"/>
  <c r="G103" i="25" s="1"/>
  <c r="F18" i="25"/>
  <c r="F270" i="25" s="1"/>
  <c r="E18" i="25"/>
  <c r="E270" i="25" s="1"/>
  <c r="D18" i="25"/>
  <c r="K17" i="25"/>
  <c r="K269" i="25" s="1"/>
  <c r="J17" i="25"/>
  <c r="I17" i="25"/>
  <c r="H17" i="25"/>
  <c r="G17" i="25"/>
  <c r="G186" i="25" s="1"/>
  <c r="F17" i="25"/>
  <c r="F186" i="25" s="1"/>
  <c r="E17" i="25"/>
  <c r="E186" i="25" s="1"/>
  <c r="D17" i="25"/>
  <c r="K16" i="25"/>
  <c r="J16" i="25"/>
  <c r="J46" i="25" s="1"/>
  <c r="I16" i="25"/>
  <c r="H16" i="25"/>
  <c r="G16" i="25"/>
  <c r="F16" i="25"/>
  <c r="F268" i="25" s="1"/>
  <c r="E16" i="25"/>
  <c r="E268" i="25" s="1"/>
  <c r="D16" i="25"/>
  <c r="K15" i="25"/>
  <c r="K267" i="25" s="1"/>
  <c r="J15" i="25"/>
  <c r="I15" i="25"/>
  <c r="H15" i="25"/>
  <c r="H46" i="25" s="1"/>
  <c r="G15" i="25"/>
  <c r="G267" i="25" s="1"/>
  <c r="F15" i="25"/>
  <c r="F184" i="25" s="1"/>
  <c r="E15" i="25"/>
  <c r="D15" i="25"/>
  <c r="P272" i="24"/>
  <c r="F272" i="24"/>
  <c r="E269" i="24"/>
  <c r="F266" i="24"/>
  <c r="K262" i="24"/>
  <c r="S256" i="24"/>
  <c r="J256" i="24"/>
  <c r="D256" i="24"/>
  <c r="D249" i="24"/>
  <c r="E248" i="24"/>
  <c r="H237" i="24"/>
  <c r="F237" i="24"/>
  <c r="V236" i="24"/>
  <c r="U236" i="24"/>
  <c r="T236" i="24"/>
  <c r="S236" i="24"/>
  <c r="R236" i="24"/>
  <c r="Q236" i="24"/>
  <c r="P236" i="24"/>
  <c r="O236" i="24"/>
  <c r="N236" i="24"/>
  <c r="M236" i="24"/>
  <c r="L236" i="24"/>
  <c r="K236" i="24"/>
  <c r="J236" i="24"/>
  <c r="I236" i="24"/>
  <c r="H236" i="24"/>
  <c r="G236" i="24"/>
  <c r="F236" i="24"/>
  <c r="E236" i="24"/>
  <c r="D236" i="24"/>
  <c r="V235" i="24"/>
  <c r="U235" i="24"/>
  <c r="T235" i="24"/>
  <c r="S235" i="24"/>
  <c r="R235" i="24"/>
  <c r="Q235" i="24"/>
  <c r="P235" i="24"/>
  <c r="O235" i="24"/>
  <c r="N235" i="24"/>
  <c r="M235" i="24"/>
  <c r="L235" i="24"/>
  <c r="K235" i="24"/>
  <c r="J235" i="24"/>
  <c r="I235" i="24"/>
  <c r="H235" i="24"/>
  <c r="G235" i="24"/>
  <c r="F235" i="24"/>
  <c r="E235" i="24"/>
  <c r="D235" i="24"/>
  <c r="V234" i="24"/>
  <c r="U234" i="24"/>
  <c r="T234" i="24"/>
  <c r="S234" i="24"/>
  <c r="R234" i="24"/>
  <c r="Q234" i="24"/>
  <c r="P234" i="24"/>
  <c r="O234" i="24"/>
  <c r="N234" i="24"/>
  <c r="M234" i="24"/>
  <c r="L234" i="24"/>
  <c r="K234" i="24"/>
  <c r="J234" i="24"/>
  <c r="I234" i="24"/>
  <c r="H234" i="24"/>
  <c r="G234" i="24"/>
  <c r="F234" i="24"/>
  <c r="E234" i="24"/>
  <c r="D234" i="24"/>
  <c r="V233" i="24"/>
  <c r="U233" i="24"/>
  <c r="U272" i="24" s="1"/>
  <c r="T233" i="24"/>
  <c r="T272" i="24" s="1"/>
  <c r="S233" i="24"/>
  <c r="S272" i="24" s="1"/>
  <c r="R233" i="24"/>
  <c r="R272" i="24" s="1"/>
  <c r="Q233" i="24"/>
  <c r="Q272" i="24" s="1"/>
  <c r="P233" i="24"/>
  <c r="O233" i="24"/>
  <c r="O272" i="24" s="1"/>
  <c r="N233" i="24"/>
  <c r="N272" i="24" s="1"/>
  <c r="M233" i="24"/>
  <c r="M272" i="24" s="1"/>
  <c r="L233" i="24"/>
  <c r="L272" i="24" s="1"/>
  <c r="K233" i="24"/>
  <c r="K272" i="24" s="1"/>
  <c r="J233" i="24"/>
  <c r="J272" i="24" s="1"/>
  <c r="I233" i="24"/>
  <c r="I272" i="24" s="1"/>
  <c r="H233" i="24"/>
  <c r="H272" i="24" s="1"/>
  <c r="G233" i="24"/>
  <c r="G272" i="24" s="1"/>
  <c r="F233" i="24"/>
  <c r="E233" i="24"/>
  <c r="E272" i="24" s="1"/>
  <c r="D233" i="24"/>
  <c r="D272" i="24" s="1"/>
  <c r="V232" i="24"/>
  <c r="U232" i="24"/>
  <c r="T232" i="24"/>
  <c r="S232" i="24"/>
  <c r="R232" i="24"/>
  <c r="Q232" i="24"/>
  <c r="P232" i="24"/>
  <c r="O232" i="24"/>
  <c r="N232" i="24"/>
  <c r="M232" i="24"/>
  <c r="L232" i="24"/>
  <c r="K232" i="24"/>
  <c r="J232" i="24"/>
  <c r="I232" i="24"/>
  <c r="H232" i="24"/>
  <c r="G232" i="24"/>
  <c r="F232" i="24"/>
  <c r="E232" i="24"/>
  <c r="D232" i="24"/>
  <c r="V231" i="24"/>
  <c r="U231" i="24"/>
  <c r="T231" i="24"/>
  <c r="S231" i="24"/>
  <c r="R231" i="24"/>
  <c r="Q231" i="24"/>
  <c r="P231" i="24"/>
  <c r="O231" i="24"/>
  <c r="N231" i="24"/>
  <c r="M231" i="24"/>
  <c r="L231" i="24"/>
  <c r="K231" i="24"/>
  <c r="J231" i="24"/>
  <c r="I231" i="24"/>
  <c r="H231" i="24"/>
  <c r="G231" i="24"/>
  <c r="G270" i="24" s="1"/>
  <c r="F231" i="24"/>
  <c r="F270" i="24" s="1"/>
  <c r="E231" i="24"/>
  <c r="E270" i="24" s="1"/>
  <c r="D231" i="24"/>
  <c r="D270" i="24" s="1"/>
  <c r="V230" i="24"/>
  <c r="U230" i="24"/>
  <c r="T230" i="24"/>
  <c r="S230" i="24"/>
  <c r="R230" i="24"/>
  <c r="Q230" i="24"/>
  <c r="P230" i="24"/>
  <c r="O230" i="24"/>
  <c r="N230" i="24"/>
  <c r="M230" i="24"/>
  <c r="L230" i="24"/>
  <c r="K230" i="24"/>
  <c r="J230" i="24"/>
  <c r="I230" i="24"/>
  <c r="H230" i="24"/>
  <c r="G230" i="24"/>
  <c r="F230" i="24"/>
  <c r="F269" i="24" s="1"/>
  <c r="E230" i="24"/>
  <c r="D230" i="24"/>
  <c r="V229" i="24"/>
  <c r="U229" i="24"/>
  <c r="T229" i="24"/>
  <c r="S229" i="24"/>
  <c r="R229" i="24"/>
  <c r="Q229" i="24"/>
  <c r="P229" i="24"/>
  <c r="O229" i="24"/>
  <c r="N229" i="24"/>
  <c r="N268" i="24" s="1"/>
  <c r="M229" i="24"/>
  <c r="L229" i="24"/>
  <c r="K229" i="24"/>
  <c r="J229" i="24"/>
  <c r="I229" i="24"/>
  <c r="H229" i="24"/>
  <c r="G229" i="24"/>
  <c r="F229" i="24"/>
  <c r="E229" i="24"/>
  <c r="D229" i="24"/>
  <c r="V228" i="24"/>
  <c r="U228" i="24"/>
  <c r="T228" i="24"/>
  <c r="S228" i="24"/>
  <c r="R228" i="24"/>
  <c r="Q228" i="24"/>
  <c r="P228" i="24"/>
  <c r="O228" i="24"/>
  <c r="N228" i="24"/>
  <c r="M228" i="24"/>
  <c r="L228" i="24"/>
  <c r="K228" i="24"/>
  <c r="J228" i="24"/>
  <c r="I228" i="24"/>
  <c r="H228" i="24"/>
  <c r="G228" i="24"/>
  <c r="F228" i="24"/>
  <c r="E228" i="24"/>
  <c r="D228" i="24"/>
  <c r="V227" i="24"/>
  <c r="U227" i="24"/>
  <c r="T227" i="24"/>
  <c r="S227" i="24"/>
  <c r="R227" i="24"/>
  <c r="Q227" i="24"/>
  <c r="P227" i="24"/>
  <c r="O227" i="24"/>
  <c r="N227" i="24"/>
  <c r="M227" i="24"/>
  <c r="L227" i="24"/>
  <c r="K227" i="24"/>
  <c r="J227" i="24"/>
  <c r="I227" i="24"/>
  <c r="H227" i="24"/>
  <c r="G227" i="24"/>
  <c r="F227" i="24"/>
  <c r="E227" i="24"/>
  <c r="D227" i="24"/>
  <c r="V226" i="24"/>
  <c r="U226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G226" i="24"/>
  <c r="G265" i="24" s="1"/>
  <c r="F226" i="24"/>
  <c r="E226" i="24"/>
  <c r="D226" i="24"/>
  <c r="V225" i="24"/>
  <c r="U225" i="24"/>
  <c r="T225" i="24"/>
  <c r="S225" i="24"/>
  <c r="R225" i="24"/>
  <c r="Q225" i="24"/>
  <c r="P225" i="24"/>
  <c r="O225" i="24"/>
  <c r="N225" i="24"/>
  <c r="M225" i="24"/>
  <c r="L225" i="24"/>
  <c r="K225" i="24"/>
  <c r="J225" i="24"/>
  <c r="I225" i="24"/>
  <c r="H225" i="24"/>
  <c r="G225" i="24"/>
  <c r="F225" i="24"/>
  <c r="E225" i="24"/>
  <c r="D225" i="24"/>
  <c r="V224" i="24"/>
  <c r="U224" i="24"/>
  <c r="T224" i="24"/>
  <c r="S224" i="24"/>
  <c r="R224" i="24"/>
  <c r="Q224" i="24"/>
  <c r="P224" i="24"/>
  <c r="O224" i="24"/>
  <c r="N224" i="24"/>
  <c r="M224" i="24"/>
  <c r="L224" i="24"/>
  <c r="K224" i="24"/>
  <c r="J224" i="24"/>
  <c r="I224" i="24"/>
  <c r="H224" i="24"/>
  <c r="G224" i="24"/>
  <c r="F224" i="24"/>
  <c r="E224" i="24"/>
  <c r="D224" i="24"/>
  <c r="V223" i="24"/>
  <c r="U223" i="24"/>
  <c r="T223" i="24"/>
  <c r="S223" i="24"/>
  <c r="R223" i="24"/>
  <c r="Q223" i="24"/>
  <c r="P223" i="24"/>
  <c r="O223" i="24"/>
  <c r="O262" i="24" s="1"/>
  <c r="N223" i="24"/>
  <c r="M223" i="24"/>
  <c r="L223" i="24"/>
  <c r="K223" i="24"/>
  <c r="J223" i="24"/>
  <c r="J262" i="24" s="1"/>
  <c r="I223" i="24"/>
  <c r="I262" i="24" s="1"/>
  <c r="H223" i="24"/>
  <c r="H262" i="24" s="1"/>
  <c r="G223" i="24"/>
  <c r="G262" i="24" s="1"/>
  <c r="F223" i="24"/>
  <c r="E223" i="24"/>
  <c r="D223" i="24"/>
  <c r="V222" i="24"/>
  <c r="U222" i="24"/>
  <c r="T222" i="24"/>
  <c r="S222" i="24"/>
  <c r="R222" i="24"/>
  <c r="Q222" i="24"/>
  <c r="P222" i="24"/>
  <c r="O222" i="24"/>
  <c r="N222" i="24"/>
  <c r="M222" i="24"/>
  <c r="L222" i="24"/>
  <c r="K222" i="24"/>
  <c r="J222" i="24"/>
  <c r="I222" i="24"/>
  <c r="H222" i="24"/>
  <c r="G222" i="24"/>
  <c r="F222" i="24"/>
  <c r="E222" i="24"/>
  <c r="D222" i="24"/>
  <c r="V221" i="24"/>
  <c r="V260" i="24" s="1"/>
  <c r="U221" i="24"/>
  <c r="T221" i="24"/>
  <c r="S221" i="24"/>
  <c r="R221" i="24"/>
  <c r="Q221" i="24"/>
  <c r="P221" i="24"/>
  <c r="O221" i="24"/>
  <c r="N221" i="24"/>
  <c r="M221" i="24"/>
  <c r="L221" i="24"/>
  <c r="K221" i="24"/>
  <c r="J221" i="24"/>
  <c r="I221" i="24"/>
  <c r="H221" i="24"/>
  <c r="G221" i="24"/>
  <c r="F221" i="24"/>
  <c r="E221" i="24"/>
  <c r="D221" i="24"/>
  <c r="R220" i="24"/>
  <c r="V219" i="24"/>
  <c r="U219" i="24"/>
  <c r="T219" i="24"/>
  <c r="S219" i="24"/>
  <c r="R219" i="24"/>
  <c r="Q219" i="24"/>
  <c r="P219" i="24"/>
  <c r="O219" i="24"/>
  <c r="N219" i="24"/>
  <c r="M219" i="24"/>
  <c r="L219" i="24"/>
  <c r="K219" i="24"/>
  <c r="J219" i="24"/>
  <c r="I219" i="24"/>
  <c r="H219" i="24"/>
  <c r="G219" i="24"/>
  <c r="F219" i="24"/>
  <c r="E219" i="24"/>
  <c r="D219" i="24"/>
  <c r="V218" i="24"/>
  <c r="U218" i="24"/>
  <c r="T218" i="24"/>
  <c r="S218" i="24"/>
  <c r="R218" i="24"/>
  <c r="Q218" i="24"/>
  <c r="P218" i="24"/>
  <c r="O218" i="24"/>
  <c r="N218" i="24"/>
  <c r="M218" i="24"/>
  <c r="L218" i="24"/>
  <c r="K218" i="24"/>
  <c r="J218" i="24"/>
  <c r="I218" i="24"/>
  <c r="H218" i="24"/>
  <c r="G218" i="24"/>
  <c r="F218" i="24"/>
  <c r="E218" i="24"/>
  <c r="D218" i="24"/>
  <c r="V217" i="24"/>
  <c r="U217" i="24"/>
  <c r="T217" i="24"/>
  <c r="S217" i="24"/>
  <c r="R217" i="24"/>
  <c r="Q217" i="24"/>
  <c r="P217" i="24"/>
  <c r="O217" i="24"/>
  <c r="N217" i="24"/>
  <c r="M217" i="24"/>
  <c r="L217" i="24"/>
  <c r="K217" i="24"/>
  <c r="J217" i="24"/>
  <c r="I217" i="24"/>
  <c r="H217" i="24"/>
  <c r="G217" i="24"/>
  <c r="G256" i="24" s="1"/>
  <c r="F217" i="24"/>
  <c r="F256" i="24" s="1"/>
  <c r="E217" i="24"/>
  <c r="E256" i="24" s="1"/>
  <c r="D217" i="24"/>
  <c r="V216" i="24"/>
  <c r="U216" i="24"/>
  <c r="T216" i="24"/>
  <c r="S216" i="24"/>
  <c r="S255" i="24" s="1"/>
  <c r="R216" i="24"/>
  <c r="Q216" i="24"/>
  <c r="P216" i="24"/>
  <c r="O216" i="24"/>
  <c r="N216" i="24"/>
  <c r="M216" i="24"/>
  <c r="L216" i="24"/>
  <c r="K216" i="24"/>
  <c r="J216" i="24"/>
  <c r="I216" i="24"/>
  <c r="H216" i="24"/>
  <c r="G216" i="24"/>
  <c r="F216" i="24"/>
  <c r="E216" i="24"/>
  <c r="D216" i="24"/>
  <c r="V215" i="24"/>
  <c r="U215" i="24"/>
  <c r="T215" i="24"/>
  <c r="S215" i="24"/>
  <c r="R215" i="24"/>
  <c r="Q215" i="24"/>
  <c r="P215" i="24"/>
  <c r="O215" i="24"/>
  <c r="N215" i="24"/>
  <c r="M215" i="24"/>
  <c r="L215" i="24"/>
  <c r="K215" i="24"/>
  <c r="J215" i="24"/>
  <c r="I215" i="24"/>
  <c r="H215" i="24"/>
  <c r="G215" i="24"/>
  <c r="F215" i="24"/>
  <c r="E215" i="24"/>
  <c r="D215" i="24"/>
  <c r="V214" i="24"/>
  <c r="U214" i="24"/>
  <c r="T214" i="24"/>
  <c r="S214" i="24"/>
  <c r="R214" i="24"/>
  <c r="Q214" i="24"/>
  <c r="P214" i="24"/>
  <c r="O214" i="24"/>
  <c r="N214" i="24"/>
  <c r="M214" i="24"/>
  <c r="L214" i="24"/>
  <c r="K214" i="24"/>
  <c r="J214" i="24"/>
  <c r="I214" i="24"/>
  <c r="H214" i="24"/>
  <c r="G214" i="24"/>
  <c r="F214" i="24"/>
  <c r="E214" i="24"/>
  <c r="D214" i="24"/>
  <c r="V213" i="24"/>
  <c r="U213" i="24"/>
  <c r="T213" i="24"/>
  <c r="S213" i="24"/>
  <c r="R213" i="24"/>
  <c r="Q213" i="24"/>
  <c r="P213" i="24"/>
  <c r="O213" i="24"/>
  <c r="N213" i="24"/>
  <c r="M213" i="24"/>
  <c r="L213" i="24"/>
  <c r="K213" i="24"/>
  <c r="J213" i="24"/>
  <c r="I213" i="24"/>
  <c r="H213" i="24"/>
  <c r="G213" i="24"/>
  <c r="F213" i="24"/>
  <c r="E213" i="24"/>
  <c r="D213" i="24"/>
  <c r="V212" i="24"/>
  <c r="U212" i="24"/>
  <c r="T212" i="24"/>
  <c r="S212" i="24"/>
  <c r="R212" i="24"/>
  <c r="Q212" i="24"/>
  <c r="P212" i="24"/>
  <c r="O212" i="24"/>
  <c r="N212" i="24"/>
  <c r="M212" i="24"/>
  <c r="L212" i="24"/>
  <c r="K212" i="24"/>
  <c r="J212" i="24"/>
  <c r="I212" i="24"/>
  <c r="H212" i="24"/>
  <c r="H251" i="24" s="1"/>
  <c r="G212" i="24"/>
  <c r="G251" i="24" s="1"/>
  <c r="F212" i="24"/>
  <c r="F251" i="24" s="1"/>
  <c r="E212" i="24"/>
  <c r="E251" i="24" s="1"/>
  <c r="D212" i="24"/>
  <c r="D251" i="24" s="1"/>
  <c r="V211" i="24"/>
  <c r="U211" i="24"/>
  <c r="T211" i="24"/>
  <c r="S211" i="24"/>
  <c r="R211" i="24"/>
  <c r="R250" i="24" s="1"/>
  <c r="Q211" i="24"/>
  <c r="P211" i="24"/>
  <c r="O211" i="24"/>
  <c r="N211" i="24"/>
  <c r="M211" i="24"/>
  <c r="L211" i="24"/>
  <c r="K211" i="24"/>
  <c r="J211" i="24"/>
  <c r="I211" i="24"/>
  <c r="H211" i="24"/>
  <c r="G211" i="24"/>
  <c r="F211" i="24"/>
  <c r="E211" i="24"/>
  <c r="D211" i="24"/>
  <c r="V210" i="24"/>
  <c r="U210" i="24"/>
  <c r="T210" i="24"/>
  <c r="S210" i="24"/>
  <c r="R210" i="24"/>
  <c r="Q210" i="24"/>
  <c r="P210" i="24"/>
  <c r="O210" i="24"/>
  <c r="N210" i="24"/>
  <c r="M210" i="24"/>
  <c r="L210" i="24"/>
  <c r="K210" i="24"/>
  <c r="J210" i="24"/>
  <c r="I210" i="24"/>
  <c r="H210" i="24"/>
  <c r="G210" i="24"/>
  <c r="F210" i="24"/>
  <c r="E210" i="24"/>
  <c r="D210" i="24"/>
  <c r="V209" i="24"/>
  <c r="U209" i="24"/>
  <c r="T209" i="24"/>
  <c r="S209" i="24"/>
  <c r="S237" i="24" s="1"/>
  <c r="R209" i="24"/>
  <c r="Q209" i="24"/>
  <c r="P209" i="24"/>
  <c r="O209" i="24"/>
  <c r="O237" i="24" s="1"/>
  <c r="N209" i="24"/>
  <c r="M209" i="24"/>
  <c r="L209" i="24"/>
  <c r="K209" i="24"/>
  <c r="J209" i="24"/>
  <c r="I209" i="24"/>
  <c r="H209" i="24"/>
  <c r="G209" i="24"/>
  <c r="F209" i="24"/>
  <c r="E209" i="24"/>
  <c r="D209" i="24"/>
  <c r="V208" i="24"/>
  <c r="U208" i="24"/>
  <c r="T208" i="24"/>
  <c r="S208" i="24"/>
  <c r="R208" i="24"/>
  <c r="Q208" i="24"/>
  <c r="P208" i="24"/>
  <c r="O208" i="24"/>
  <c r="N208" i="24"/>
  <c r="M208" i="24"/>
  <c r="L208" i="24"/>
  <c r="K208" i="24"/>
  <c r="J208" i="24"/>
  <c r="I208" i="24"/>
  <c r="H208" i="24"/>
  <c r="G208" i="24"/>
  <c r="F208" i="24"/>
  <c r="E208" i="24"/>
  <c r="D208" i="24"/>
  <c r="U195" i="24"/>
  <c r="Q195" i="24"/>
  <c r="P195" i="24"/>
  <c r="K195" i="24"/>
  <c r="J195" i="24"/>
  <c r="I195" i="24"/>
  <c r="H195" i="24"/>
  <c r="G195" i="24"/>
  <c r="F195" i="24"/>
  <c r="E195" i="24"/>
  <c r="U193" i="24"/>
  <c r="E193" i="24"/>
  <c r="F192" i="24"/>
  <c r="U187" i="24"/>
  <c r="Q186" i="24"/>
  <c r="I185" i="24"/>
  <c r="H185" i="24"/>
  <c r="G185" i="24"/>
  <c r="V182" i="24"/>
  <c r="U182" i="24"/>
  <c r="T182" i="24"/>
  <c r="S182" i="24"/>
  <c r="Q182" i="24"/>
  <c r="P182" i="24"/>
  <c r="O182" i="24"/>
  <c r="N182" i="24"/>
  <c r="M182" i="24"/>
  <c r="L182" i="24"/>
  <c r="K182" i="24"/>
  <c r="J182" i="24"/>
  <c r="I182" i="24"/>
  <c r="H182" i="24"/>
  <c r="G182" i="24"/>
  <c r="F182" i="24"/>
  <c r="E182" i="24"/>
  <c r="D182" i="24"/>
  <c r="M181" i="24"/>
  <c r="F179" i="24"/>
  <c r="D179" i="24"/>
  <c r="H178" i="24"/>
  <c r="G175" i="24"/>
  <c r="H174" i="24"/>
  <c r="V159" i="24"/>
  <c r="U159" i="24"/>
  <c r="T159" i="24"/>
  <c r="S159" i="24"/>
  <c r="R159" i="24"/>
  <c r="Q159" i="24"/>
  <c r="P159" i="24"/>
  <c r="O159" i="24"/>
  <c r="N159" i="24"/>
  <c r="M159" i="24"/>
  <c r="L159" i="24"/>
  <c r="K159" i="24"/>
  <c r="J159" i="24"/>
  <c r="I159" i="24"/>
  <c r="H159" i="24"/>
  <c r="G159" i="24"/>
  <c r="F159" i="24"/>
  <c r="E159" i="24"/>
  <c r="D159" i="24"/>
  <c r="V158" i="24"/>
  <c r="U158" i="24"/>
  <c r="T158" i="24"/>
  <c r="S158" i="24"/>
  <c r="R158" i="24"/>
  <c r="Q158" i="24"/>
  <c r="P158" i="24"/>
  <c r="O158" i="24"/>
  <c r="N158" i="24"/>
  <c r="M158" i="24"/>
  <c r="L158" i="24"/>
  <c r="L197" i="24" s="1"/>
  <c r="K158" i="24"/>
  <c r="J158" i="24"/>
  <c r="I158" i="24"/>
  <c r="H158" i="24"/>
  <c r="G158" i="24"/>
  <c r="F158" i="24"/>
  <c r="E158" i="24"/>
  <c r="D158" i="24"/>
  <c r="V157" i="24"/>
  <c r="U157" i="24"/>
  <c r="T157" i="24"/>
  <c r="S157" i="24"/>
  <c r="R157" i="24"/>
  <c r="Q157" i="24"/>
  <c r="P157" i="24"/>
  <c r="O157" i="24"/>
  <c r="O196" i="24" s="1"/>
  <c r="N157" i="24"/>
  <c r="N196" i="24" s="1"/>
  <c r="M157" i="24"/>
  <c r="L157" i="24"/>
  <c r="K157" i="24"/>
  <c r="J157" i="24"/>
  <c r="I157" i="24"/>
  <c r="H157" i="24"/>
  <c r="G157" i="24"/>
  <c r="F157" i="24"/>
  <c r="E157" i="24"/>
  <c r="D157" i="24"/>
  <c r="V156" i="24"/>
  <c r="U156" i="24"/>
  <c r="T156" i="24"/>
  <c r="T195" i="24" s="1"/>
  <c r="S156" i="24"/>
  <c r="S195" i="24" s="1"/>
  <c r="R156" i="24"/>
  <c r="R195" i="24" s="1"/>
  <c r="Q156" i="24"/>
  <c r="P156" i="24"/>
  <c r="O156" i="24"/>
  <c r="O195" i="24" s="1"/>
  <c r="N156" i="24"/>
  <c r="N195" i="24" s="1"/>
  <c r="M156" i="24"/>
  <c r="M195" i="24" s="1"/>
  <c r="L156" i="24"/>
  <c r="L195" i="24" s="1"/>
  <c r="K156" i="24"/>
  <c r="J156" i="24"/>
  <c r="I156" i="24"/>
  <c r="H156" i="24"/>
  <c r="G156" i="24"/>
  <c r="F156" i="24"/>
  <c r="E156" i="24"/>
  <c r="D156" i="24"/>
  <c r="D195" i="24" s="1"/>
  <c r="V155" i="24"/>
  <c r="U155" i="24"/>
  <c r="U194" i="24" s="1"/>
  <c r="T155" i="24"/>
  <c r="T194" i="24" s="1"/>
  <c r="S155" i="24"/>
  <c r="S194" i="24" s="1"/>
  <c r="R155" i="24"/>
  <c r="Q155" i="24"/>
  <c r="P155" i="24"/>
  <c r="O155" i="24"/>
  <c r="N155" i="24"/>
  <c r="M155" i="24"/>
  <c r="L155" i="24"/>
  <c r="K155" i="24"/>
  <c r="J155" i="24"/>
  <c r="I155" i="24"/>
  <c r="H155" i="24"/>
  <c r="G155" i="24"/>
  <c r="F155" i="24"/>
  <c r="E155" i="24"/>
  <c r="E194" i="24" s="1"/>
  <c r="D155" i="24"/>
  <c r="V154" i="24"/>
  <c r="V193" i="24" s="1"/>
  <c r="U154" i="24"/>
  <c r="T154" i="24"/>
  <c r="S154" i="24"/>
  <c r="R154" i="24"/>
  <c r="Q154" i="24"/>
  <c r="P154" i="24"/>
  <c r="O154" i="24"/>
  <c r="N154" i="24"/>
  <c r="M154" i="24"/>
  <c r="L154" i="24"/>
  <c r="K154" i="24"/>
  <c r="J154" i="24"/>
  <c r="I154" i="24"/>
  <c r="H154" i="24"/>
  <c r="H193" i="24" s="1"/>
  <c r="G154" i="24"/>
  <c r="G193" i="24" s="1"/>
  <c r="F154" i="24"/>
  <c r="F193" i="24" s="1"/>
  <c r="E154" i="24"/>
  <c r="D154" i="24"/>
  <c r="D193" i="24" s="1"/>
  <c r="V153" i="24"/>
  <c r="U153" i="24"/>
  <c r="T153" i="24"/>
  <c r="S153" i="24"/>
  <c r="R153" i="24"/>
  <c r="Q153" i="24"/>
  <c r="P153" i="24"/>
  <c r="O153" i="24"/>
  <c r="N153" i="24"/>
  <c r="M153" i="24"/>
  <c r="L153" i="24"/>
  <c r="K153" i="24"/>
  <c r="K192" i="24" s="1"/>
  <c r="J153" i="24"/>
  <c r="J192" i="24" s="1"/>
  <c r="I153" i="24"/>
  <c r="H153" i="24"/>
  <c r="G153" i="24"/>
  <c r="F153" i="24"/>
  <c r="E153" i="24"/>
  <c r="E192" i="24" s="1"/>
  <c r="D153" i="24"/>
  <c r="V152" i="24"/>
  <c r="U152" i="24"/>
  <c r="T152" i="24"/>
  <c r="S152" i="24"/>
  <c r="R152" i="24"/>
  <c r="Q152" i="24"/>
  <c r="P152" i="24"/>
  <c r="O152" i="24"/>
  <c r="N152" i="24"/>
  <c r="N191" i="24" s="1"/>
  <c r="M152" i="24"/>
  <c r="L152" i="24"/>
  <c r="K152" i="24"/>
  <c r="J152" i="24"/>
  <c r="I152" i="24"/>
  <c r="H152" i="24"/>
  <c r="G152" i="24"/>
  <c r="F152" i="24"/>
  <c r="E152" i="24"/>
  <c r="D152" i="24"/>
  <c r="V151" i="24"/>
  <c r="U151" i="24"/>
  <c r="T151" i="24"/>
  <c r="S151" i="24"/>
  <c r="R151" i="24"/>
  <c r="Q151" i="24"/>
  <c r="Q190" i="24" s="1"/>
  <c r="P151" i="24"/>
  <c r="P190" i="24" s="1"/>
  <c r="O151" i="24"/>
  <c r="N151" i="24"/>
  <c r="M151" i="24"/>
  <c r="L151" i="24"/>
  <c r="K151" i="24"/>
  <c r="J151" i="24"/>
  <c r="I151" i="24"/>
  <c r="H151" i="24"/>
  <c r="G151" i="24"/>
  <c r="F151" i="24"/>
  <c r="E151" i="24"/>
  <c r="D151" i="24"/>
  <c r="V150" i="24"/>
  <c r="U150" i="24"/>
  <c r="T150" i="24"/>
  <c r="T189" i="24" s="1"/>
  <c r="S150" i="24"/>
  <c r="S189" i="24" s="1"/>
  <c r="R150" i="24"/>
  <c r="R189" i="24" s="1"/>
  <c r="Q150" i="24"/>
  <c r="P150" i="24"/>
  <c r="O150" i="24"/>
  <c r="N150" i="24"/>
  <c r="M150" i="24"/>
  <c r="L150" i="24"/>
  <c r="K150" i="24"/>
  <c r="J150" i="24"/>
  <c r="I150" i="24"/>
  <c r="H150" i="24"/>
  <c r="G150" i="24"/>
  <c r="F150" i="24"/>
  <c r="E150" i="24"/>
  <c r="D150" i="24"/>
  <c r="D189" i="24" s="1"/>
  <c r="V149" i="24"/>
  <c r="U149" i="24"/>
  <c r="T149" i="24"/>
  <c r="S149" i="24"/>
  <c r="R149" i="24"/>
  <c r="Q149" i="24"/>
  <c r="P149" i="24"/>
  <c r="O149" i="24"/>
  <c r="N149" i="24"/>
  <c r="M149" i="24"/>
  <c r="L149" i="24"/>
  <c r="K149" i="24"/>
  <c r="J149" i="24"/>
  <c r="I149" i="24"/>
  <c r="H149" i="24"/>
  <c r="G149" i="24"/>
  <c r="G188" i="24" s="1"/>
  <c r="F149" i="24"/>
  <c r="E149" i="24"/>
  <c r="D149" i="24"/>
  <c r="V148" i="24"/>
  <c r="U148" i="24"/>
  <c r="T148" i="24"/>
  <c r="S148" i="24"/>
  <c r="R148" i="24"/>
  <c r="Q148" i="24"/>
  <c r="P148" i="24"/>
  <c r="O148" i="24"/>
  <c r="N148" i="24"/>
  <c r="M148" i="24"/>
  <c r="L148" i="24"/>
  <c r="K148" i="24"/>
  <c r="J148" i="24"/>
  <c r="J187" i="24" s="1"/>
  <c r="I148" i="24"/>
  <c r="H148" i="24"/>
  <c r="G148" i="24"/>
  <c r="F148" i="24"/>
  <c r="E148" i="24"/>
  <c r="D148" i="24"/>
  <c r="V147" i="24"/>
  <c r="U147" i="24"/>
  <c r="T147" i="24"/>
  <c r="S147" i="24"/>
  <c r="R147" i="24"/>
  <c r="Q147" i="24"/>
  <c r="P147" i="24"/>
  <c r="O147" i="24"/>
  <c r="N147" i="24"/>
  <c r="M147" i="24"/>
  <c r="M186" i="24" s="1"/>
  <c r="L147" i="24"/>
  <c r="K147" i="24"/>
  <c r="J147" i="24"/>
  <c r="I147" i="24"/>
  <c r="H147" i="24"/>
  <c r="G147" i="24"/>
  <c r="F147" i="24"/>
  <c r="E147" i="24"/>
  <c r="D147" i="24"/>
  <c r="V146" i="24"/>
  <c r="U146" i="24"/>
  <c r="T146" i="24"/>
  <c r="S146" i="24"/>
  <c r="R146" i="24"/>
  <c r="Q146" i="24"/>
  <c r="P146" i="24"/>
  <c r="P185" i="24" s="1"/>
  <c r="O146" i="24"/>
  <c r="O185" i="24" s="1"/>
  <c r="N146" i="24"/>
  <c r="M146" i="24"/>
  <c r="L146" i="24"/>
  <c r="K146" i="24"/>
  <c r="K185" i="24" s="1"/>
  <c r="J146" i="24"/>
  <c r="J185" i="24" s="1"/>
  <c r="I146" i="24"/>
  <c r="H146" i="24"/>
  <c r="G146" i="24"/>
  <c r="F146" i="24"/>
  <c r="E146" i="24"/>
  <c r="D146" i="24"/>
  <c r="V145" i="24"/>
  <c r="U145" i="24"/>
  <c r="T145" i="24"/>
  <c r="S145" i="24"/>
  <c r="S184" i="24" s="1"/>
  <c r="R145" i="24"/>
  <c r="Q145" i="24"/>
  <c r="P145" i="24"/>
  <c r="O145" i="24"/>
  <c r="N145" i="24"/>
  <c r="M145" i="24"/>
  <c r="L145" i="24"/>
  <c r="K145" i="24"/>
  <c r="J145" i="24"/>
  <c r="I145" i="24"/>
  <c r="H145" i="24"/>
  <c r="G145" i="24"/>
  <c r="F145" i="24"/>
  <c r="E145" i="24"/>
  <c r="D145" i="24"/>
  <c r="V144" i="24"/>
  <c r="V183" i="24" s="1"/>
  <c r="U144" i="24"/>
  <c r="T144" i="24"/>
  <c r="S144" i="24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F183" i="24" s="1"/>
  <c r="E144" i="24"/>
  <c r="E183" i="24" s="1"/>
  <c r="D144" i="24"/>
  <c r="R143" i="24"/>
  <c r="R182" i="24" s="1"/>
  <c r="V142" i="24"/>
  <c r="U142" i="24"/>
  <c r="T142" i="24"/>
  <c r="S142" i="24"/>
  <c r="R142" i="24"/>
  <c r="Q142" i="24"/>
  <c r="P142" i="24"/>
  <c r="O142" i="24"/>
  <c r="N142" i="24"/>
  <c r="M142" i="24"/>
  <c r="L142" i="24"/>
  <c r="K142" i="24"/>
  <c r="J142" i="24"/>
  <c r="J181" i="24" s="1"/>
  <c r="I142" i="24"/>
  <c r="H142" i="24"/>
  <c r="G142" i="24"/>
  <c r="F142" i="24"/>
  <c r="E142" i="24"/>
  <c r="D142" i="24"/>
  <c r="V141" i="24"/>
  <c r="U141" i="24"/>
  <c r="T141" i="24"/>
  <c r="S141" i="24"/>
  <c r="R141" i="24"/>
  <c r="Q141" i="24"/>
  <c r="P141" i="24"/>
  <c r="O141" i="24"/>
  <c r="N141" i="24"/>
  <c r="M141" i="24"/>
  <c r="M180" i="24" s="1"/>
  <c r="L141" i="24"/>
  <c r="K141" i="24"/>
  <c r="J141" i="24"/>
  <c r="I141" i="24"/>
  <c r="H141" i="24"/>
  <c r="G141" i="24"/>
  <c r="F141" i="24"/>
  <c r="E141" i="24"/>
  <c r="D141" i="24"/>
  <c r="V140" i="24"/>
  <c r="U140" i="24"/>
  <c r="T140" i="24"/>
  <c r="S140" i="24"/>
  <c r="R140" i="24"/>
  <c r="Q140" i="24"/>
  <c r="P140" i="24"/>
  <c r="P179" i="24" s="1"/>
  <c r="O140" i="24"/>
  <c r="O179" i="24" s="1"/>
  <c r="N140" i="24"/>
  <c r="M140" i="24"/>
  <c r="L140" i="24"/>
  <c r="K140" i="24"/>
  <c r="J140" i="24"/>
  <c r="J179" i="24" s="1"/>
  <c r="I140" i="24"/>
  <c r="H140" i="24"/>
  <c r="G140" i="24"/>
  <c r="G179" i="24" s="1"/>
  <c r="F140" i="24"/>
  <c r="E140" i="24"/>
  <c r="E179" i="24" s="1"/>
  <c r="D140" i="24"/>
  <c r="V139" i="24"/>
  <c r="U139" i="24"/>
  <c r="T139" i="24"/>
  <c r="S139" i="24"/>
  <c r="S178" i="24" s="1"/>
  <c r="R139" i="24"/>
  <c r="R178" i="24" s="1"/>
  <c r="Q139" i="24"/>
  <c r="P139" i="24"/>
  <c r="O139" i="24"/>
  <c r="N139" i="24"/>
  <c r="M139" i="24"/>
  <c r="L139" i="24"/>
  <c r="K139" i="24"/>
  <c r="J139" i="24"/>
  <c r="I139" i="24"/>
  <c r="H139" i="24"/>
  <c r="G139" i="24"/>
  <c r="F139" i="24"/>
  <c r="E139" i="24"/>
  <c r="D139" i="24"/>
  <c r="V138" i="24"/>
  <c r="V177" i="24" s="1"/>
  <c r="U138" i="24"/>
  <c r="U177" i="24" s="1"/>
  <c r="T138" i="24"/>
  <c r="S138" i="24"/>
  <c r="R138" i="24"/>
  <c r="Q138" i="24"/>
  <c r="P138" i="24"/>
  <c r="O138" i="24"/>
  <c r="N138" i="24"/>
  <c r="M138" i="24"/>
  <c r="L138" i="24"/>
  <c r="K138" i="24"/>
  <c r="J138" i="24"/>
  <c r="I138" i="24"/>
  <c r="H138" i="24"/>
  <c r="G138" i="24"/>
  <c r="F138" i="24"/>
  <c r="F177" i="24" s="1"/>
  <c r="E138" i="24"/>
  <c r="D138" i="24"/>
  <c r="V137" i="24"/>
  <c r="U137" i="24"/>
  <c r="T137" i="24"/>
  <c r="S137" i="24"/>
  <c r="R137" i="24"/>
  <c r="Q137" i="24"/>
  <c r="P137" i="24"/>
  <c r="O137" i="24"/>
  <c r="N137" i="24"/>
  <c r="M137" i="24"/>
  <c r="L137" i="24"/>
  <c r="K137" i="24"/>
  <c r="J137" i="24"/>
  <c r="I137" i="24"/>
  <c r="I176" i="24" s="1"/>
  <c r="H137" i="24"/>
  <c r="G137" i="24"/>
  <c r="F137" i="24"/>
  <c r="E137" i="24"/>
  <c r="D137" i="24"/>
  <c r="V136" i="24"/>
  <c r="U136" i="24"/>
  <c r="T136" i="24"/>
  <c r="S136" i="24"/>
  <c r="R136" i="24"/>
  <c r="Q136" i="24"/>
  <c r="P136" i="24"/>
  <c r="O136" i="24"/>
  <c r="N136" i="24"/>
  <c r="M136" i="24"/>
  <c r="L136" i="24"/>
  <c r="L175" i="24" s="1"/>
  <c r="K136" i="24"/>
  <c r="K175" i="24" s="1"/>
  <c r="J136" i="24"/>
  <c r="I136" i="24"/>
  <c r="H136" i="24"/>
  <c r="G136" i="24"/>
  <c r="F136" i="24"/>
  <c r="E136" i="24"/>
  <c r="D136" i="24"/>
  <c r="V135" i="24"/>
  <c r="U135" i="24"/>
  <c r="T135" i="24"/>
  <c r="S135" i="24"/>
  <c r="R135" i="24"/>
  <c r="Q135" i="24"/>
  <c r="P135" i="24"/>
  <c r="O135" i="24"/>
  <c r="O174" i="24" s="1"/>
  <c r="N135" i="24"/>
  <c r="N174" i="24" s="1"/>
  <c r="M135" i="24"/>
  <c r="M174" i="24" s="1"/>
  <c r="L135" i="24"/>
  <c r="K135" i="24"/>
  <c r="J135" i="24"/>
  <c r="I135" i="24"/>
  <c r="H135" i="24"/>
  <c r="G135" i="24"/>
  <c r="F135" i="24"/>
  <c r="F174" i="24" s="1"/>
  <c r="E135" i="24"/>
  <c r="E174" i="24" s="1"/>
  <c r="D135" i="24"/>
  <c r="D174" i="24" s="1"/>
  <c r="V134" i="24"/>
  <c r="U134" i="24"/>
  <c r="T134" i="24"/>
  <c r="S134" i="24"/>
  <c r="R134" i="24"/>
  <c r="R173" i="24" s="1"/>
  <c r="Q134" i="24"/>
  <c r="Q173" i="24" s="1"/>
  <c r="P134" i="24"/>
  <c r="P173" i="24" s="1"/>
  <c r="O134" i="24"/>
  <c r="N134" i="24"/>
  <c r="M134" i="24"/>
  <c r="L134" i="24"/>
  <c r="K134" i="24"/>
  <c r="J134" i="24"/>
  <c r="I134" i="24"/>
  <c r="H134" i="24"/>
  <c r="G134" i="24"/>
  <c r="F134" i="24"/>
  <c r="E134" i="24"/>
  <c r="D134" i="24"/>
  <c r="V133" i="24"/>
  <c r="U133" i="24"/>
  <c r="U172" i="24" s="1"/>
  <c r="T133" i="24"/>
  <c r="T172" i="24" s="1"/>
  <c r="S133" i="24"/>
  <c r="S172" i="24" s="1"/>
  <c r="R133" i="24"/>
  <c r="Q133" i="24"/>
  <c r="P133" i="24"/>
  <c r="O133" i="24"/>
  <c r="N133" i="24"/>
  <c r="M133" i="24"/>
  <c r="L133" i="24"/>
  <c r="K133" i="24"/>
  <c r="J133" i="24"/>
  <c r="I133" i="24"/>
  <c r="H133" i="24"/>
  <c r="G133" i="24"/>
  <c r="F133" i="24"/>
  <c r="E133" i="24"/>
  <c r="E172" i="24" s="1"/>
  <c r="D133" i="24"/>
  <c r="V132" i="24"/>
  <c r="V171" i="24" s="1"/>
  <c r="U132" i="24"/>
  <c r="T132" i="24"/>
  <c r="S132" i="24"/>
  <c r="R132" i="24"/>
  <c r="Q132" i="24"/>
  <c r="P132" i="24"/>
  <c r="O132" i="24"/>
  <c r="N132" i="24"/>
  <c r="M132" i="24"/>
  <c r="L132" i="24"/>
  <c r="K132" i="24"/>
  <c r="J132" i="24"/>
  <c r="I132" i="24"/>
  <c r="H132" i="24"/>
  <c r="H171" i="24" s="1"/>
  <c r="G132" i="24"/>
  <c r="F132" i="24"/>
  <c r="F171" i="24" s="1"/>
  <c r="E132" i="24"/>
  <c r="D132" i="24"/>
  <c r="V131" i="24"/>
  <c r="U131" i="24"/>
  <c r="T131" i="24"/>
  <c r="S131" i="24"/>
  <c r="R131" i="24"/>
  <c r="Q131" i="24"/>
  <c r="P131" i="24"/>
  <c r="O131" i="24"/>
  <c r="N131" i="24"/>
  <c r="M131" i="24"/>
  <c r="L131" i="24"/>
  <c r="K131" i="24"/>
  <c r="K160" i="24" s="1"/>
  <c r="J131" i="24"/>
  <c r="I131" i="24"/>
  <c r="H131" i="24"/>
  <c r="G131" i="24"/>
  <c r="F131" i="24"/>
  <c r="E131" i="24"/>
  <c r="D131" i="24"/>
  <c r="M120" i="24"/>
  <c r="K120" i="24"/>
  <c r="G120" i="24"/>
  <c r="N119" i="24"/>
  <c r="J119" i="24"/>
  <c r="G118" i="24"/>
  <c r="U117" i="24"/>
  <c r="O117" i="24"/>
  <c r="N117" i="24"/>
  <c r="L117" i="24"/>
  <c r="K117" i="24"/>
  <c r="J117" i="24"/>
  <c r="H117" i="24"/>
  <c r="Q115" i="24"/>
  <c r="P115" i="24"/>
  <c r="R114" i="24"/>
  <c r="P113" i="24"/>
  <c r="O113" i="24"/>
  <c r="L113" i="24"/>
  <c r="S112" i="24"/>
  <c r="O112" i="24"/>
  <c r="N111" i="24"/>
  <c r="L111" i="24"/>
  <c r="G111" i="24"/>
  <c r="P110" i="24"/>
  <c r="O110" i="24"/>
  <c r="G109" i="24"/>
  <c r="V108" i="24"/>
  <c r="U108" i="24"/>
  <c r="O108" i="24"/>
  <c r="N108" i="24"/>
  <c r="I107" i="24"/>
  <c r="E107" i="24"/>
  <c r="D107" i="24"/>
  <c r="K105" i="24"/>
  <c r="G105" i="24"/>
  <c r="D105" i="24"/>
  <c r="V104" i="24"/>
  <c r="U104" i="24"/>
  <c r="T104" i="24"/>
  <c r="S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J102" i="24"/>
  <c r="P100" i="24"/>
  <c r="K100" i="24"/>
  <c r="U99" i="24"/>
  <c r="M98" i="24"/>
  <c r="D98" i="24"/>
  <c r="E97" i="24"/>
  <c r="N96" i="24"/>
  <c r="J95" i="24"/>
  <c r="H95" i="24"/>
  <c r="M94" i="24"/>
  <c r="N93" i="24"/>
  <c r="Q92" i="24"/>
  <c r="N82" i="24"/>
  <c r="E82" i="24"/>
  <c r="V81" i="24"/>
  <c r="U81" i="24"/>
  <c r="T81" i="24"/>
  <c r="S81" i="24"/>
  <c r="R81" i="24"/>
  <c r="Q81" i="24"/>
  <c r="P81" i="24"/>
  <c r="O81" i="24"/>
  <c r="O120" i="24" s="1"/>
  <c r="N81" i="24"/>
  <c r="M81" i="24"/>
  <c r="L81" i="24"/>
  <c r="L120" i="24" s="1"/>
  <c r="K81" i="24"/>
  <c r="J81" i="24"/>
  <c r="I81" i="24"/>
  <c r="H81" i="24"/>
  <c r="G81" i="24"/>
  <c r="F81" i="24"/>
  <c r="E81" i="24"/>
  <c r="D81" i="24"/>
  <c r="V80" i="24"/>
  <c r="U80" i="24"/>
  <c r="T80" i="24"/>
  <c r="S80" i="24"/>
  <c r="R80" i="24"/>
  <c r="Q80" i="24"/>
  <c r="P80" i="24"/>
  <c r="P119" i="24" s="1"/>
  <c r="O80" i="24"/>
  <c r="O119" i="24" s="1"/>
  <c r="N80" i="24"/>
  <c r="M80" i="24"/>
  <c r="L80" i="24"/>
  <c r="K80" i="24"/>
  <c r="J80" i="24"/>
  <c r="I80" i="24"/>
  <c r="H80" i="24"/>
  <c r="G80" i="24"/>
  <c r="F80" i="24"/>
  <c r="E80" i="24"/>
  <c r="D80" i="24"/>
  <c r="V79" i="24"/>
  <c r="U79" i="24"/>
  <c r="T79" i="24"/>
  <c r="S79" i="24"/>
  <c r="S118" i="24" s="1"/>
  <c r="R79" i="24"/>
  <c r="R118" i="24" s="1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V78" i="24"/>
  <c r="V117" i="24" s="1"/>
  <c r="U78" i="24"/>
  <c r="T78" i="24"/>
  <c r="T117" i="24" s="1"/>
  <c r="S78" i="24"/>
  <c r="S117" i="24" s="1"/>
  <c r="R78" i="24"/>
  <c r="R117" i="24" s="1"/>
  <c r="Q78" i="24"/>
  <c r="Q117" i="24" s="1"/>
  <c r="P78" i="24"/>
  <c r="P117" i="24" s="1"/>
  <c r="O78" i="24"/>
  <c r="N78" i="24"/>
  <c r="M78" i="24"/>
  <c r="M117" i="24" s="1"/>
  <c r="L78" i="24"/>
  <c r="K78" i="24"/>
  <c r="J78" i="24"/>
  <c r="I78" i="24"/>
  <c r="I117" i="24" s="1"/>
  <c r="H78" i="24"/>
  <c r="G78" i="24"/>
  <c r="G117" i="24" s="1"/>
  <c r="F78" i="24"/>
  <c r="F117" i="24" s="1"/>
  <c r="E78" i="24"/>
  <c r="E117" i="24" s="1"/>
  <c r="D78" i="24"/>
  <c r="D117" i="24" s="1"/>
  <c r="V77" i="24"/>
  <c r="U77" i="24"/>
  <c r="T77" i="24"/>
  <c r="S77" i="24"/>
  <c r="S116" i="24" s="1"/>
  <c r="R77" i="24"/>
  <c r="Q77" i="24"/>
  <c r="P77" i="24"/>
  <c r="P116" i="24" s="1"/>
  <c r="O77" i="24"/>
  <c r="N77" i="24"/>
  <c r="M77" i="24"/>
  <c r="M116" i="24" s="1"/>
  <c r="L77" i="24"/>
  <c r="L116" i="24" s="1"/>
  <c r="K77" i="24"/>
  <c r="J77" i="24"/>
  <c r="I77" i="24"/>
  <c r="I116" i="24" s="1"/>
  <c r="H77" i="24"/>
  <c r="H116" i="24" s="1"/>
  <c r="G77" i="24"/>
  <c r="F77" i="24"/>
  <c r="F116" i="24" s="1"/>
  <c r="E77" i="24"/>
  <c r="D77" i="24"/>
  <c r="V76" i="24"/>
  <c r="V115" i="24" s="1"/>
  <c r="U76" i="24"/>
  <c r="T76" i="24"/>
  <c r="S76" i="24"/>
  <c r="R76" i="24"/>
  <c r="Q76" i="24"/>
  <c r="P76" i="24"/>
  <c r="O76" i="24"/>
  <c r="N76" i="24"/>
  <c r="M76" i="24"/>
  <c r="L76" i="24"/>
  <c r="L115" i="24" s="1"/>
  <c r="K76" i="24"/>
  <c r="K115" i="24" s="1"/>
  <c r="J76" i="24"/>
  <c r="I76" i="24"/>
  <c r="H76" i="24"/>
  <c r="G76" i="24"/>
  <c r="G115" i="24" s="1"/>
  <c r="F76" i="24"/>
  <c r="F115" i="24" s="1"/>
  <c r="E76" i="24"/>
  <c r="E115" i="24" s="1"/>
  <c r="D76" i="24"/>
  <c r="D115" i="24" s="1"/>
  <c r="V75" i="24"/>
  <c r="U75" i="24"/>
  <c r="T75" i="24"/>
  <c r="S75" i="24"/>
  <c r="R75" i="24"/>
  <c r="Q75" i="24"/>
  <c r="P75" i="24"/>
  <c r="O75" i="24"/>
  <c r="O114" i="24" s="1"/>
  <c r="N75" i="24"/>
  <c r="N114" i="24" s="1"/>
  <c r="M75" i="24"/>
  <c r="L75" i="24"/>
  <c r="L114" i="24" s="1"/>
  <c r="K75" i="24"/>
  <c r="J75" i="24"/>
  <c r="I75" i="24"/>
  <c r="H75" i="24"/>
  <c r="G75" i="24"/>
  <c r="F75" i="24"/>
  <c r="E75" i="24"/>
  <c r="E114" i="24" s="1"/>
  <c r="D75" i="24"/>
  <c r="V74" i="24"/>
  <c r="U74" i="24"/>
  <c r="T74" i="24"/>
  <c r="S74" i="24"/>
  <c r="R74" i="24"/>
  <c r="R113" i="24" s="1"/>
  <c r="Q74" i="24"/>
  <c r="Q113" i="24" s="1"/>
  <c r="P74" i="24"/>
  <c r="O74" i="24"/>
  <c r="N74" i="24"/>
  <c r="M74" i="24"/>
  <c r="L74" i="24"/>
  <c r="K74" i="24"/>
  <c r="J74" i="24"/>
  <c r="I74" i="24"/>
  <c r="H74" i="24"/>
  <c r="G74" i="24"/>
  <c r="F74" i="24"/>
  <c r="E74" i="24"/>
  <c r="D74" i="24"/>
  <c r="V73" i="24"/>
  <c r="U73" i="24"/>
  <c r="U112" i="24" s="1"/>
  <c r="T73" i="24"/>
  <c r="T112" i="24" s="1"/>
  <c r="S73" i="24"/>
  <c r="R73" i="24"/>
  <c r="Q73" i="24"/>
  <c r="P73" i="24"/>
  <c r="O73" i="24"/>
  <c r="N73" i="24"/>
  <c r="M73" i="24"/>
  <c r="L73" i="24"/>
  <c r="K73" i="24"/>
  <c r="J73" i="24"/>
  <c r="I73" i="24"/>
  <c r="H73" i="24"/>
  <c r="G73" i="24"/>
  <c r="F73" i="24"/>
  <c r="E73" i="24"/>
  <c r="E112" i="24" s="1"/>
  <c r="D73" i="24"/>
  <c r="D112" i="24" s="1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H111" i="24" s="1"/>
  <c r="G72" i="24"/>
  <c r="F72" i="24"/>
  <c r="E72" i="24"/>
  <c r="E111" i="24" s="1"/>
  <c r="D72" i="24"/>
  <c r="V71" i="24"/>
  <c r="U71" i="24"/>
  <c r="U110" i="24" s="1"/>
  <c r="T71" i="24"/>
  <c r="S71" i="24"/>
  <c r="R71" i="24"/>
  <c r="Q71" i="24"/>
  <c r="P71" i="24"/>
  <c r="O71" i="24"/>
  <c r="N71" i="24"/>
  <c r="M71" i="24"/>
  <c r="L71" i="24"/>
  <c r="K71" i="24"/>
  <c r="K110" i="24" s="1"/>
  <c r="J71" i="24"/>
  <c r="J110" i="24" s="1"/>
  <c r="I71" i="24"/>
  <c r="H71" i="24"/>
  <c r="G71" i="24"/>
  <c r="F71" i="24"/>
  <c r="E71" i="24"/>
  <c r="E110" i="24" s="1"/>
  <c r="D71" i="24"/>
  <c r="V70" i="24"/>
  <c r="U70" i="24"/>
  <c r="U109" i="24" s="1"/>
  <c r="T70" i="24"/>
  <c r="S70" i="24"/>
  <c r="R70" i="24"/>
  <c r="R109" i="24" s="1"/>
  <c r="Q70" i="24"/>
  <c r="Q109" i="24" s="1"/>
  <c r="P70" i="24"/>
  <c r="O70" i="24"/>
  <c r="N70" i="24"/>
  <c r="N109" i="24" s="1"/>
  <c r="M70" i="24"/>
  <c r="M109" i="24" s="1"/>
  <c r="L70" i="24"/>
  <c r="K70" i="24"/>
  <c r="J70" i="24"/>
  <c r="I70" i="24"/>
  <c r="H70" i="24"/>
  <c r="H109" i="24" s="1"/>
  <c r="G70" i="24"/>
  <c r="F70" i="24"/>
  <c r="E70" i="24"/>
  <c r="D70" i="24"/>
  <c r="V69" i="24"/>
  <c r="U69" i="24"/>
  <c r="T69" i="24"/>
  <c r="S69" i="24"/>
  <c r="R69" i="24"/>
  <c r="Q69" i="24"/>
  <c r="Q108" i="24" s="1"/>
  <c r="P69" i="24"/>
  <c r="P108" i="24" s="1"/>
  <c r="O69" i="24"/>
  <c r="N69" i="24"/>
  <c r="M69" i="24"/>
  <c r="L69" i="24"/>
  <c r="K69" i="24"/>
  <c r="K108" i="24" s="1"/>
  <c r="J69" i="24"/>
  <c r="I69" i="24"/>
  <c r="H69" i="24"/>
  <c r="H108" i="24" s="1"/>
  <c r="G69" i="24"/>
  <c r="F69" i="24"/>
  <c r="E69" i="24"/>
  <c r="D69" i="24"/>
  <c r="D108" i="24" s="1"/>
  <c r="V68" i="24"/>
  <c r="U68" i="24"/>
  <c r="T68" i="24"/>
  <c r="T107" i="24" s="1"/>
  <c r="S68" i="24"/>
  <c r="S107" i="24" s="1"/>
  <c r="R68" i="24"/>
  <c r="Q68" i="24"/>
  <c r="P68" i="24"/>
  <c r="O68" i="24"/>
  <c r="O107" i="24" s="1"/>
  <c r="N68" i="24"/>
  <c r="M68" i="24"/>
  <c r="L68" i="24"/>
  <c r="K68" i="24"/>
  <c r="K107" i="24" s="1"/>
  <c r="J68" i="24"/>
  <c r="J107" i="24" s="1"/>
  <c r="I68" i="24"/>
  <c r="H68" i="24"/>
  <c r="H107" i="24" s="1"/>
  <c r="G68" i="24"/>
  <c r="F68" i="24"/>
  <c r="E68" i="24"/>
  <c r="D68" i="24"/>
  <c r="V67" i="24"/>
  <c r="V106" i="24" s="1"/>
  <c r="U67" i="24"/>
  <c r="T67" i="24"/>
  <c r="S67" i="24"/>
  <c r="R67" i="24"/>
  <c r="R106" i="24" s="1"/>
  <c r="Q67" i="24"/>
  <c r="P67" i="24"/>
  <c r="O67" i="24"/>
  <c r="N67" i="24"/>
  <c r="M67" i="24"/>
  <c r="L67" i="24"/>
  <c r="K67" i="24"/>
  <c r="J67" i="24"/>
  <c r="J106" i="24" s="1"/>
  <c r="I67" i="24"/>
  <c r="H67" i="24"/>
  <c r="G67" i="24"/>
  <c r="G106" i="24" s="1"/>
  <c r="F67" i="24"/>
  <c r="F106" i="24" s="1"/>
  <c r="E67" i="24"/>
  <c r="D67" i="24"/>
  <c r="V66" i="24"/>
  <c r="U66" i="24"/>
  <c r="U105" i="24" s="1"/>
  <c r="T66" i="24"/>
  <c r="S66" i="24"/>
  <c r="R66" i="24"/>
  <c r="Q66" i="24"/>
  <c r="P66" i="24"/>
  <c r="O66" i="24"/>
  <c r="N66" i="24"/>
  <c r="M66" i="24"/>
  <c r="L66" i="24"/>
  <c r="K66" i="24"/>
  <c r="J66" i="24"/>
  <c r="J105" i="24" s="1"/>
  <c r="I66" i="24"/>
  <c r="I105" i="24" s="1"/>
  <c r="H66" i="24"/>
  <c r="G66" i="24"/>
  <c r="F66" i="24"/>
  <c r="E66" i="24"/>
  <c r="E105" i="24" s="1"/>
  <c r="D66" i="24"/>
  <c r="R65" i="24"/>
  <c r="R104" i="24" s="1"/>
  <c r="V64" i="24"/>
  <c r="U64" i="24"/>
  <c r="T64" i="24"/>
  <c r="S64" i="24"/>
  <c r="R64" i="24"/>
  <c r="R103" i="24" s="1"/>
  <c r="Q64" i="24"/>
  <c r="P64" i="24"/>
  <c r="O64" i="24"/>
  <c r="N64" i="24"/>
  <c r="M64" i="24"/>
  <c r="M103" i="24" s="1"/>
  <c r="L64" i="24"/>
  <c r="K64" i="24"/>
  <c r="J64" i="24"/>
  <c r="I64" i="24"/>
  <c r="I103" i="24" s="1"/>
  <c r="H64" i="24"/>
  <c r="G64" i="24"/>
  <c r="F64" i="24"/>
  <c r="E64" i="24"/>
  <c r="D64" i="24"/>
  <c r="V63" i="24"/>
  <c r="U63" i="24"/>
  <c r="U102" i="24" s="1"/>
  <c r="T63" i="24"/>
  <c r="S63" i="24"/>
  <c r="R63" i="24"/>
  <c r="Q63" i="24"/>
  <c r="P63" i="24"/>
  <c r="P102" i="24" s="1"/>
  <c r="O63" i="24"/>
  <c r="N63" i="24"/>
  <c r="M63" i="24"/>
  <c r="L63" i="24"/>
  <c r="L102" i="24" s="1"/>
  <c r="K63" i="24"/>
  <c r="K102" i="24" s="1"/>
  <c r="J63" i="24"/>
  <c r="I63" i="24"/>
  <c r="H63" i="24"/>
  <c r="G63" i="24"/>
  <c r="F63" i="24"/>
  <c r="E63" i="24"/>
  <c r="E102" i="24" s="1"/>
  <c r="D63" i="24"/>
  <c r="V62" i="24"/>
  <c r="V101" i="24" s="1"/>
  <c r="U62" i="24"/>
  <c r="T62" i="24"/>
  <c r="S62" i="24"/>
  <c r="S101" i="24" s="1"/>
  <c r="R62" i="24"/>
  <c r="Q62" i="24"/>
  <c r="P62" i="24"/>
  <c r="O62" i="24"/>
  <c r="O101" i="24" s="1"/>
  <c r="N62" i="24"/>
  <c r="N101" i="24" s="1"/>
  <c r="M62" i="24"/>
  <c r="L62" i="24"/>
  <c r="K62" i="24"/>
  <c r="J62" i="24"/>
  <c r="I62" i="24"/>
  <c r="H62" i="24"/>
  <c r="H101" i="24" s="1"/>
  <c r="G62" i="24"/>
  <c r="G101" i="24" s="1"/>
  <c r="F62" i="24"/>
  <c r="F101" i="24" s="1"/>
  <c r="E62" i="24"/>
  <c r="E101" i="24" s="1"/>
  <c r="D62" i="24"/>
  <c r="D101" i="24" s="1"/>
  <c r="V61" i="24"/>
  <c r="V100" i="24" s="1"/>
  <c r="U61" i="24"/>
  <c r="T61" i="24"/>
  <c r="S61" i="24"/>
  <c r="R61" i="24"/>
  <c r="R100" i="24" s="1"/>
  <c r="Q61" i="24"/>
  <c r="Q100" i="24" s="1"/>
  <c r="P61" i="24"/>
  <c r="O61" i="24"/>
  <c r="N61" i="24"/>
  <c r="M61" i="24"/>
  <c r="L61" i="24"/>
  <c r="K61" i="24"/>
  <c r="J61" i="24"/>
  <c r="I61" i="24"/>
  <c r="I100" i="24" s="1"/>
  <c r="H61" i="24"/>
  <c r="G61" i="24"/>
  <c r="F61" i="24"/>
  <c r="F100" i="24" s="1"/>
  <c r="E61" i="24"/>
  <c r="D61" i="24"/>
  <c r="V60" i="24"/>
  <c r="U60" i="24"/>
  <c r="T60" i="24"/>
  <c r="T99" i="24" s="1"/>
  <c r="S60" i="24"/>
  <c r="R60" i="24"/>
  <c r="Q60" i="24"/>
  <c r="P60" i="24"/>
  <c r="O60" i="24"/>
  <c r="N60" i="24"/>
  <c r="N99" i="24" s="1"/>
  <c r="M60" i="24"/>
  <c r="M99" i="24" s="1"/>
  <c r="L60" i="24"/>
  <c r="L99" i="24" s="1"/>
  <c r="K60" i="24"/>
  <c r="J60" i="24"/>
  <c r="I60" i="24"/>
  <c r="I99" i="24" s="1"/>
  <c r="H60" i="24"/>
  <c r="G60" i="24"/>
  <c r="F60" i="24"/>
  <c r="F99" i="24" s="1"/>
  <c r="E60" i="24"/>
  <c r="E99" i="24" s="1"/>
  <c r="D60" i="24"/>
  <c r="V59" i="24"/>
  <c r="U59" i="24"/>
  <c r="T59" i="24"/>
  <c r="S59" i="24"/>
  <c r="R59" i="24"/>
  <c r="Q59" i="24"/>
  <c r="Q98" i="24" s="1"/>
  <c r="P59" i="24"/>
  <c r="O59" i="24"/>
  <c r="N59" i="24"/>
  <c r="N98" i="24" s="1"/>
  <c r="M59" i="24"/>
  <c r="L59" i="24"/>
  <c r="L98" i="24" s="1"/>
  <c r="K59" i="24"/>
  <c r="J59" i="24"/>
  <c r="J98" i="24" s="1"/>
  <c r="I59" i="24"/>
  <c r="I98" i="24" s="1"/>
  <c r="H59" i="24"/>
  <c r="H98" i="24" s="1"/>
  <c r="G59" i="24"/>
  <c r="F59" i="24"/>
  <c r="E59" i="24"/>
  <c r="D59" i="24"/>
  <c r="V58" i="24"/>
  <c r="U58" i="24"/>
  <c r="T58" i="24"/>
  <c r="T97" i="24" s="1"/>
  <c r="S58" i="24"/>
  <c r="R58" i="24"/>
  <c r="Q58" i="24"/>
  <c r="Q82" i="24" s="1"/>
  <c r="P58" i="24"/>
  <c r="O58" i="24"/>
  <c r="O97" i="24" s="1"/>
  <c r="N58" i="24"/>
  <c r="M58" i="24"/>
  <c r="M97" i="24" s="1"/>
  <c r="L58" i="24"/>
  <c r="L97" i="24" s="1"/>
  <c r="K58" i="24"/>
  <c r="K97" i="24" s="1"/>
  <c r="J58" i="24"/>
  <c r="I58" i="24"/>
  <c r="H58" i="24"/>
  <c r="G58" i="24"/>
  <c r="F58" i="24"/>
  <c r="E58" i="24"/>
  <c r="D58" i="24"/>
  <c r="D97" i="24" s="1"/>
  <c r="V57" i="24"/>
  <c r="U57" i="24"/>
  <c r="T57" i="24"/>
  <c r="S57" i="24"/>
  <c r="R57" i="24"/>
  <c r="R96" i="24" s="1"/>
  <c r="Q57" i="24"/>
  <c r="P57" i="24"/>
  <c r="P96" i="24" s="1"/>
  <c r="O57" i="24"/>
  <c r="N57" i="24"/>
  <c r="M57" i="24"/>
  <c r="L57" i="24"/>
  <c r="K57" i="24"/>
  <c r="J57" i="24"/>
  <c r="I57" i="24"/>
  <c r="H57" i="24"/>
  <c r="H96" i="24" s="1"/>
  <c r="G57" i="24"/>
  <c r="G96" i="24" s="1"/>
  <c r="F57" i="24"/>
  <c r="F96" i="24" s="1"/>
  <c r="E57" i="24"/>
  <c r="D57" i="24"/>
  <c r="D96" i="24" s="1"/>
  <c r="V56" i="24"/>
  <c r="U56" i="24"/>
  <c r="U95" i="24" s="1"/>
  <c r="T56" i="24"/>
  <c r="S56" i="24"/>
  <c r="S95" i="24" s="1"/>
  <c r="R56" i="24"/>
  <c r="Q56" i="24"/>
  <c r="Q95" i="24" s="1"/>
  <c r="P56" i="24"/>
  <c r="P95" i="24" s="1"/>
  <c r="O56" i="24"/>
  <c r="N56" i="24"/>
  <c r="M56" i="24"/>
  <c r="L56" i="24"/>
  <c r="K56" i="24"/>
  <c r="J56" i="24"/>
  <c r="I56" i="24"/>
  <c r="H56" i="24"/>
  <c r="G56" i="24"/>
  <c r="G95" i="24" s="1"/>
  <c r="F56" i="24"/>
  <c r="E56" i="24"/>
  <c r="E95" i="24" s="1"/>
  <c r="D56" i="24"/>
  <c r="V55" i="24"/>
  <c r="V94" i="24" s="1"/>
  <c r="U55" i="24"/>
  <c r="T55" i="24"/>
  <c r="T94" i="24" s="1"/>
  <c r="S55" i="24"/>
  <c r="S94" i="24" s="1"/>
  <c r="R55" i="24"/>
  <c r="Q55" i="24"/>
  <c r="P55" i="24"/>
  <c r="O55" i="24"/>
  <c r="N55" i="24"/>
  <c r="M55" i="24"/>
  <c r="L55" i="24"/>
  <c r="K55" i="24"/>
  <c r="K94" i="24" s="1"/>
  <c r="J55" i="24"/>
  <c r="I55" i="24"/>
  <c r="H55" i="24"/>
  <c r="H94" i="24" s="1"/>
  <c r="G55" i="24"/>
  <c r="F55" i="24"/>
  <c r="F94" i="24" s="1"/>
  <c r="E55" i="24"/>
  <c r="D55" i="24"/>
  <c r="D94" i="24" s="1"/>
  <c r="V54" i="24"/>
  <c r="V93" i="24" s="1"/>
  <c r="U54" i="24"/>
  <c r="T54" i="24"/>
  <c r="S54" i="24"/>
  <c r="R54" i="24"/>
  <c r="Q54" i="24"/>
  <c r="P54" i="24"/>
  <c r="P93" i="24" s="1"/>
  <c r="O54" i="24"/>
  <c r="N54" i="24"/>
  <c r="M54" i="24"/>
  <c r="M93" i="24" s="1"/>
  <c r="L54" i="24"/>
  <c r="L93" i="24" s="1"/>
  <c r="K54" i="24"/>
  <c r="K93" i="24" s="1"/>
  <c r="J54" i="24"/>
  <c r="I54" i="24"/>
  <c r="I93" i="24" s="1"/>
  <c r="H54" i="24"/>
  <c r="H93" i="24" s="1"/>
  <c r="G54" i="24"/>
  <c r="G93" i="24" s="1"/>
  <c r="F54" i="24"/>
  <c r="F93" i="24" s="1"/>
  <c r="E54" i="24"/>
  <c r="D54" i="24"/>
  <c r="V53" i="24"/>
  <c r="U53" i="24"/>
  <c r="T53" i="24"/>
  <c r="S53" i="24"/>
  <c r="S92" i="24" s="1"/>
  <c r="R53" i="24"/>
  <c r="Q53" i="24"/>
  <c r="P53" i="24"/>
  <c r="O53" i="24"/>
  <c r="N53" i="24"/>
  <c r="N92" i="24" s="1"/>
  <c r="M53" i="24"/>
  <c r="L53" i="24"/>
  <c r="L92" i="24" s="1"/>
  <c r="K53" i="24"/>
  <c r="J53" i="24"/>
  <c r="I53" i="24"/>
  <c r="H53" i="24"/>
  <c r="G53" i="24"/>
  <c r="F53" i="24"/>
  <c r="E53" i="24"/>
  <c r="D53" i="24"/>
  <c r="S42" i="24"/>
  <c r="V41" i="24"/>
  <c r="V120" i="24" s="1"/>
  <c r="U41" i="24"/>
  <c r="T41" i="24"/>
  <c r="S41" i="24"/>
  <c r="R41" i="24"/>
  <c r="R198" i="24" s="1"/>
  <c r="Q41" i="24"/>
  <c r="P41" i="24"/>
  <c r="P198" i="24" s="1"/>
  <c r="O41" i="24"/>
  <c r="O198" i="24" s="1"/>
  <c r="N41" i="24"/>
  <c r="M41" i="24"/>
  <c r="M275" i="24" s="1"/>
  <c r="L41" i="24"/>
  <c r="L198" i="24" s="1"/>
  <c r="K41" i="24"/>
  <c r="K198" i="24" s="1"/>
  <c r="J41" i="24"/>
  <c r="J120" i="24" s="1"/>
  <c r="I41" i="24"/>
  <c r="H41" i="24"/>
  <c r="G41" i="24"/>
  <c r="G275" i="24" s="1"/>
  <c r="F41" i="24"/>
  <c r="F198" i="24" s="1"/>
  <c r="E41" i="24"/>
  <c r="E120" i="24" s="1"/>
  <c r="D41" i="24"/>
  <c r="V40" i="24"/>
  <c r="U40" i="24"/>
  <c r="T40" i="24"/>
  <c r="T197" i="24" s="1"/>
  <c r="S40" i="24"/>
  <c r="S197" i="24" s="1"/>
  <c r="R40" i="24"/>
  <c r="R197" i="24" s="1"/>
  <c r="Q40" i="24"/>
  <c r="Q197" i="24" s="1"/>
  <c r="P40" i="24"/>
  <c r="P274" i="24" s="1"/>
  <c r="O40" i="24"/>
  <c r="N40" i="24"/>
  <c r="M40" i="24"/>
  <c r="M119" i="24" s="1"/>
  <c r="L40" i="24"/>
  <c r="L274" i="24" s="1"/>
  <c r="K40" i="24"/>
  <c r="J40" i="24"/>
  <c r="J274" i="24" s="1"/>
  <c r="I40" i="24"/>
  <c r="I119" i="24" s="1"/>
  <c r="H40" i="24"/>
  <c r="H119" i="24" s="1"/>
  <c r="G40" i="24"/>
  <c r="F40" i="24"/>
  <c r="E40" i="24"/>
  <c r="E274" i="24" s="1"/>
  <c r="D40" i="24"/>
  <c r="V39" i="24"/>
  <c r="V196" i="24" s="1"/>
  <c r="U39" i="24"/>
  <c r="U196" i="24" s="1"/>
  <c r="T39" i="24"/>
  <c r="T118" i="24" s="1"/>
  <c r="S39" i="24"/>
  <c r="S273" i="24" s="1"/>
  <c r="R39" i="24"/>
  <c r="Q39" i="24"/>
  <c r="P39" i="24"/>
  <c r="P118" i="24" s="1"/>
  <c r="O39" i="24"/>
  <c r="N39" i="24"/>
  <c r="M39" i="24"/>
  <c r="M273" i="24" s="1"/>
  <c r="L39" i="24"/>
  <c r="L118" i="24" s="1"/>
  <c r="K39" i="24"/>
  <c r="K118" i="24" s="1"/>
  <c r="J39" i="24"/>
  <c r="J118" i="24" s="1"/>
  <c r="I39" i="24"/>
  <c r="H39" i="24"/>
  <c r="H273" i="24" s="1"/>
  <c r="G39" i="24"/>
  <c r="F39" i="24"/>
  <c r="E39" i="24"/>
  <c r="D39" i="24"/>
  <c r="V38" i="24"/>
  <c r="V272" i="24" s="1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V37" i="24"/>
  <c r="V271" i="24" s="1"/>
  <c r="U37" i="24"/>
  <c r="T37" i="24"/>
  <c r="S37" i="24"/>
  <c r="S271" i="24" s="1"/>
  <c r="R37" i="24"/>
  <c r="R194" i="24" s="1"/>
  <c r="Q37" i="24"/>
  <c r="P37" i="24"/>
  <c r="O37" i="24"/>
  <c r="O116" i="24" s="1"/>
  <c r="N37" i="24"/>
  <c r="N271" i="24" s="1"/>
  <c r="M37" i="24"/>
  <c r="L37" i="24"/>
  <c r="L194" i="24" s="1"/>
  <c r="K37" i="24"/>
  <c r="J37" i="24"/>
  <c r="I37" i="24"/>
  <c r="H37" i="24"/>
  <c r="H194" i="24" s="1"/>
  <c r="G37" i="24"/>
  <c r="F37" i="24"/>
  <c r="E37" i="24"/>
  <c r="D37" i="24"/>
  <c r="V36" i="24"/>
  <c r="U36" i="24"/>
  <c r="U115" i="24" s="1"/>
  <c r="T36" i="24"/>
  <c r="S36" i="24"/>
  <c r="R36" i="24"/>
  <c r="R270" i="24" s="1"/>
  <c r="Q36" i="24"/>
  <c r="Q270" i="24" s="1"/>
  <c r="P36" i="24"/>
  <c r="P270" i="24" s="1"/>
  <c r="O36" i="24"/>
  <c r="O193" i="24" s="1"/>
  <c r="N36" i="24"/>
  <c r="N193" i="24" s="1"/>
  <c r="M36" i="24"/>
  <c r="M115" i="24" s="1"/>
  <c r="L36" i="24"/>
  <c r="L270" i="24" s="1"/>
  <c r="K36" i="24"/>
  <c r="K193" i="24" s="1"/>
  <c r="J36" i="24"/>
  <c r="J193" i="24" s="1"/>
  <c r="I36" i="24"/>
  <c r="H36" i="24"/>
  <c r="G36" i="24"/>
  <c r="F36" i="24"/>
  <c r="E36" i="24"/>
  <c r="D36" i="24"/>
  <c r="V35" i="24"/>
  <c r="V114" i="24" s="1"/>
  <c r="U35" i="24"/>
  <c r="U269" i="24" s="1"/>
  <c r="T35" i="24"/>
  <c r="T269" i="24" s="1"/>
  <c r="S35" i="24"/>
  <c r="S269" i="24" s="1"/>
  <c r="R35" i="24"/>
  <c r="Q35" i="24"/>
  <c r="P35" i="24"/>
  <c r="P269" i="24" s="1"/>
  <c r="O35" i="24"/>
  <c r="O269" i="24" s="1"/>
  <c r="N35" i="24"/>
  <c r="M35" i="24"/>
  <c r="M114" i="24" s="1"/>
  <c r="L35" i="24"/>
  <c r="K35" i="24"/>
  <c r="J35" i="24"/>
  <c r="I35" i="24"/>
  <c r="I269" i="24" s="1"/>
  <c r="H35" i="24"/>
  <c r="H114" i="24" s="1"/>
  <c r="G35" i="24"/>
  <c r="F35" i="24"/>
  <c r="E35" i="24"/>
  <c r="D35" i="24"/>
  <c r="D192" i="24" s="1"/>
  <c r="V34" i="24"/>
  <c r="U34" i="24"/>
  <c r="T34" i="24"/>
  <c r="T191" i="24" s="1"/>
  <c r="S34" i="24"/>
  <c r="S113" i="24" s="1"/>
  <c r="R34" i="24"/>
  <c r="R268" i="24" s="1"/>
  <c r="Q34" i="24"/>
  <c r="P34" i="24"/>
  <c r="O34" i="24"/>
  <c r="O268" i="24" s="1"/>
  <c r="N34" i="24"/>
  <c r="M34" i="24"/>
  <c r="L34" i="24"/>
  <c r="L268" i="24" s="1"/>
  <c r="K34" i="24"/>
  <c r="K191" i="24" s="1"/>
  <c r="J34" i="24"/>
  <c r="J113" i="24" s="1"/>
  <c r="I34" i="24"/>
  <c r="H34" i="24"/>
  <c r="H268" i="24" s="1"/>
  <c r="G34" i="24"/>
  <c r="G191" i="24" s="1"/>
  <c r="F34" i="24"/>
  <c r="E34" i="24"/>
  <c r="E113" i="24" s="1"/>
  <c r="D34" i="24"/>
  <c r="V33" i="24"/>
  <c r="U33" i="24"/>
  <c r="U267" i="24" s="1"/>
  <c r="T33" i="24"/>
  <c r="S33" i="24"/>
  <c r="R33" i="24"/>
  <c r="R112" i="24" s="1"/>
  <c r="Q33" i="24"/>
  <c r="P33" i="24"/>
  <c r="O33" i="24"/>
  <c r="N33" i="24"/>
  <c r="N190" i="24" s="1"/>
  <c r="M33" i="24"/>
  <c r="M112" i="24" s="1"/>
  <c r="L33" i="24"/>
  <c r="K33" i="24"/>
  <c r="K267" i="24" s="1"/>
  <c r="J33" i="24"/>
  <c r="J267" i="24" s="1"/>
  <c r="I33" i="24"/>
  <c r="H33" i="24"/>
  <c r="G33" i="24"/>
  <c r="G190" i="24" s="1"/>
  <c r="F33" i="24"/>
  <c r="E33" i="24"/>
  <c r="E267" i="24" s="1"/>
  <c r="D33" i="24"/>
  <c r="D190" i="24" s="1"/>
  <c r="V32" i="24"/>
  <c r="U32" i="24"/>
  <c r="U266" i="24" s="1"/>
  <c r="T32" i="24"/>
  <c r="S32" i="24"/>
  <c r="R32" i="24"/>
  <c r="R111" i="24" s="1"/>
  <c r="Q32" i="24"/>
  <c r="P32" i="24"/>
  <c r="P111" i="24" s="1"/>
  <c r="O32" i="24"/>
  <c r="N32" i="24"/>
  <c r="N266" i="24" s="1"/>
  <c r="M32" i="24"/>
  <c r="M266" i="24" s="1"/>
  <c r="L32" i="24"/>
  <c r="K32" i="24"/>
  <c r="K189" i="24" s="1"/>
  <c r="J32" i="24"/>
  <c r="J189" i="24" s="1"/>
  <c r="I32" i="24"/>
  <c r="I266" i="24" s="1"/>
  <c r="H32" i="24"/>
  <c r="H266" i="24" s="1"/>
  <c r="G32" i="24"/>
  <c r="F32" i="24"/>
  <c r="E32" i="24"/>
  <c r="D32" i="24"/>
  <c r="V31" i="24"/>
  <c r="U31" i="24"/>
  <c r="U265" i="24" s="1"/>
  <c r="T31" i="24"/>
  <c r="T188" i="24" s="1"/>
  <c r="S31" i="24"/>
  <c r="S110" i="24" s="1"/>
  <c r="R31" i="24"/>
  <c r="Q31" i="24"/>
  <c r="Q265" i="24" s="1"/>
  <c r="P31" i="24"/>
  <c r="P188" i="24" s="1"/>
  <c r="O31" i="24"/>
  <c r="O188" i="24" s="1"/>
  <c r="N31" i="24"/>
  <c r="N188" i="24" s="1"/>
  <c r="M31" i="24"/>
  <c r="M188" i="24" s="1"/>
  <c r="L31" i="24"/>
  <c r="L188" i="24" s="1"/>
  <c r="K31" i="24"/>
  <c r="K265" i="24" s="1"/>
  <c r="J31" i="24"/>
  <c r="I31" i="24"/>
  <c r="H31" i="24"/>
  <c r="H265" i="24" s="1"/>
  <c r="G31" i="24"/>
  <c r="F31" i="24"/>
  <c r="E31" i="24"/>
  <c r="E265" i="24" s="1"/>
  <c r="D31" i="24"/>
  <c r="D188" i="24" s="1"/>
  <c r="V30" i="24"/>
  <c r="U30" i="24"/>
  <c r="T30" i="24"/>
  <c r="T264" i="24" s="1"/>
  <c r="S30" i="24"/>
  <c r="S187" i="24" s="1"/>
  <c r="R30" i="24"/>
  <c r="Q30" i="24"/>
  <c r="Q187" i="24" s="1"/>
  <c r="P30" i="24"/>
  <c r="P187" i="24" s="1"/>
  <c r="O30" i="24"/>
  <c r="O187" i="24" s="1"/>
  <c r="N30" i="24"/>
  <c r="M30" i="24"/>
  <c r="L30" i="24"/>
  <c r="K30" i="24"/>
  <c r="J30" i="24"/>
  <c r="I30" i="24"/>
  <c r="H30" i="24"/>
  <c r="G30" i="24"/>
  <c r="F30" i="24"/>
  <c r="E30" i="24"/>
  <c r="E187" i="24" s="1"/>
  <c r="D30" i="24"/>
  <c r="D264" i="24" s="1"/>
  <c r="V29" i="24"/>
  <c r="U29" i="24"/>
  <c r="T29" i="24"/>
  <c r="S29" i="24"/>
  <c r="S186" i="24" s="1"/>
  <c r="R29" i="24"/>
  <c r="R186" i="24" s="1"/>
  <c r="Q29" i="24"/>
  <c r="Q263" i="24" s="1"/>
  <c r="P29" i="24"/>
  <c r="P186" i="24" s="1"/>
  <c r="O29" i="24"/>
  <c r="N29" i="24"/>
  <c r="N263" i="24" s="1"/>
  <c r="M29" i="24"/>
  <c r="L29" i="24"/>
  <c r="K29" i="24"/>
  <c r="J29" i="24"/>
  <c r="I29" i="24"/>
  <c r="H29" i="24"/>
  <c r="G29" i="24"/>
  <c r="G263" i="24" s="1"/>
  <c r="F29" i="24"/>
  <c r="E29" i="24"/>
  <c r="D29" i="24"/>
  <c r="D186" i="24" s="1"/>
  <c r="V28" i="24"/>
  <c r="U28" i="24"/>
  <c r="U262" i="24" s="1"/>
  <c r="T28" i="24"/>
  <c r="S28" i="24"/>
  <c r="S185" i="24" s="1"/>
  <c r="R28" i="24"/>
  <c r="R107" i="24" s="1"/>
  <c r="Q28" i="24"/>
  <c r="P28" i="24"/>
  <c r="O28" i="24"/>
  <c r="N28" i="24"/>
  <c r="N262" i="24" s="1"/>
  <c r="M28" i="24"/>
  <c r="M107" i="24" s="1"/>
  <c r="L28" i="24"/>
  <c r="K28" i="24"/>
  <c r="J28" i="24"/>
  <c r="I28" i="24"/>
  <c r="H28" i="24"/>
  <c r="G28" i="24"/>
  <c r="F28" i="24"/>
  <c r="F185" i="24" s="1"/>
  <c r="E28" i="24"/>
  <c r="D28" i="24"/>
  <c r="D262" i="24" s="1"/>
  <c r="V27" i="24"/>
  <c r="V184" i="24" s="1"/>
  <c r="U27" i="24"/>
  <c r="U106" i="24" s="1"/>
  <c r="T27" i="24"/>
  <c r="T106" i="24" s="1"/>
  <c r="S27" i="24"/>
  <c r="S261" i="24" s="1"/>
  <c r="R27" i="24"/>
  <c r="Q27" i="24"/>
  <c r="Q106" i="24" s="1"/>
  <c r="P27" i="24"/>
  <c r="O27" i="24"/>
  <c r="O106" i="24" s="1"/>
  <c r="N27" i="24"/>
  <c r="N106" i="24" s="1"/>
  <c r="M27" i="24"/>
  <c r="M261" i="24" s="1"/>
  <c r="L27" i="24"/>
  <c r="L261" i="24" s="1"/>
  <c r="K27" i="24"/>
  <c r="J27" i="24"/>
  <c r="J184" i="24" s="1"/>
  <c r="I27" i="24"/>
  <c r="I184" i="24" s="1"/>
  <c r="H27" i="24"/>
  <c r="G27" i="24"/>
  <c r="G261" i="24" s="1"/>
  <c r="F27" i="24"/>
  <c r="E27" i="24"/>
  <c r="E184" i="24" s="1"/>
  <c r="D27" i="24"/>
  <c r="D106" i="24" s="1"/>
  <c r="V26" i="24"/>
  <c r="U26" i="24"/>
  <c r="T26" i="24"/>
  <c r="T260" i="24" s="1"/>
  <c r="S26" i="24"/>
  <c r="S105" i="24" s="1"/>
  <c r="R26" i="24"/>
  <c r="R105" i="24" s="1"/>
  <c r="Q26" i="24"/>
  <c r="P26" i="24"/>
  <c r="P260" i="24" s="1"/>
  <c r="O26" i="24"/>
  <c r="O260" i="24" s="1"/>
  <c r="N26" i="24"/>
  <c r="M26" i="24"/>
  <c r="M183" i="24" s="1"/>
  <c r="L26" i="24"/>
  <c r="L183" i="24" s="1"/>
  <c r="K26" i="24"/>
  <c r="K260" i="24" s="1"/>
  <c r="J26" i="24"/>
  <c r="J260" i="24" s="1"/>
  <c r="I26" i="24"/>
  <c r="I183" i="24" s="1"/>
  <c r="H26" i="24"/>
  <c r="G26" i="24"/>
  <c r="F26" i="24"/>
  <c r="E26" i="24"/>
  <c r="D26" i="24"/>
  <c r="V24" i="24"/>
  <c r="V103" i="24" s="1"/>
  <c r="U24" i="24"/>
  <c r="T24" i="24"/>
  <c r="S24" i="24"/>
  <c r="S103" i="24" s="1"/>
  <c r="R24" i="24"/>
  <c r="Q24" i="24"/>
  <c r="Q181" i="24" s="1"/>
  <c r="P24" i="24"/>
  <c r="O24" i="24"/>
  <c r="N24" i="24"/>
  <c r="N258" i="24" s="1"/>
  <c r="M24" i="24"/>
  <c r="L24" i="24"/>
  <c r="K24" i="24"/>
  <c r="K258" i="24" s="1"/>
  <c r="J24" i="24"/>
  <c r="I24" i="24"/>
  <c r="H24" i="24"/>
  <c r="H103" i="24" s="1"/>
  <c r="G24" i="24"/>
  <c r="F24" i="24"/>
  <c r="F103" i="24" s="1"/>
  <c r="E24" i="24"/>
  <c r="D24" i="24"/>
  <c r="D258" i="24" s="1"/>
  <c r="V23" i="24"/>
  <c r="V257" i="24" s="1"/>
  <c r="U23" i="24"/>
  <c r="T23" i="24"/>
  <c r="T180" i="24" s="1"/>
  <c r="S23" i="24"/>
  <c r="S257" i="24" s="1"/>
  <c r="R23" i="24"/>
  <c r="R257" i="24" s="1"/>
  <c r="Q23" i="24"/>
  <c r="Q257" i="24" s="1"/>
  <c r="P23" i="24"/>
  <c r="O23" i="24"/>
  <c r="N23" i="24"/>
  <c r="N180" i="24" s="1"/>
  <c r="M23" i="24"/>
  <c r="L23" i="24"/>
  <c r="K23" i="24"/>
  <c r="J23" i="24"/>
  <c r="J257" i="24" s="1"/>
  <c r="I23" i="24"/>
  <c r="I102" i="24" s="1"/>
  <c r="H23" i="24"/>
  <c r="G23" i="24"/>
  <c r="F23" i="24"/>
  <c r="F102" i="24" s="1"/>
  <c r="E23" i="24"/>
  <c r="D23" i="24"/>
  <c r="D180" i="24" s="1"/>
  <c r="V22" i="24"/>
  <c r="U22" i="24"/>
  <c r="U101" i="24" s="1"/>
  <c r="T22" i="24"/>
  <c r="S22" i="24"/>
  <c r="S179" i="24" s="1"/>
  <c r="R22" i="24"/>
  <c r="Q22" i="24"/>
  <c r="P22" i="24"/>
  <c r="P256" i="24" s="1"/>
  <c r="O22" i="24"/>
  <c r="N22" i="24"/>
  <c r="M22" i="24"/>
  <c r="L22" i="24"/>
  <c r="K22" i="24"/>
  <c r="J22" i="24"/>
  <c r="I22" i="24"/>
  <c r="I256" i="24" s="1"/>
  <c r="H22" i="24"/>
  <c r="G22" i="24"/>
  <c r="F22" i="24"/>
  <c r="E22" i="24"/>
  <c r="D22" i="24"/>
  <c r="V21" i="24"/>
  <c r="V178" i="24" s="1"/>
  <c r="U21" i="24"/>
  <c r="T21" i="24"/>
  <c r="S21" i="24"/>
  <c r="R21" i="24"/>
  <c r="R255" i="24" s="1"/>
  <c r="Q21" i="24"/>
  <c r="P21" i="24"/>
  <c r="P178" i="24" s="1"/>
  <c r="O21" i="24"/>
  <c r="N21" i="24"/>
  <c r="M21" i="24"/>
  <c r="M255" i="24" s="1"/>
  <c r="L21" i="24"/>
  <c r="K21" i="24"/>
  <c r="K178" i="24" s="1"/>
  <c r="J21" i="24"/>
  <c r="J178" i="24" s="1"/>
  <c r="I21" i="24"/>
  <c r="H21" i="24"/>
  <c r="H255" i="24" s="1"/>
  <c r="G21" i="24"/>
  <c r="G255" i="24" s="1"/>
  <c r="F21" i="24"/>
  <c r="F178" i="24" s="1"/>
  <c r="E21" i="24"/>
  <c r="D21" i="24"/>
  <c r="V20" i="24"/>
  <c r="V99" i="24" s="1"/>
  <c r="U20" i="24"/>
  <c r="T20" i="24"/>
  <c r="S20" i="24"/>
  <c r="S177" i="24" s="1"/>
  <c r="R20" i="24"/>
  <c r="Q20" i="24"/>
  <c r="P20" i="24"/>
  <c r="P254" i="24" s="1"/>
  <c r="O20" i="24"/>
  <c r="O254" i="24" s="1"/>
  <c r="N20" i="24"/>
  <c r="M20" i="24"/>
  <c r="M177" i="24" s="1"/>
  <c r="L20" i="24"/>
  <c r="K20" i="24"/>
  <c r="J20" i="24"/>
  <c r="I20" i="24"/>
  <c r="I177" i="24" s="1"/>
  <c r="H20" i="24"/>
  <c r="H177" i="24" s="1"/>
  <c r="G20" i="24"/>
  <c r="F20" i="24"/>
  <c r="E20" i="24"/>
  <c r="D20" i="24"/>
  <c r="D99" i="24" s="1"/>
  <c r="V19" i="24"/>
  <c r="V98" i="24" s="1"/>
  <c r="U19" i="24"/>
  <c r="T19" i="24"/>
  <c r="S19" i="24"/>
  <c r="S253" i="24" s="1"/>
  <c r="R19" i="24"/>
  <c r="R253" i="24" s="1"/>
  <c r="Q19" i="24"/>
  <c r="Q253" i="24" s="1"/>
  <c r="P19" i="24"/>
  <c r="P176" i="24" s="1"/>
  <c r="O19" i="24"/>
  <c r="O253" i="24" s="1"/>
  <c r="N19" i="24"/>
  <c r="M19" i="24"/>
  <c r="M253" i="24" s="1"/>
  <c r="L19" i="24"/>
  <c r="L176" i="24" s="1"/>
  <c r="K19" i="24"/>
  <c r="K176" i="24" s="1"/>
  <c r="J19" i="24"/>
  <c r="J253" i="24" s="1"/>
  <c r="I19" i="24"/>
  <c r="H19" i="24"/>
  <c r="G19" i="24"/>
  <c r="G98" i="24" s="1"/>
  <c r="F19" i="24"/>
  <c r="E19" i="24"/>
  <c r="E98" i="24" s="1"/>
  <c r="D19" i="24"/>
  <c r="V18" i="24"/>
  <c r="U18" i="24"/>
  <c r="U252" i="24" s="1"/>
  <c r="T18" i="24"/>
  <c r="T252" i="24" s="1"/>
  <c r="S18" i="24"/>
  <c r="S252" i="24" s="1"/>
  <c r="R18" i="24"/>
  <c r="R252" i="24" s="1"/>
  <c r="Q18" i="24"/>
  <c r="P18" i="24"/>
  <c r="P252" i="24" s="1"/>
  <c r="O18" i="24"/>
  <c r="N18" i="24"/>
  <c r="N175" i="24" s="1"/>
  <c r="M18" i="24"/>
  <c r="L18" i="24"/>
  <c r="K18" i="24"/>
  <c r="K252" i="24" s="1"/>
  <c r="J18" i="24"/>
  <c r="J97" i="24" s="1"/>
  <c r="I18" i="24"/>
  <c r="I97" i="24" s="1"/>
  <c r="H18" i="24"/>
  <c r="H97" i="24" s="1"/>
  <c r="G18" i="24"/>
  <c r="F18" i="24"/>
  <c r="F97" i="24" s="1"/>
  <c r="E18" i="24"/>
  <c r="D18" i="24"/>
  <c r="D252" i="24" s="1"/>
  <c r="V17" i="24"/>
  <c r="U17" i="24"/>
  <c r="T17" i="24"/>
  <c r="T251" i="24" s="1"/>
  <c r="S17" i="24"/>
  <c r="S251" i="24" s="1"/>
  <c r="R17" i="24"/>
  <c r="Q17" i="24"/>
  <c r="P17" i="24"/>
  <c r="O17" i="24"/>
  <c r="N17" i="24"/>
  <c r="M17" i="24"/>
  <c r="M96" i="24" s="1"/>
  <c r="L17" i="24"/>
  <c r="L96" i="24" s="1"/>
  <c r="K17" i="24"/>
  <c r="K96" i="24" s="1"/>
  <c r="J17" i="24"/>
  <c r="J96" i="24" s="1"/>
  <c r="I17" i="24"/>
  <c r="I96" i="24" s="1"/>
  <c r="H17" i="24"/>
  <c r="G17" i="24"/>
  <c r="G174" i="24" s="1"/>
  <c r="F17" i="24"/>
  <c r="E17" i="24"/>
  <c r="D17" i="24"/>
  <c r="V16" i="24"/>
  <c r="U16" i="24"/>
  <c r="T16" i="24"/>
  <c r="S16" i="24"/>
  <c r="R16" i="24"/>
  <c r="Q16" i="24"/>
  <c r="P16" i="24"/>
  <c r="O16" i="24"/>
  <c r="O173" i="24" s="1"/>
  <c r="N16" i="24"/>
  <c r="M16" i="24"/>
  <c r="L16" i="24"/>
  <c r="L250" i="24" s="1"/>
  <c r="K16" i="24"/>
  <c r="J16" i="24"/>
  <c r="J173" i="24" s="1"/>
  <c r="I16" i="24"/>
  <c r="I173" i="24" s="1"/>
  <c r="H16" i="24"/>
  <c r="G16" i="24"/>
  <c r="F16" i="24"/>
  <c r="F250" i="24" s="1"/>
  <c r="E16" i="24"/>
  <c r="D16" i="24"/>
  <c r="V15" i="24"/>
  <c r="V249" i="24" s="1"/>
  <c r="U15" i="24"/>
  <c r="U249" i="24" s="1"/>
  <c r="T15" i="24"/>
  <c r="S15" i="24"/>
  <c r="R15" i="24"/>
  <c r="R172" i="24" s="1"/>
  <c r="Q15" i="24"/>
  <c r="P15" i="24"/>
  <c r="P94" i="24" s="1"/>
  <c r="O15" i="24"/>
  <c r="N15" i="24"/>
  <c r="M15" i="24"/>
  <c r="L15" i="24"/>
  <c r="K15" i="24"/>
  <c r="J15" i="24"/>
  <c r="I15" i="24"/>
  <c r="I249" i="24" s="1"/>
  <c r="H15" i="24"/>
  <c r="G15" i="24"/>
  <c r="G172" i="24" s="1"/>
  <c r="F15" i="24"/>
  <c r="E15" i="24"/>
  <c r="D15" i="24"/>
  <c r="V14" i="24"/>
  <c r="V248" i="24" s="1"/>
  <c r="U14" i="24"/>
  <c r="U93" i="24" s="1"/>
  <c r="T14" i="24"/>
  <c r="S14" i="24"/>
  <c r="R14" i="24"/>
  <c r="Q14" i="24"/>
  <c r="P14" i="24"/>
  <c r="O14" i="24"/>
  <c r="O171" i="24" s="1"/>
  <c r="N14" i="24"/>
  <c r="N248" i="24" s="1"/>
  <c r="M14" i="24"/>
  <c r="M42" i="24" s="1"/>
  <c r="L14" i="24"/>
  <c r="L248" i="24" s="1"/>
  <c r="K14" i="24"/>
  <c r="J14" i="24"/>
  <c r="I14" i="24"/>
  <c r="I171" i="24" s="1"/>
  <c r="H14" i="24"/>
  <c r="G14" i="24"/>
  <c r="F14" i="24"/>
  <c r="F248" i="24" s="1"/>
  <c r="E14" i="24"/>
  <c r="D14" i="24"/>
  <c r="V13" i="24"/>
  <c r="U13" i="24"/>
  <c r="T13" i="24"/>
  <c r="S13" i="24"/>
  <c r="S170" i="24" s="1"/>
  <c r="R13" i="24"/>
  <c r="Q13" i="24"/>
  <c r="P13" i="24"/>
  <c r="O13" i="24"/>
  <c r="N13" i="24"/>
  <c r="M13" i="24"/>
  <c r="L13" i="24"/>
  <c r="K13" i="24"/>
  <c r="J13" i="24"/>
  <c r="I13" i="24"/>
  <c r="H13" i="24"/>
  <c r="H247" i="24" s="1"/>
  <c r="G13" i="24"/>
  <c r="F13" i="24"/>
  <c r="E13" i="24"/>
  <c r="E170" i="24" s="1"/>
  <c r="D13" i="24"/>
  <c r="C299" i="23"/>
  <c r="E297" i="23"/>
  <c r="E295" i="23"/>
  <c r="I294" i="23"/>
  <c r="H294" i="23"/>
  <c r="E293" i="23"/>
  <c r="E291" i="23"/>
  <c r="K290" i="23"/>
  <c r="I290" i="23"/>
  <c r="H290" i="23"/>
  <c r="E289" i="23"/>
  <c r="E287" i="23"/>
  <c r="I286" i="23"/>
  <c r="H286" i="23"/>
  <c r="E285" i="23"/>
  <c r="E283" i="23"/>
  <c r="I282" i="23"/>
  <c r="H282" i="23"/>
  <c r="E281" i="23"/>
  <c r="H279" i="23"/>
  <c r="G279" i="23"/>
  <c r="F279" i="23"/>
  <c r="E279" i="23"/>
  <c r="I278" i="23"/>
  <c r="H278" i="23"/>
  <c r="E277" i="23"/>
  <c r="E275" i="23"/>
  <c r="I274" i="23"/>
  <c r="H274" i="23"/>
  <c r="E273" i="23"/>
  <c r="E271" i="23"/>
  <c r="K270" i="23"/>
  <c r="I270" i="23"/>
  <c r="H270" i="23"/>
  <c r="E269" i="23"/>
  <c r="E267" i="23"/>
  <c r="C257" i="23"/>
  <c r="G256" i="23"/>
  <c r="K255" i="23"/>
  <c r="J255" i="23"/>
  <c r="I255" i="23"/>
  <c r="H255" i="23"/>
  <c r="G255" i="23"/>
  <c r="F255" i="23"/>
  <c r="E255" i="23"/>
  <c r="D255" i="23"/>
  <c r="D297" i="23" s="1"/>
  <c r="K254" i="23"/>
  <c r="K296" i="23" s="1"/>
  <c r="J254" i="23"/>
  <c r="I254" i="23"/>
  <c r="I296" i="23" s="1"/>
  <c r="H254" i="23"/>
  <c r="H296" i="23" s="1"/>
  <c r="G254" i="23"/>
  <c r="F254" i="23"/>
  <c r="E254" i="23"/>
  <c r="D254" i="23"/>
  <c r="K253" i="23"/>
  <c r="J253" i="23"/>
  <c r="J295" i="23" s="1"/>
  <c r="I253" i="23"/>
  <c r="H253" i="23"/>
  <c r="G253" i="23"/>
  <c r="F253" i="23"/>
  <c r="E253" i="23"/>
  <c r="D253" i="23"/>
  <c r="K252" i="23"/>
  <c r="K294" i="23" s="1"/>
  <c r="J252" i="23"/>
  <c r="I252" i="23"/>
  <c r="H252" i="23"/>
  <c r="G252" i="23"/>
  <c r="F252" i="23"/>
  <c r="E252" i="23"/>
  <c r="D252" i="23"/>
  <c r="K251" i="23"/>
  <c r="J251" i="23"/>
  <c r="I251" i="23"/>
  <c r="H251" i="23"/>
  <c r="G251" i="23"/>
  <c r="F251" i="23"/>
  <c r="E251" i="23"/>
  <c r="D251" i="23"/>
  <c r="K250" i="23"/>
  <c r="K292" i="23" s="1"/>
  <c r="J250" i="23"/>
  <c r="I250" i="23"/>
  <c r="I292" i="23" s="1"/>
  <c r="H250" i="23"/>
  <c r="H292" i="23" s="1"/>
  <c r="G250" i="23"/>
  <c r="F250" i="23"/>
  <c r="E250" i="23"/>
  <c r="D250" i="23"/>
  <c r="K249" i="23"/>
  <c r="J249" i="23"/>
  <c r="J291" i="23" s="1"/>
  <c r="I249" i="23"/>
  <c r="H249" i="23"/>
  <c r="G249" i="23"/>
  <c r="F249" i="23"/>
  <c r="E249" i="23"/>
  <c r="D249" i="23"/>
  <c r="K248" i="23"/>
  <c r="J248" i="23"/>
  <c r="I248" i="23"/>
  <c r="H248" i="23"/>
  <c r="G248" i="23"/>
  <c r="F248" i="23"/>
  <c r="E248" i="23"/>
  <c r="D248" i="23"/>
  <c r="K247" i="23"/>
  <c r="J247" i="23"/>
  <c r="I247" i="23"/>
  <c r="H247" i="23"/>
  <c r="G247" i="23"/>
  <c r="F247" i="23"/>
  <c r="E247" i="23"/>
  <c r="D247" i="23"/>
  <c r="K246" i="23"/>
  <c r="K288" i="23" s="1"/>
  <c r="J246" i="23"/>
  <c r="I246" i="23"/>
  <c r="I288" i="23" s="1"/>
  <c r="H246" i="23"/>
  <c r="H288" i="23" s="1"/>
  <c r="G246" i="23"/>
  <c r="F246" i="23"/>
  <c r="E246" i="23"/>
  <c r="D246" i="23"/>
  <c r="K245" i="23"/>
  <c r="J245" i="23"/>
  <c r="J287" i="23" s="1"/>
  <c r="I245" i="23"/>
  <c r="H245" i="23"/>
  <c r="G245" i="23"/>
  <c r="F245" i="23"/>
  <c r="E245" i="23"/>
  <c r="D245" i="23"/>
  <c r="K244" i="23"/>
  <c r="K286" i="23" s="1"/>
  <c r="J244" i="23"/>
  <c r="I244" i="23"/>
  <c r="H244" i="23"/>
  <c r="G244" i="23"/>
  <c r="F244" i="23"/>
  <c r="E244" i="23"/>
  <c r="D244" i="23"/>
  <c r="K243" i="23"/>
  <c r="J243" i="23"/>
  <c r="I243" i="23"/>
  <c r="H243" i="23"/>
  <c r="G243" i="23"/>
  <c r="F243" i="23"/>
  <c r="E243" i="23"/>
  <c r="D243" i="23"/>
  <c r="K242" i="23"/>
  <c r="K284" i="23" s="1"/>
  <c r="J242" i="23"/>
  <c r="I242" i="23"/>
  <c r="I284" i="23" s="1"/>
  <c r="H242" i="23"/>
  <c r="H284" i="23" s="1"/>
  <c r="G242" i="23"/>
  <c r="F242" i="23"/>
  <c r="E242" i="23"/>
  <c r="D242" i="23"/>
  <c r="K241" i="23"/>
  <c r="J241" i="23"/>
  <c r="J283" i="23" s="1"/>
  <c r="I241" i="23"/>
  <c r="H241" i="23"/>
  <c r="G241" i="23"/>
  <c r="F241" i="23"/>
  <c r="E241" i="23"/>
  <c r="D241" i="23"/>
  <c r="K240" i="23"/>
  <c r="K282" i="23" s="1"/>
  <c r="J240" i="23"/>
  <c r="I240" i="23"/>
  <c r="H240" i="23"/>
  <c r="G240" i="23"/>
  <c r="F240" i="23"/>
  <c r="E240" i="23"/>
  <c r="D240" i="23"/>
  <c r="K239" i="23"/>
  <c r="J239" i="23"/>
  <c r="I239" i="23"/>
  <c r="H239" i="23"/>
  <c r="G239" i="23"/>
  <c r="F239" i="23"/>
  <c r="E239" i="23"/>
  <c r="D239" i="23"/>
  <c r="K238" i="23"/>
  <c r="K280" i="23" s="1"/>
  <c r="J238" i="23"/>
  <c r="I238" i="23"/>
  <c r="I280" i="23" s="1"/>
  <c r="H238" i="23"/>
  <c r="H280" i="23" s="1"/>
  <c r="G238" i="23"/>
  <c r="F238" i="23"/>
  <c r="E238" i="23"/>
  <c r="D238" i="23"/>
  <c r="K237" i="23"/>
  <c r="J237" i="23"/>
  <c r="J279" i="23" s="1"/>
  <c r="I237" i="23"/>
  <c r="H237" i="23"/>
  <c r="G237" i="23"/>
  <c r="F237" i="23"/>
  <c r="E237" i="23"/>
  <c r="D237" i="23"/>
  <c r="D279" i="23" s="1"/>
  <c r="K236" i="23"/>
  <c r="K278" i="23" s="1"/>
  <c r="J236" i="23"/>
  <c r="I236" i="23"/>
  <c r="H236" i="23"/>
  <c r="G236" i="23"/>
  <c r="F236" i="23"/>
  <c r="E236" i="23"/>
  <c r="D236" i="23"/>
  <c r="K235" i="23"/>
  <c r="J235" i="23"/>
  <c r="I235" i="23"/>
  <c r="H235" i="23"/>
  <c r="G235" i="23"/>
  <c r="F235" i="23"/>
  <c r="E235" i="23"/>
  <c r="D235" i="23"/>
  <c r="K234" i="23"/>
  <c r="K276" i="23" s="1"/>
  <c r="J234" i="23"/>
  <c r="I234" i="23"/>
  <c r="I276" i="23" s="1"/>
  <c r="H234" i="23"/>
  <c r="H276" i="23" s="1"/>
  <c r="G234" i="23"/>
  <c r="F234" i="23"/>
  <c r="E234" i="23"/>
  <c r="D234" i="23"/>
  <c r="K233" i="23"/>
  <c r="J233" i="23"/>
  <c r="J275" i="23" s="1"/>
  <c r="I233" i="23"/>
  <c r="H233" i="23"/>
  <c r="G233" i="23"/>
  <c r="F233" i="23"/>
  <c r="E233" i="23"/>
  <c r="D233" i="23"/>
  <c r="K232" i="23"/>
  <c r="K274" i="23" s="1"/>
  <c r="J232" i="23"/>
  <c r="I232" i="23"/>
  <c r="H232" i="23"/>
  <c r="G232" i="23"/>
  <c r="F232" i="23"/>
  <c r="E232" i="23"/>
  <c r="D232" i="23"/>
  <c r="K231" i="23"/>
  <c r="J231" i="23"/>
  <c r="I231" i="23"/>
  <c r="H231" i="23"/>
  <c r="G231" i="23"/>
  <c r="F231" i="23"/>
  <c r="E231" i="23"/>
  <c r="D231" i="23"/>
  <c r="K230" i="23"/>
  <c r="K272" i="23" s="1"/>
  <c r="J230" i="23"/>
  <c r="I230" i="23"/>
  <c r="I272" i="23" s="1"/>
  <c r="H230" i="23"/>
  <c r="H272" i="23" s="1"/>
  <c r="G230" i="23"/>
  <c r="F230" i="23"/>
  <c r="E230" i="23"/>
  <c r="D230" i="23"/>
  <c r="K229" i="23"/>
  <c r="J229" i="23"/>
  <c r="J271" i="23" s="1"/>
  <c r="I229" i="23"/>
  <c r="H229" i="23"/>
  <c r="G229" i="23"/>
  <c r="F229" i="23"/>
  <c r="E229" i="23"/>
  <c r="D229" i="23"/>
  <c r="K228" i="23"/>
  <c r="J228" i="23"/>
  <c r="I228" i="23"/>
  <c r="H228" i="23"/>
  <c r="G228" i="23"/>
  <c r="F228" i="23"/>
  <c r="E228" i="23"/>
  <c r="D228" i="23"/>
  <c r="K227" i="23"/>
  <c r="J227" i="23"/>
  <c r="I227" i="23"/>
  <c r="H227" i="23"/>
  <c r="G227" i="23"/>
  <c r="F227" i="23"/>
  <c r="E227" i="23"/>
  <c r="D227" i="23"/>
  <c r="K226" i="23"/>
  <c r="J226" i="23"/>
  <c r="I226" i="23"/>
  <c r="I268" i="23" s="1"/>
  <c r="H226" i="23"/>
  <c r="H268" i="23" s="1"/>
  <c r="G226" i="23"/>
  <c r="F226" i="23"/>
  <c r="E226" i="23"/>
  <c r="D226" i="23"/>
  <c r="K225" i="23"/>
  <c r="J225" i="23"/>
  <c r="I225" i="23"/>
  <c r="I256" i="23" s="1"/>
  <c r="I298" i="23" s="1"/>
  <c r="H225" i="23"/>
  <c r="G225" i="23"/>
  <c r="F225" i="23"/>
  <c r="E225" i="23"/>
  <c r="E256" i="23" s="1"/>
  <c r="D225" i="23"/>
  <c r="C216" i="23"/>
  <c r="D214" i="23"/>
  <c r="K213" i="23"/>
  <c r="H213" i="23"/>
  <c r="G213" i="23"/>
  <c r="E213" i="23"/>
  <c r="E211" i="23"/>
  <c r="K209" i="23"/>
  <c r="J209" i="23"/>
  <c r="I207" i="23"/>
  <c r="H207" i="23"/>
  <c r="G207" i="23"/>
  <c r="H205" i="23"/>
  <c r="G205" i="23"/>
  <c r="E204" i="23"/>
  <c r="K203" i="23"/>
  <c r="H203" i="23"/>
  <c r="K201" i="23"/>
  <c r="J201" i="23"/>
  <c r="I201" i="23"/>
  <c r="H201" i="23"/>
  <c r="E201" i="23"/>
  <c r="I199" i="23"/>
  <c r="H199" i="23"/>
  <c r="I197" i="23"/>
  <c r="J196" i="23"/>
  <c r="D196" i="23"/>
  <c r="K195" i="23"/>
  <c r="J195" i="23"/>
  <c r="I195" i="23"/>
  <c r="K194" i="23"/>
  <c r="J193" i="23"/>
  <c r="I193" i="23"/>
  <c r="E193" i="23"/>
  <c r="K192" i="23"/>
  <c r="K191" i="23"/>
  <c r="J191" i="23"/>
  <c r="K189" i="23"/>
  <c r="J189" i="23"/>
  <c r="I189" i="23"/>
  <c r="H189" i="23"/>
  <c r="K187" i="23"/>
  <c r="J187" i="23"/>
  <c r="E187" i="23"/>
  <c r="E185" i="23"/>
  <c r="F184" i="23"/>
  <c r="C174" i="23"/>
  <c r="G173" i="23"/>
  <c r="K172" i="23"/>
  <c r="J172" i="23"/>
  <c r="J214" i="23" s="1"/>
  <c r="I172" i="23"/>
  <c r="H172" i="23"/>
  <c r="G172" i="23"/>
  <c r="F172" i="23"/>
  <c r="E172" i="23"/>
  <c r="E214" i="23" s="1"/>
  <c r="D172" i="23"/>
  <c r="K171" i="23"/>
  <c r="J171" i="23"/>
  <c r="I171" i="23"/>
  <c r="H171" i="23"/>
  <c r="G171" i="23"/>
  <c r="F171" i="23"/>
  <c r="E171" i="23"/>
  <c r="D171" i="23"/>
  <c r="D213" i="23" s="1"/>
  <c r="K170" i="23"/>
  <c r="J170" i="23"/>
  <c r="J212" i="23" s="1"/>
  <c r="I170" i="23"/>
  <c r="H170" i="23"/>
  <c r="G170" i="23"/>
  <c r="F170" i="23"/>
  <c r="E170" i="23"/>
  <c r="E212" i="23" s="1"/>
  <c r="D170" i="23"/>
  <c r="K169" i="23"/>
  <c r="K211" i="23" s="1"/>
  <c r="J169" i="23"/>
  <c r="I169" i="23"/>
  <c r="H169" i="23"/>
  <c r="G169" i="23"/>
  <c r="F169" i="23"/>
  <c r="E169" i="23"/>
  <c r="D169" i="23"/>
  <c r="D211" i="23" s="1"/>
  <c r="K168" i="23"/>
  <c r="J168" i="23"/>
  <c r="J210" i="23" s="1"/>
  <c r="I168" i="23"/>
  <c r="H168" i="23"/>
  <c r="G168" i="23"/>
  <c r="F168" i="23"/>
  <c r="E168" i="23"/>
  <c r="E210" i="23" s="1"/>
  <c r="D168" i="23"/>
  <c r="K167" i="23"/>
  <c r="J167" i="23"/>
  <c r="I167" i="23"/>
  <c r="H167" i="23"/>
  <c r="G167" i="23"/>
  <c r="F167" i="23"/>
  <c r="E167" i="23"/>
  <c r="E209" i="23" s="1"/>
  <c r="D167" i="23"/>
  <c r="D209" i="23" s="1"/>
  <c r="K166" i="23"/>
  <c r="J166" i="23"/>
  <c r="J208" i="23" s="1"/>
  <c r="I166" i="23"/>
  <c r="H166" i="23"/>
  <c r="G166" i="23"/>
  <c r="F166" i="23"/>
  <c r="E166" i="23"/>
  <c r="E208" i="23" s="1"/>
  <c r="D166" i="23"/>
  <c r="K165" i="23"/>
  <c r="K207" i="23" s="1"/>
  <c r="J165" i="23"/>
  <c r="I165" i="23"/>
  <c r="H165" i="23"/>
  <c r="G165" i="23"/>
  <c r="F165" i="23"/>
  <c r="E165" i="23"/>
  <c r="D165" i="23"/>
  <c r="D207" i="23" s="1"/>
  <c r="K164" i="23"/>
  <c r="J164" i="23"/>
  <c r="J206" i="23" s="1"/>
  <c r="I164" i="23"/>
  <c r="H164" i="23"/>
  <c r="G164" i="23"/>
  <c r="F164" i="23"/>
  <c r="E164" i="23"/>
  <c r="E206" i="23" s="1"/>
  <c r="D164" i="23"/>
  <c r="K163" i="23"/>
  <c r="K205" i="23" s="1"/>
  <c r="J163" i="23"/>
  <c r="I163" i="23"/>
  <c r="H163" i="23"/>
  <c r="G163" i="23"/>
  <c r="F163" i="23"/>
  <c r="E163" i="23"/>
  <c r="E205" i="23" s="1"/>
  <c r="D163" i="23"/>
  <c r="D205" i="23" s="1"/>
  <c r="K162" i="23"/>
  <c r="K204" i="23" s="1"/>
  <c r="J162" i="23"/>
  <c r="J204" i="23" s="1"/>
  <c r="I162" i="23"/>
  <c r="H162" i="23"/>
  <c r="G162" i="23"/>
  <c r="F162" i="23"/>
  <c r="E162" i="23"/>
  <c r="D162" i="23"/>
  <c r="K161" i="23"/>
  <c r="J161" i="23"/>
  <c r="I161" i="23"/>
  <c r="H161" i="23"/>
  <c r="G161" i="23"/>
  <c r="F161" i="23"/>
  <c r="E161" i="23"/>
  <c r="E203" i="23" s="1"/>
  <c r="D161" i="23"/>
  <c r="D203" i="23" s="1"/>
  <c r="K160" i="23"/>
  <c r="J160" i="23"/>
  <c r="J202" i="23" s="1"/>
  <c r="I160" i="23"/>
  <c r="H160" i="23"/>
  <c r="G160" i="23"/>
  <c r="F160" i="23"/>
  <c r="E160" i="23"/>
  <c r="E202" i="23" s="1"/>
  <c r="D160" i="23"/>
  <c r="K159" i="23"/>
  <c r="J159" i="23"/>
  <c r="I159" i="23"/>
  <c r="H159" i="23"/>
  <c r="G159" i="23"/>
  <c r="F159" i="23"/>
  <c r="E159" i="23"/>
  <c r="D159" i="23"/>
  <c r="D201" i="23" s="1"/>
  <c r="K158" i="23"/>
  <c r="J158" i="23"/>
  <c r="J200" i="23" s="1"/>
  <c r="I158" i="23"/>
  <c r="H158" i="23"/>
  <c r="G158" i="23"/>
  <c r="F158" i="23"/>
  <c r="E158" i="23"/>
  <c r="E200" i="23" s="1"/>
  <c r="D158" i="23"/>
  <c r="K157" i="23"/>
  <c r="K199" i="23" s="1"/>
  <c r="J157" i="23"/>
  <c r="I157" i="23"/>
  <c r="H157" i="23"/>
  <c r="G157" i="23"/>
  <c r="F157" i="23"/>
  <c r="E157" i="23"/>
  <c r="E199" i="23" s="1"/>
  <c r="D157" i="23"/>
  <c r="D199" i="23" s="1"/>
  <c r="K156" i="23"/>
  <c r="J156" i="23"/>
  <c r="J198" i="23" s="1"/>
  <c r="I156" i="23"/>
  <c r="H156" i="23"/>
  <c r="H198" i="23" s="1"/>
  <c r="G156" i="23"/>
  <c r="F156" i="23"/>
  <c r="E156" i="23"/>
  <c r="E198" i="23" s="1"/>
  <c r="D156" i="23"/>
  <c r="K155" i="23"/>
  <c r="K197" i="23" s="1"/>
  <c r="J155" i="23"/>
  <c r="I155" i="23"/>
  <c r="H155" i="23"/>
  <c r="H197" i="23" s="1"/>
  <c r="G155" i="23"/>
  <c r="F155" i="23"/>
  <c r="E155" i="23"/>
  <c r="E197" i="23" s="1"/>
  <c r="D155" i="23"/>
  <c r="D197" i="23" s="1"/>
  <c r="K154" i="23"/>
  <c r="J154" i="23"/>
  <c r="I154" i="23"/>
  <c r="H154" i="23"/>
  <c r="H196" i="23" s="1"/>
  <c r="G154" i="23"/>
  <c r="G196" i="23" s="1"/>
  <c r="F154" i="23"/>
  <c r="F196" i="23" s="1"/>
  <c r="E154" i="23"/>
  <c r="E196" i="23" s="1"/>
  <c r="D154" i="23"/>
  <c r="K153" i="23"/>
  <c r="J153" i="23"/>
  <c r="I153" i="23"/>
  <c r="H153" i="23"/>
  <c r="H195" i="23" s="1"/>
  <c r="G153" i="23"/>
  <c r="F153" i="23"/>
  <c r="E153" i="23"/>
  <c r="E195" i="23" s="1"/>
  <c r="D153" i="23"/>
  <c r="D195" i="23" s="1"/>
  <c r="K152" i="23"/>
  <c r="J152" i="23"/>
  <c r="J194" i="23" s="1"/>
  <c r="I152" i="23"/>
  <c r="H152" i="23"/>
  <c r="H194" i="23" s="1"/>
  <c r="G152" i="23"/>
  <c r="F152" i="23"/>
  <c r="E152" i="23"/>
  <c r="E194" i="23" s="1"/>
  <c r="D152" i="23"/>
  <c r="K151" i="23"/>
  <c r="K193" i="23" s="1"/>
  <c r="J151" i="23"/>
  <c r="I151" i="23"/>
  <c r="H151" i="23"/>
  <c r="H193" i="23" s="1"/>
  <c r="G151" i="23"/>
  <c r="F151" i="23"/>
  <c r="E151" i="23"/>
  <c r="D151" i="23"/>
  <c r="D193" i="23" s="1"/>
  <c r="K150" i="23"/>
  <c r="J150" i="23"/>
  <c r="J192" i="23" s="1"/>
  <c r="I150" i="23"/>
  <c r="H150" i="23"/>
  <c r="H192" i="23" s="1"/>
  <c r="G150" i="23"/>
  <c r="F150" i="23"/>
  <c r="E150" i="23"/>
  <c r="E192" i="23" s="1"/>
  <c r="D150" i="23"/>
  <c r="K149" i="23"/>
  <c r="J149" i="23"/>
  <c r="I149" i="23"/>
  <c r="H149" i="23"/>
  <c r="H191" i="23" s="1"/>
  <c r="G149" i="23"/>
  <c r="F149" i="23"/>
  <c r="E149" i="23"/>
  <c r="E191" i="23" s="1"/>
  <c r="D149" i="23"/>
  <c r="D191" i="23" s="1"/>
  <c r="K148" i="23"/>
  <c r="J148" i="23"/>
  <c r="J190" i="23" s="1"/>
  <c r="I148" i="23"/>
  <c r="H148" i="23"/>
  <c r="H190" i="23" s="1"/>
  <c r="G148" i="23"/>
  <c r="F148" i="23"/>
  <c r="E148" i="23"/>
  <c r="E190" i="23" s="1"/>
  <c r="D148" i="23"/>
  <c r="K147" i="23"/>
  <c r="J147" i="23"/>
  <c r="I147" i="23"/>
  <c r="H147" i="23"/>
  <c r="G147" i="23"/>
  <c r="F147" i="23"/>
  <c r="E147" i="23"/>
  <c r="E189" i="23" s="1"/>
  <c r="D147" i="23"/>
  <c r="D189" i="23" s="1"/>
  <c r="K146" i="23"/>
  <c r="J146" i="23"/>
  <c r="J188" i="23" s="1"/>
  <c r="I146" i="23"/>
  <c r="H146" i="23"/>
  <c r="H188" i="23" s="1"/>
  <c r="G146" i="23"/>
  <c r="F146" i="23"/>
  <c r="E146" i="23"/>
  <c r="E188" i="23" s="1"/>
  <c r="D146" i="23"/>
  <c r="K145" i="23"/>
  <c r="J145" i="23"/>
  <c r="I145" i="23"/>
  <c r="H145" i="23"/>
  <c r="H187" i="23" s="1"/>
  <c r="G145" i="23"/>
  <c r="F145" i="23"/>
  <c r="E145" i="23"/>
  <c r="D145" i="23"/>
  <c r="D187" i="23" s="1"/>
  <c r="K144" i="23"/>
  <c r="J144" i="23"/>
  <c r="J186" i="23" s="1"/>
  <c r="I144" i="23"/>
  <c r="H144" i="23"/>
  <c r="H186" i="23" s="1"/>
  <c r="G144" i="23"/>
  <c r="F144" i="23"/>
  <c r="F186" i="23" s="1"/>
  <c r="E144" i="23"/>
  <c r="E186" i="23" s="1"/>
  <c r="D144" i="23"/>
  <c r="K143" i="23"/>
  <c r="K185" i="23" s="1"/>
  <c r="J143" i="23"/>
  <c r="I143" i="23"/>
  <c r="H143" i="23"/>
  <c r="H185" i="23" s="1"/>
  <c r="G143" i="23"/>
  <c r="F143" i="23"/>
  <c r="E143" i="23"/>
  <c r="D143" i="23"/>
  <c r="D185" i="23" s="1"/>
  <c r="K142" i="23"/>
  <c r="J142" i="23"/>
  <c r="J173" i="23" s="1"/>
  <c r="I142" i="23"/>
  <c r="H142" i="23"/>
  <c r="G142" i="23"/>
  <c r="F142" i="23"/>
  <c r="F173" i="23" s="1"/>
  <c r="E142" i="23"/>
  <c r="E173" i="23" s="1"/>
  <c r="D142" i="23"/>
  <c r="C132" i="23"/>
  <c r="J130" i="23"/>
  <c r="I130" i="23"/>
  <c r="E130" i="23"/>
  <c r="D130" i="23"/>
  <c r="E129" i="23"/>
  <c r="D129" i="23"/>
  <c r="I128" i="23"/>
  <c r="E128" i="23"/>
  <c r="H127" i="23"/>
  <c r="J126" i="23"/>
  <c r="G126" i="23"/>
  <c r="E126" i="23"/>
  <c r="I125" i="23"/>
  <c r="E124" i="23"/>
  <c r="I123" i="23"/>
  <c r="D123" i="23"/>
  <c r="F122" i="23"/>
  <c r="H121" i="23"/>
  <c r="G121" i="23"/>
  <c r="E121" i="23"/>
  <c r="J120" i="23"/>
  <c r="E120" i="23"/>
  <c r="G119" i="23"/>
  <c r="E119" i="23"/>
  <c r="D119" i="23"/>
  <c r="H117" i="23"/>
  <c r="E117" i="23"/>
  <c r="D117" i="23"/>
  <c r="I116" i="23"/>
  <c r="F116" i="23"/>
  <c r="K114" i="23"/>
  <c r="G114" i="23"/>
  <c r="E114" i="23"/>
  <c r="E113" i="23"/>
  <c r="D113" i="23"/>
  <c r="I112" i="23"/>
  <c r="H112" i="23"/>
  <c r="G112" i="23"/>
  <c r="E112" i="23"/>
  <c r="H111" i="23"/>
  <c r="J110" i="23"/>
  <c r="E110" i="23"/>
  <c r="E108" i="23"/>
  <c r="I107" i="23"/>
  <c r="D107" i="23"/>
  <c r="I105" i="23"/>
  <c r="H105" i="23"/>
  <c r="E105" i="23"/>
  <c r="J104" i="23"/>
  <c r="E104" i="23"/>
  <c r="E103" i="23"/>
  <c r="D103" i="23"/>
  <c r="E101" i="23"/>
  <c r="D101" i="23"/>
  <c r="K100" i="23"/>
  <c r="I100" i="23"/>
  <c r="C90" i="23"/>
  <c r="J89" i="23"/>
  <c r="E89" i="23"/>
  <c r="K88" i="23"/>
  <c r="J88" i="23"/>
  <c r="I88" i="23"/>
  <c r="H88" i="23"/>
  <c r="G88" i="23"/>
  <c r="F88" i="23"/>
  <c r="F130" i="23" s="1"/>
  <c r="E88" i="23"/>
  <c r="D88" i="23"/>
  <c r="K87" i="23"/>
  <c r="K129" i="23" s="1"/>
  <c r="J87" i="23"/>
  <c r="J129" i="23" s="1"/>
  <c r="I87" i="23"/>
  <c r="I129" i="23" s="1"/>
  <c r="H87" i="23"/>
  <c r="H129" i="23" s="1"/>
  <c r="G87" i="23"/>
  <c r="F87" i="23"/>
  <c r="E87" i="23"/>
  <c r="D87" i="23"/>
  <c r="K86" i="23"/>
  <c r="J86" i="23"/>
  <c r="I86" i="23"/>
  <c r="H86" i="23"/>
  <c r="G86" i="23"/>
  <c r="F86" i="23"/>
  <c r="F128" i="23" s="1"/>
  <c r="E86" i="23"/>
  <c r="D86" i="23"/>
  <c r="D128" i="23" s="1"/>
  <c r="K85" i="23"/>
  <c r="K127" i="23" s="1"/>
  <c r="J85" i="23"/>
  <c r="J127" i="23" s="1"/>
  <c r="I85" i="23"/>
  <c r="I127" i="23" s="1"/>
  <c r="H85" i="23"/>
  <c r="G85" i="23"/>
  <c r="F85" i="23"/>
  <c r="E85" i="23"/>
  <c r="E127" i="23" s="1"/>
  <c r="D85" i="23"/>
  <c r="K84" i="23"/>
  <c r="J84" i="23"/>
  <c r="I84" i="23"/>
  <c r="H84" i="23"/>
  <c r="G84" i="23"/>
  <c r="F84" i="23"/>
  <c r="F126" i="23" s="1"/>
  <c r="E84" i="23"/>
  <c r="D84" i="23"/>
  <c r="K83" i="23"/>
  <c r="K125" i="23" s="1"/>
  <c r="J83" i="23"/>
  <c r="J125" i="23" s="1"/>
  <c r="I83" i="23"/>
  <c r="H83" i="23"/>
  <c r="H125" i="23" s="1"/>
  <c r="G83" i="23"/>
  <c r="F83" i="23"/>
  <c r="E83" i="23"/>
  <c r="E125" i="23" s="1"/>
  <c r="D83" i="23"/>
  <c r="K82" i="23"/>
  <c r="J82" i="23"/>
  <c r="I82" i="23"/>
  <c r="H82" i="23"/>
  <c r="G82" i="23"/>
  <c r="F82" i="23"/>
  <c r="F124" i="23" s="1"/>
  <c r="E82" i="23"/>
  <c r="D82" i="23"/>
  <c r="K81" i="23"/>
  <c r="K123" i="23" s="1"/>
  <c r="J81" i="23"/>
  <c r="J123" i="23" s="1"/>
  <c r="I81" i="23"/>
  <c r="H81" i="23"/>
  <c r="H123" i="23" s="1"/>
  <c r="G81" i="23"/>
  <c r="F81" i="23"/>
  <c r="E81" i="23"/>
  <c r="E123" i="23" s="1"/>
  <c r="D81" i="23"/>
  <c r="K80" i="23"/>
  <c r="J80" i="23"/>
  <c r="I80" i="23"/>
  <c r="H80" i="23"/>
  <c r="G80" i="23"/>
  <c r="F80" i="23"/>
  <c r="E80" i="23"/>
  <c r="E122" i="23" s="1"/>
  <c r="D80" i="23"/>
  <c r="D122" i="23" s="1"/>
  <c r="K79" i="23"/>
  <c r="K121" i="23" s="1"/>
  <c r="J79" i="23"/>
  <c r="J121" i="23" s="1"/>
  <c r="I79" i="23"/>
  <c r="I121" i="23" s="1"/>
  <c r="H79" i="23"/>
  <c r="G79" i="23"/>
  <c r="F79" i="23"/>
  <c r="E79" i="23"/>
  <c r="D79" i="23"/>
  <c r="K78" i="23"/>
  <c r="J78" i="23"/>
  <c r="I78" i="23"/>
  <c r="H78" i="23"/>
  <c r="G78" i="23"/>
  <c r="F78" i="23"/>
  <c r="F120" i="23" s="1"/>
  <c r="E78" i="23"/>
  <c r="D78" i="23"/>
  <c r="K77" i="23"/>
  <c r="K119" i="23" s="1"/>
  <c r="J77" i="23"/>
  <c r="J119" i="23" s="1"/>
  <c r="I77" i="23"/>
  <c r="I119" i="23" s="1"/>
  <c r="H77" i="23"/>
  <c r="H119" i="23" s="1"/>
  <c r="G77" i="23"/>
  <c r="F77" i="23"/>
  <c r="E77" i="23"/>
  <c r="D77" i="23"/>
  <c r="K76" i="23"/>
  <c r="J76" i="23"/>
  <c r="I76" i="23"/>
  <c r="H76" i="23"/>
  <c r="G76" i="23"/>
  <c r="F76" i="23"/>
  <c r="F118" i="23" s="1"/>
  <c r="E76" i="23"/>
  <c r="E118" i="23" s="1"/>
  <c r="D76" i="23"/>
  <c r="D118" i="23" s="1"/>
  <c r="K75" i="23"/>
  <c r="K117" i="23" s="1"/>
  <c r="J75" i="23"/>
  <c r="J117" i="23" s="1"/>
  <c r="I75" i="23"/>
  <c r="I117" i="23" s="1"/>
  <c r="H75" i="23"/>
  <c r="G75" i="23"/>
  <c r="F75" i="23"/>
  <c r="E75" i="23"/>
  <c r="D75" i="23"/>
  <c r="K74" i="23"/>
  <c r="J74" i="23"/>
  <c r="I74" i="23"/>
  <c r="H74" i="23"/>
  <c r="G74" i="23"/>
  <c r="F74" i="23"/>
  <c r="E74" i="23"/>
  <c r="E116" i="23" s="1"/>
  <c r="D74" i="23"/>
  <c r="D116" i="23" s="1"/>
  <c r="K73" i="23"/>
  <c r="K115" i="23" s="1"/>
  <c r="J73" i="23"/>
  <c r="J115" i="23" s="1"/>
  <c r="I73" i="23"/>
  <c r="I115" i="23" s="1"/>
  <c r="H73" i="23"/>
  <c r="H115" i="23" s="1"/>
  <c r="G73" i="23"/>
  <c r="F73" i="23"/>
  <c r="E73" i="23"/>
  <c r="E115" i="23" s="1"/>
  <c r="D73" i="23"/>
  <c r="K72" i="23"/>
  <c r="J72" i="23"/>
  <c r="I72" i="23"/>
  <c r="H72" i="23"/>
  <c r="G72" i="23"/>
  <c r="F72" i="23"/>
  <c r="F114" i="23" s="1"/>
  <c r="E72" i="23"/>
  <c r="D72" i="23"/>
  <c r="K71" i="23"/>
  <c r="K113" i="23" s="1"/>
  <c r="J71" i="23"/>
  <c r="J113" i="23" s="1"/>
  <c r="I71" i="23"/>
  <c r="I113" i="23" s="1"/>
  <c r="H71" i="23"/>
  <c r="H113" i="23" s="1"/>
  <c r="G71" i="23"/>
  <c r="F71" i="23"/>
  <c r="E71" i="23"/>
  <c r="D71" i="23"/>
  <c r="K70" i="23"/>
  <c r="J70" i="23"/>
  <c r="I70" i="23"/>
  <c r="H70" i="23"/>
  <c r="G70" i="23"/>
  <c r="F70" i="23"/>
  <c r="F112" i="23" s="1"/>
  <c r="E70" i="23"/>
  <c r="D70" i="23"/>
  <c r="D112" i="23" s="1"/>
  <c r="K69" i="23"/>
  <c r="K111" i="23" s="1"/>
  <c r="J69" i="23"/>
  <c r="J111" i="23" s="1"/>
  <c r="I69" i="23"/>
  <c r="I111" i="23" s="1"/>
  <c r="H69" i="23"/>
  <c r="G69" i="23"/>
  <c r="F69" i="23"/>
  <c r="E69" i="23"/>
  <c r="E111" i="23" s="1"/>
  <c r="D69" i="23"/>
  <c r="K68" i="23"/>
  <c r="J68" i="23"/>
  <c r="I68" i="23"/>
  <c r="H68" i="23"/>
  <c r="G68" i="23"/>
  <c r="F68" i="23"/>
  <c r="F110" i="23" s="1"/>
  <c r="E68" i="23"/>
  <c r="D68" i="23"/>
  <c r="K67" i="23"/>
  <c r="K109" i="23" s="1"/>
  <c r="J67" i="23"/>
  <c r="J109" i="23" s="1"/>
  <c r="I67" i="23"/>
  <c r="I109" i="23" s="1"/>
  <c r="H67" i="23"/>
  <c r="H109" i="23" s="1"/>
  <c r="G67" i="23"/>
  <c r="F67" i="23"/>
  <c r="E67" i="23"/>
  <c r="E109" i="23" s="1"/>
  <c r="D67" i="23"/>
  <c r="K66" i="23"/>
  <c r="J66" i="23"/>
  <c r="I66" i="23"/>
  <c r="H66" i="23"/>
  <c r="G66" i="23"/>
  <c r="F66" i="23"/>
  <c r="F108" i="23" s="1"/>
  <c r="E66" i="23"/>
  <c r="D66" i="23"/>
  <c r="K65" i="23"/>
  <c r="K107" i="23" s="1"/>
  <c r="J65" i="23"/>
  <c r="J107" i="23" s="1"/>
  <c r="I65" i="23"/>
  <c r="H65" i="23"/>
  <c r="H107" i="23" s="1"/>
  <c r="G65" i="23"/>
  <c r="F65" i="23"/>
  <c r="E65" i="23"/>
  <c r="E107" i="23" s="1"/>
  <c r="D65" i="23"/>
  <c r="K64" i="23"/>
  <c r="J64" i="23"/>
  <c r="I64" i="23"/>
  <c r="H64" i="23"/>
  <c r="G64" i="23"/>
  <c r="F64" i="23"/>
  <c r="F106" i="23" s="1"/>
  <c r="E64" i="23"/>
  <c r="E106" i="23" s="1"/>
  <c r="D64" i="23"/>
  <c r="D106" i="23" s="1"/>
  <c r="K63" i="23"/>
  <c r="K105" i="23" s="1"/>
  <c r="J63" i="23"/>
  <c r="J105" i="23" s="1"/>
  <c r="I63" i="23"/>
  <c r="H63" i="23"/>
  <c r="G63" i="23"/>
  <c r="G105" i="23" s="1"/>
  <c r="F63" i="23"/>
  <c r="E63" i="23"/>
  <c r="D63" i="23"/>
  <c r="K62" i="23"/>
  <c r="J62" i="23"/>
  <c r="I62" i="23"/>
  <c r="H62" i="23"/>
  <c r="G62" i="23"/>
  <c r="F62" i="23"/>
  <c r="F104" i="23" s="1"/>
  <c r="E62" i="23"/>
  <c r="D62" i="23"/>
  <c r="K61" i="23"/>
  <c r="K103" i="23" s="1"/>
  <c r="J61" i="23"/>
  <c r="J103" i="23" s="1"/>
  <c r="I61" i="23"/>
  <c r="I103" i="23" s="1"/>
  <c r="H61" i="23"/>
  <c r="H103" i="23" s="1"/>
  <c r="G61" i="23"/>
  <c r="G103" i="23" s="1"/>
  <c r="F61" i="23"/>
  <c r="E61" i="23"/>
  <c r="D61" i="23"/>
  <c r="K60" i="23"/>
  <c r="J60" i="23"/>
  <c r="I60" i="23"/>
  <c r="H60" i="23"/>
  <c r="G60" i="23"/>
  <c r="F60" i="23"/>
  <c r="F102" i="23" s="1"/>
  <c r="E60" i="23"/>
  <c r="E102" i="23" s="1"/>
  <c r="D60" i="23"/>
  <c r="D102" i="23" s="1"/>
  <c r="K59" i="23"/>
  <c r="J59" i="23"/>
  <c r="J101" i="23" s="1"/>
  <c r="I59" i="23"/>
  <c r="H59" i="23"/>
  <c r="H89" i="23" s="1"/>
  <c r="G59" i="23"/>
  <c r="F59" i="23"/>
  <c r="E59" i="23"/>
  <c r="D59" i="23"/>
  <c r="K58" i="23"/>
  <c r="J58" i="23"/>
  <c r="I58" i="23"/>
  <c r="H58" i="23"/>
  <c r="G58" i="23"/>
  <c r="F58" i="23"/>
  <c r="F89" i="23" s="1"/>
  <c r="F131" i="23" s="1"/>
  <c r="E58" i="23"/>
  <c r="E100" i="23" s="1"/>
  <c r="D58" i="23"/>
  <c r="D89" i="23" s="1"/>
  <c r="C47" i="23"/>
  <c r="K45" i="23"/>
  <c r="K130" i="23" s="1"/>
  <c r="J45" i="23"/>
  <c r="I45" i="23"/>
  <c r="H45" i="23"/>
  <c r="G45" i="23"/>
  <c r="G297" i="23" s="1"/>
  <c r="F45" i="23"/>
  <c r="F297" i="23" s="1"/>
  <c r="E45" i="23"/>
  <c r="D45" i="23"/>
  <c r="K44" i="23"/>
  <c r="J44" i="23"/>
  <c r="J213" i="23" s="1"/>
  <c r="I44" i="23"/>
  <c r="I213" i="23" s="1"/>
  <c r="H44" i="23"/>
  <c r="G44" i="23"/>
  <c r="F44" i="23"/>
  <c r="E44" i="23"/>
  <c r="D44" i="23"/>
  <c r="K43" i="23"/>
  <c r="K128" i="23" s="1"/>
  <c r="J43" i="23"/>
  <c r="I43" i="23"/>
  <c r="H43" i="23"/>
  <c r="G43" i="23"/>
  <c r="G295" i="23" s="1"/>
  <c r="F43" i="23"/>
  <c r="F295" i="23" s="1"/>
  <c r="E43" i="23"/>
  <c r="D43" i="23"/>
  <c r="D212" i="23" s="1"/>
  <c r="K42" i="23"/>
  <c r="J42" i="23"/>
  <c r="J211" i="23" s="1"/>
  <c r="I42" i="23"/>
  <c r="I211" i="23" s="1"/>
  <c r="H42" i="23"/>
  <c r="H211" i="23" s="1"/>
  <c r="G42" i="23"/>
  <c r="F42" i="23"/>
  <c r="E42" i="23"/>
  <c r="D42" i="23"/>
  <c r="D127" i="23" s="1"/>
  <c r="K41" i="23"/>
  <c r="K126" i="23" s="1"/>
  <c r="J41" i="23"/>
  <c r="J293" i="23" s="1"/>
  <c r="I41" i="23"/>
  <c r="I126" i="23" s="1"/>
  <c r="H41" i="23"/>
  <c r="G41" i="23"/>
  <c r="G293" i="23" s="1"/>
  <c r="F41" i="23"/>
  <c r="F293" i="23" s="1"/>
  <c r="E41" i="23"/>
  <c r="D41" i="23"/>
  <c r="K40" i="23"/>
  <c r="J40" i="23"/>
  <c r="I40" i="23"/>
  <c r="I209" i="23" s="1"/>
  <c r="H40" i="23"/>
  <c r="H209" i="23" s="1"/>
  <c r="G40" i="23"/>
  <c r="G209" i="23" s="1"/>
  <c r="F40" i="23"/>
  <c r="F125" i="23" s="1"/>
  <c r="E40" i="23"/>
  <c r="D40" i="23"/>
  <c r="D125" i="23" s="1"/>
  <c r="K39" i="23"/>
  <c r="K124" i="23" s="1"/>
  <c r="J39" i="23"/>
  <c r="I39" i="23"/>
  <c r="I124" i="23" s="1"/>
  <c r="H39" i="23"/>
  <c r="G39" i="23"/>
  <c r="G291" i="23" s="1"/>
  <c r="F39" i="23"/>
  <c r="F291" i="23" s="1"/>
  <c r="E39" i="23"/>
  <c r="D39" i="23"/>
  <c r="K38" i="23"/>
  <c r="J38" i="23"/>
  <c r="J207" i="23" s="1"/>
  <c r="I38" i="23"/>
  <c r="H38" i="23"/>
  <c r="G38" i="23"/>
  <c r="G123" i="23" s="1"/>
  <c r="F38" i="23"/>
  <c r="E38" i="23"/>
  <c r="E207" i="23" s="1"/>
  <c r="D38" i="23"/>
  <c r="K37" i="23"/>
  <c r="K122" i="23" s="1"/>
  <c r="J37" i="23"/>
  <c r="J289" i="23" s="1"/>
  <c r="I37" i="23"/>
  <c r="H37" i="23"/>
  <c r="H289" i="23" s="1"/>
  <c r="G37" i="23"/>
  <c r="G289" i="23" s="1"/>
  <c r="F37" i="23"/>
  <c r="F289" i="23" s="1"/>
  <c r="E37" i="23"/>
  <c r="D37" i="23"/>
  <c r="K36" i="23"/>
  <c r="J36" i="23"/>
  <c r="J205" i="23" s="1"/>
  <c r="I36" i="23"/>
  <c r="I205" i="23" s="1"/>
  <c r="H36" i="23"/>
  <c r="G36" i="23"/>
  <c r="F36" i="23"/>
  <c r="F121" i="23" s="1"/>
  <c r="E36" i="23"/>
  <c r="D36" i="23"/>
  <c r="D121" i="23" s="1"/>
  <c r="K35" i="23"/>
  <c r="K120" i="23" s="1"/>
  <c r="J35" i="23"/>
  <c r="I35" i="23"/>
  <c r="H35" i="23"/>
  <c r="G35" i="23"/>
  <c r="G287" i="23" s="1"/>
  <c r="F35" i="23"/>
  <c r="F287" i="23" s="1"/>
  <c r="E35" i="23"/>
  <c r="D35" i="23"/>
  <c r="K34" i="23"/>
  <c r="J34" i="23"/>
  <c r="J203" i="23" s="1"/>
  <c r="I34" i="23"/>
  <c r="I203" i="23" s="1"/>
  <c r="H34" i="23"/>
  <c r="G34" i="23"/>
  <c r="F34" i="23"/>
  <c r="F119" i="23" s="1"/>
  <c r="E34" i="23"/>
  <c r="D34" i="23"/>
  <c r="K33" i="23"/>
  <c r="K118" i="23" s="1"/>
  <c r="J33" i="23"/>
  <c r="J285" i="23" s="1"/>
  <c r="I33" i="23"/>
  <c r="I118" i="23" s="1"/>
  <c r="H33" i="23"/>
  <c r="G33" i="23"/>
  <c r="G285" i="23" s="1"/>
  <c r="F33" i="23"/>
  <c r="F285" i="23" s="1"/>
  <c r="E33" i="23"/>
  <c r="D33" i="23"/>
  <c r="D202" i="23" s="1"/>
  <c r="K32" i="23"/>
  <c r="J32" i="23"/>
  <c r="I32" i="23"/>
  <c r="H32" i="23"/>
  <c r="G32" i="23"/>
  <c r="F32" i="23"/>
  <c r="E32" i="23"/>
  <c r="D32" i="23"/>
  <c r="K31" i="23"/>
  <c r="K116" i="23" s="1"/>
  <c r="J31" i="23"/>
  <c r="J116" i="23" s="1"/>
  <c r="I31" i="23"/>
  <c r="H31" i="23"/>
  <c r="G31" i="23"/>
  <c r="G283" i="23" s="1"/>
  <c r="F31" i="23"/>
  <c r="F283" i="23" s="1"/>
  <c r="E31" i="23"/>
  <c r="D31" i="23"/>
  <c r="D200" i="23" s="1"/>
  <c r="K30" i="23"/>
  <c r="J30" i="23"/>
  <c r="J199" i="23" s="1"/>
  <c r="I30" i="23"/>
  <c r="H30" i="23"/>
  <c r="G30" i="23"/>
  <c r="F30" i="23"/>
  <c r="F115" i="23" s="1"/>
  <c r="E30" i="23"/>
  <c r="D30" i="23"/>
  <c r="D115" i="23" s="1"/>
  <c r="K29" i="23"/>
  <c r="K198" i="23" s="1"/>
  <c r="J29" i="23"/>
  <c r="J281" i="23" s="1"/>
  <c r="I29" i="23"/>
  <c r="I114" i="23" s="1"/>
  <c r="H29" i="23"/>
  <c r="G29" i="23"/>
  <c r="G281" i="23" s="1"/>
  <c r="F29" i="23"/>
  <c r="F281" i="23" s="1"/>
  <c r="E29" i="23"/>
  <c r="D29" i="23"/>
  <c r="K28" i="23"/>
  <c r="J28" i="23"/>
  <c r="J197" i="23" s="1"/>
  <c r="I28" i="23"/>
  <c r="H28" i="23"/>
  <c r="G28" i="23"/>
  <c r="F28" i="23"/>
  <c r="E28" i="23"/>
  <c r="D28" i="23"/>
  <c r="K27" i="23"/>
  <c r="K112" i="23" s="1"/>
  <c r="J27" i="23"/>
  <c r="I27" i="23"/>
  <c r="H27" i="23"/>
  <c r="G27" i="23"/>
  <c r="F27" i="23"/>
  <c r="E27" i="23"/>
  <c r="D27" i="23"/>
  <c r="K26" i="23"/>
  <c r="J26" i="23"/>
  <c r="I26" i="23"/>
  <c r="H26" i="23"/>
  <c r="G26" i="23"/>
  <c r="F26" i="23"/>
  <c r="E26" i="23"/>
  <c r="D26" i="23"/>
  <c r="D111" i="23" s="1"/>
  <c r="K25" i="23"/>
  <c r="K110" i="23" s="1"/>
  <c r="J25" i="23"/>
  <c r="J277" i="23" s="1"/>
  <c r="I25" i="23"/>
  <c r="I110" i="23" s="1"/>
  <c r="H25" i="23"/>
  <c r="G25" i="23"/>
  <c r="G277" i="23" s="1"/>
  <c r="F25" i="23"/>
  <c r="F277" i="23" s="1"/>
  <c r="E25" i="23"/>
  <c r="D25" i="23"/>
  <c r="K24" i="23"/>
  <c r="J24" i="23"/>
  <c r="I24" i="23"/>
  <c r="H24" i="23"/>
  <c r="G24" i="23"/>
  <c r="F24" i="23"/>
  <c r="F109" i="23" s="1"/>
  <c r="E24" i="23"/>
  <c r="D24" i="23"/>
  <c r="D109" i="23" s="1"/>
  <c r="K23" i="23"/>
  <c r="K108" i="23" s="1"/>
  <c r="J23" i="23"/>
  <c r="I23" i="23"/>
  <c r="I108" i="23" s="1"/>
  <c r="H23" i="23"/>
  <c r="G23" i="23"/>
  <c r="G275" i="23" s="1"/>
  <c r="F23" i="23"/>
  <c r="F275" i="23" s="1"/>
  <c r="E23" i="23"/>
  <c r="D23" i="23"/>
  <c r="K22" i="23"/>
  <c r="J22" i="23"/>
  <c r="I22" i="23"/>
  <c r="I191" i="23" s="1"/>
  <c r="H22" i="23"/>
  <c r="G22" i="23"/>
  <c r="G107" i="23" s="1"/>
  <c r="F22" i="23"/>
  <c r="E22" i="23"/>
  <c r="D22" i="23"/>
  <c r="K21" i="23"/>
  <c r="K106" i="23" s="1"/>
  <c r="J21" i="23"/>
  <c r="J273" i="23" s="1"/>
  <c r="I21" i="23"/>
  <c r="H21" i="23"/>
  <c r="H273" i="23" s="1"/>
  <c r="G21" i="23"/>
  <c r="G273" i="23" s="1"/>
  <c r="F21" i="23"/>
  <c r="F273" i="23" s="1"/>
  <c r="E21" i="23"/>
  <c r="D21" i="23"/>
  <c r="D190" i="23" s="1"/>
  <c r="K20" i="23"/>
  <c r="J20" i="23"/>
  <c r="I20" i="23"/>
  <c r="H20" i="23"/>
  <c r="G20" i="23"/>
  <c r="F20" i="23"/>
  <c r="F105" i="23" s="1"/>
  <c r="E20" i="23"/>
  <c r="D20" i="23"/>
  <c r="D105" i="23" s="1"/>
  <c r="K19" i="23"/>
  <c r="K104" i="23" s="1"/>
  <c r="J19" i="23"/>
  <c r="I19" i="23"/>
  <c r="H19" i="23"/>
  <c r="G19" i="23"/>
  <c r="G271" i="23" s="1"/>
  <c r="F19" i="23"/>
  <c r="F271" i="23" s="1"/>
  <c r="E19" i="23"/>
  <c r="D19" i="23"/>
  <c r="K18" i="23"/>
  <c r="J18" i="23"/>
  <c r="I18" i="23"/>
  <c r="I187" i="23" s="1"/>
  <c r="H18" i="23"/>
  <c r="G18" i="23"/>
  <c r="G187" i="23" s="1"/>
  <c r="F18" i="23"/>
  <c r="F103" i="23" s="1"/>
  <c r="E18" i="23"/>
  <c r="D18" i="23"/>
  <c r="K17" i="23"/>
  <c r="K102" i="23" s="1"/>
  <c r="J17" i="23"/>
  <c r="J269" i="23" s="1"/>
  <c r="I17" i="23"/>
  <c r="I102" i="23" s="1"/>
  <c r="H17" i="23"/>
  <c r="H269" i="23" s="1"/>
  <c r="G17" i="23"/>
  <c r="G269" i="23" s="1"/>
  <c r="F17" i="23"/>
  <c r="F269" i="23" s="1"/>
  <c r="E17" i="23"/>
  <c r="D17" i="23"/>
  <c r="D186" i="23" s="1"/>
  <c r="K16" i="23"/>
  <c r="J16" i="23"/>
  <c r="J185" i="23" s="1"/>
  <c r="I16" i="23"/>
  <c r="I185" i="23" s="1"/>
  <c r="H16" i="23"/>
  <c r="G16" i="23"/>
  <c r="F16" i="23"/>
  <c r="F46" i="23" s="1"/>
  <c r="E16" i="23"/>
  <c r="E46" i="23" s="1"/>
  <c r="D16" i="23"/>
  <c r="K15" i="23"/>
  <c r="K46" i="23" s="1"/>
  <c r="J15" i="23"/>
  <c r="I15" i="23"/>
  <c r="I46" i="23" s="1"/>
  <c r="H15" i="23"/>
  <c r="G15" i="23"/>
  <c r="G46" i="23" s="1"/>
  <c r="F15" i="23"/>
  <c r="F267" i="23" s="1"/>
  <c r="E15" i="23"/>
  <c r="D15" i="23"/>
  <c r="T274" i="22"/>
  <c r="H274" i="22"/>
  <c r="V273" i="22"/>
  <c r="L272" i="22"/>
  <c r="G272" i="22"/>
  <c r="U271" i="22"/>
  <c r="R271" i="22"/>
  <c r="N271" i="22"/>
  <c r="I271" i="22"/>
  <c r="G271" i="22"/>
  <c r="F271" i="22"/>
  <c r="T270" i="22"/>
  <c r="F268" i="22"/>
  <c r="I267" i="22"/>
  <c r="H267" i="22"/>
  <c r="S265" i="22"/>
  <c r="L265" i="22"/>
  <c r="Q264" i="22"/>
  <c r="N264" i="22"/>
  <c r="Q263" i="22"/>
  <c r="H262" i="22"/>
  <c r="J261" i="22"/>
  <c r="L260" i="22"/>
  <c r="F260" i="22"/>
  <c r="V258" i="22"/>
  <c r="U258" i="22"/>
  <c r="T258" i="22"/>
  <c r="S258" i="22"/>
  <c r="R258" i="22"/>
  <c r="Q258" i="22"/>
  <c r="P258" i="22"/>
  <c r="O258" i="22"/>
  <c r="N258" i="22"/>
  <c r="M258" i="22"/>
  <c r="L258" i="22"/>
  <c r="K258" i="22"/>
  <c r="J258" i="22"/>
  <c r="I258" i="22"/>
  <c r="H258" i="22"/>
  <c r="G258" i="22"/>
  <c r="F258" i="22"/>
  <c r="E258" i="22"/>
  <c r="D258" i="22"/>
  <c r="M256" i="22"/>
  <c r="V255" i="22"/>
  <c r="R254" i="22"/>
  <c r="Q254" i="22"/>
  <c r="T253" i="22"/>
  <c r="P253" i="22"/>
  <c r="R252" i="22"/>
  <c r="H252" i="22"/>
  <c r="V251" i="22"/>
  <c r="K251" i="22"/>
  <c r="F251" i="22"/>
  <c r="I250" i="22"/>
  <c r="H250" i="22"/>
  <c r="F250" i="22"/>
  <c r="E250" i="22"/>
  <c r="K248" i="22"/>
  <c r="N247" i="22"/>
  <c r="Q246" i="22"/>
  <c r="J246" i="22"/>
  <c r="V235" i="22"/>
  <c r="U235" i="22"/>
  <c r="T235" i="22"/>
  <c r="S235" i="22"/>
  <c r="R235" i="22"/>
  <c r="Q235" i="22"/>
  <c r="P235" i="22"/>
  <c r="O235" i="22"/>
  <c r="O274" i="22" s="1"/>
  <c r="N235" i="22"/>
  <c r="M235" i="22"/>
  <c r="L235" i="22"/>
  <c r="K235" i="22"/>
  <c r="J235" i="22"/>
  <c r="I235" i="22"/>
  <c r="H235" i="22"/>
  <c r="G235" i="22"/>
  <c r="F235" i="22"/>
  <c r="E235" i="22"/>
  <c r="D235" i="22"/>
  <c r="V234" i="22"/>
  <c r="U234" i="22"/>
  <c r="T234" i="22"/>
  <c r="S234" i="22"/>
  <c r="R234" i="22"/>
  <c r="R273" i="22" s="1"/>
  <c r="Q234" i="22"/>
  <c r="P234" i="22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D273" i="22" s="1"/>
  <c r="V233" i="22"/>
  <c r="U233" i="22"/>
  <c r="U272" i="22" s="1"/>
  <c r="T233" i="22"/>
  <c r="S233" i="22"/>
  <c r="R233" i="22"/>
  <c r="Q233" i="22"/>
  <c r="P233" i="22"/>
  <c r="O233" i="22"/>
  <c r="N233" i="22"/>
  <c r="M233" i="22"/>
  <c r="L233" i="22"/>
  <c r="K233" i="22"/>
  <c r="J233" i="22"/>
  <c r="I233" i="22"/>
  <c r="H233" i="22"/>
  <c r="G233" i="22"/>
  <c r="F233" i="22"/>
  <c r="E233" i="22"/>
  <c r="E272" i="22" s="1"/>
  <c r="D233" i="22"/>
  <c r="V232" i="22"/>
  <c r="U232" i="22"/>
  <c r="T232" i="22"/>
  <c r="T271" i="22" s="1"/>
  <c r="S232" i="22"/>
  <c r="S271" i="22" s="1"/>
  <c r="R232" i="22"/>
  <c r="Q232" i="22"/>
  <c r="Q271" i="22" s="1"/>
  <c r="P232" i="22"/>
  <c r="P271" i="22" s="1"/>
  <c r="O232" i="22"/>
  <c r="O271" i="22" s="1"/>
  <c r="N232" i="22"/>
  <c r="M232" i="22"/>
  <c r="M271" i="22" s="1"/>
  <c r="L232" i="22"/>
  <c r="L271" i="22" s="1"/>
  <c r="K232" i="22"/>
  <c r="K271" i="22" s="1"/>
  <c r="J232" i="22"/>
  <c r="J271" i="22" s="1"/>
  <c r="I232" i="22"/>
  <c r="H232" i="22"/>
  <c r="H271" i="22" s="1"/>
  <c r="G232" i="22"/>
  <c r="F232" i="22"/>
  <c r="E232" i="22"/>
  <c r="E271" i="22" s="1"/>
  <c r="D232" i="22"/>
  <c r="D271" i="22" s="1"/>
  <c r="V231" i="22"/>
  <c r="U231" i="22"/>
  <c r="T231" i="22"/>
  <c r="S231" i="22"/>
  <c r="R231" i="22"/>
  <c r="Q231" i="22"/>
  <c r="P231" i="22"/>
  <c r="O231" i="22"/>
  <c r="N231" i="22"/>
  <c r="M231" i="22"/>
  <c r="L231" i="22"/>
  <c r="K231" i="22"/>
  <c r="K270" i="22" s="1"/>
  <c r="J231" i="22"/>
  <c r="I231" i="22"/>
  <c r="H231" i="22"/>
  <c r="G231" i="22"/>
  <c r="F231" i="22"/>
  <c r="E231" i="22"/>
  <c r="D231" i="22"/>
  <c r="D270" i="22" s="1"/>
  <c r="V230" i="22"/>
  <c r="U230" i="22"/>
  <c r="T230" i="22"/>
  <c r="S230" i="22"/>
  <c r="R230" i="22"/>
  <c r="Q230" i="22"/>
  <c r="P230" i="22"/>
  <c r="O230" i="22"/>
  <c r="N230" i="22"/>
  <c r="N269" i="22" s="1"/>
  <c r="M230" i="22"/>
  <c r="L230" i="22"/>
  <c r="K230" i="22"/>
  <c r="J230" i="22"/>
  <c r="I230" i="22"/>
  <c r="H230" i="22"/>
  <c r="G230" i="22"/>
  <c r="F230" i="22"/>
  <c r="E230" i="22"/>
  <c r="D230" i="22"/>
  <c r="V229" i="22"/>
  <c r="U229" i="22"/>
  <c r="T229" i="22"/>
  <c r="S229" i="22"/>
  <c r="R229" i="22"/>
  <c r="Q229" i="22"/>
  <c r="Q268" i="22" s="1"/>
  <c r="P229" i="22"/>
  <c r="O229" i="22"/>
  <c r="N229" i="22"/>
  <c r="M229" i="22"/>
  <c r="L229" i="22"/>
  <c r="K229" i="22"/>
  <c r="J229" i="22"/>
  <c r="I229" i="22"/>
  <c r="H229" i="22"/>
  <c r="G229" i="22"/>
  <c r="F229" i="22"/>
  <c r="E229" i="22"/>
  <c r="D229" i="22"/>
  <c r="V228" i="22"/>
  <c r="V267" i="22" s="1"/>
  <c r="U228" i="22"/>
  <c r="T228" i="22"/>
  <c r="T267" i="22" s="1"/>
  <c r="S228" i="22"/>
  <c r="R228" i="22"/>
  <c r="Q228" i="22"/>
  <c r="P228" i="22"/>
  <c r="O228" i="22"/>
  <c r="N228" i="22"/>
  <c r="M228" i="22"/>
  <c r="L228" i="22"/>
  <c r="K228" i="22"/>
  <c r="J228" i="22"/>
  <c r="I228" i="22"/>
  <c r="H228" i="22"/>
  <c r="G228" i="22"/>
  <c r="F228" i="22"/>
  <c r="E228" i="22"/>
  <c r="D228" i="22"/>
  <c r="D267" i="22" s="1"/>
  <c r="V227" i="22"/>
  <c r="U227" i="22"/>
  <c r="T227" i="22"/>
  <c r="S227" i="22"/>
  <c r="R227" i="22"/>
  <c r="Q227" i="22"/>
  <c r="P227" i="22"/>
  <c r="O227" i="22"/>
  <c r="N227" i="22"/>
  <c r="M227" i="22"/>
  <c r="L227" i="22"/>
  <c r="L266" i="22" s="1"/>
  <c r="K227" i="22"/>
  <c r="K266" i="22" s="1"/>
  <c r="J227" i="22"/>
  <c r="I227" i="22"/>
  <c r="H227" i="22"/>
  <c r="G227" i="22"/>
  <c r="G266" i="22" s="1"/>
  <c r="F227" i="22"/>
  <c r="E227" i="22"/>
  <c r="D227" i="22"/>
  <c r="V226" i="22"/>
  <c r="U226" i="22"/>
  <c r="T226" i="22"/>
  <c r="T265" i="22" s="1"/>
  <c r="S226" i="22"/>
  <c r="R226" i="22"/>
  <c r="Q226" i="22"/>
  <c r="P226" i="22"/>
  <c r="O226" i="22"/>
  <c r="N226" i="22"/>
  <c r="M226" i="22"/>
  <c r="L226" i="22"/>
  <c r="K226" i="22"/>
  <c r="J226" i="22"/>
  <c r="J265" i="22" s="1"/>
  <c r="I226" i="22"/>
  <c r="H226" i="22"/>
  <c r="G226" i="22"/>
  <c r="F226" i="22"/>
  <c r="E226" i="22"/>
  <c r="D226" i="22"/>
  <c r="V225" i="22"/>
  <c r="V264" i="22" s="1"/>
  <c r="U225" i="22"/>
  <c r="T225" i="22"/>
  <c r="S225" i="22"/>
  <c r="R225" i="22"/>
  <c r="Q225" i="22"/>
  <c r="P225" i="22"/>
  <c r="O225" i="22"/>
  <c r="O264" i="22" s="1"/>
  <c r="N225" i="22"/>
  <c r="M225" i="22"/>
  <c r="M264" i="22" s="1"/>
  <c r="L225" i="22"/>
  <c r="K225" i="22"/>
  <c r="J225" i="22"/>
  <c r="I225" i="22"/>
  <c r="H225" i="22"/>
  <c r="G225" i="22"/>
  <c r="F225" i="22"/>
  <c r="E225" i="22"/>
  <c r="D225" i="22"/>
  <c r="V224" i="22"/>
  <c r="U224" i="22"/>
  <c r="T224" i="22"/>
  <c r="S224" i="22"/>
  <c r="R224" i="22"/>
  <c r="Q224" i="22"/>
  <c r="P224" i="22"/>
  <c r="P263" i="22" s="1"/>
  <c r="O224" i="22"/>
  <c r="N224" i="22"/>
  <c r="M224" i="22"/>
  <c r="L224" i="22"/>
  <c r="K224" i="22"/>
  <c r="J224" i="22"/>
  <c r="I224" i="22"/>
  <c r="H224" i="22"/>
  <c r="G224" i="22"/>
  <c r="F224" i="22"/>
  <c r="E224" i="22"/>
  <c r="D224" i="22"/>
  <c r="V223" i="22"/>
  <c r="U223" i="22"/>
  <c r="T223" i="22"/>
  <c r="S223" i="22"/>
  <c r="S262" i="22" s="1"/>
  <c r="R223" i="22"/>
  <c r="Q223" i="22"/>
  <c r="P223" i="22"/>
  <c r="O223" i="22"/>
  <c r="N223" i="22"/>
  <c r="M223" i="22"/>
  <c r="L223" i="22"/>
  <c r="K223" i="22"/>
  <c r="J223" i="22"/>
  <c r="I223" i="22"/>
  <c r="H223" i="22"/>
  <c r="G223" i="22"/>
  <c r="F223" i="22"/>
  <c r="E223" i="22"/>
  <c r="D223" i="22"/>
  <c r="V222" i="22"/>
  <c r="V261" i="22" s="1"/>
  <c r="U222" i="22"/>
  <c r="T222" i="22"/>
  <c r="S222" i="22"/>
  <c r="R222" i="22"/>
  <c r="Q222" i="22"/>
  <c r="P222" i="22"/>
  <c r="P261" i="22" s="1"/>
  <c r="O222" i="22"/>
  <c r="N222" i="22"/>
  <c r="M222" i="22"/>
  <c r="L222" i="22"/>
  <c r="K222" i="22"/>
  <c r="J222" i="22"/>
  <c r="I222" i="22"/>
  <c r="H222" i="22"/>
  <c r="G222" i="22"/>
  <c r="F222" i="22"/>
  <c r="F261" i="22" s="1"/>
  <c r="E222" i="22"/>
  <c r="D222" i="22"/>
  <c r="V221" i="22"/>
  <c r="U221" i="22"/>
  <c r="T221" i="22"/>
  <c r="S221" i="22"/>
  <c r="R221" i="22"/>
  <c r="R260" i="22" s="1"/>
  <c r="Q221" i="22"/>
  <c r="P221" i="22"/>
  <c r="O221" i="22"/>
  <c r="N221" i="22"/>
  <c r="M221" i="22"/>
  <c r="M260" i="22" s="1"/>
  <c r="L221" i="22"/>
  <c r="K221" i="22"/>
  <c r="J221" i="22"/>
  <c r="I221" i="22"/>
  <c r="I260" i="22" s="1"/>
  <c r="H221" i="22"/>
  <c r="G221" i="22"/>
  <c r="F221" i="22"/>
  <c r="E221" i="22"/>
  <c r="D221" i="22"/>
  <c r="V220" i="22"/>
  <c r="U220" i="22"/>
  <c r="T220" i="22"/>
  <c r="S220" i="22"/>
  <c r="R220" i="22"/>
  <c r="Q220" i="22"/>
  <c r="P220" i="22"/>
  <c r="O220" i="22"/>
  <c r="N220" i="22"/>
  <c r="M220" i="22"/>
  <c r="L220" i="22"/>
  <c r="L259" i="22" s="1"/>
  <c r="K220" i="22"/>
  <c r="J220" i="22"/>
  <c r="I220" i="22"/>
  <c r="H220" i="22"/>
  <c r="G220" i="22"/>
  <c r="F220" i="22"/>
  <c r="E220" i="22"/>
  <c r="D220" i="22"/>
  <c r="V218" i="22"/>
  <c r="U218" i="22"/>
  <c r="T218" i="22"/>
  <c r="S218" i="22"/>
  <c r="R218" i="22"/>
  <c r="Q218" i="22"/>
  <c r="P218" i="22"/>
  <c r="O218" i="22"/>
  <c r="O257" i="22" s="1"/>
  <c r="N218" i="22"/>
  <c r="M218" i="22"/>
  <c r="L218" i="22"/>
  <c r="K218" i="22"/>
  <c r="J218" i="22"/>
  <c r="I218" i="22"/>
  <c r="H218" i="22"/>
  <c r="G218" i="22"/>
  <c r="F218" i="22"/>
  <c r="E218" i="22"/>
  <c r="D218" i="22"/>
  <c r="V217" i="22"/>
  <c r="U217" i="22"/>
  <c r="T217" i="22"/>
  <c r="S217" i="22"/>
  <c r="R217" i="22"/>
  <c r="R256" i="22" s="1"/>
  <c r="Q217" i="22"/>
  <c r="P217" i="22"/>
  <c r="O217" i="22"/>
  <c r="N217" i="22"/>
  <c r="M217" i="22"/>
  <c r="L217" i="22"/>
  <c r="K217" i="22"/>
  <c r="J217" i="22"/>
  <c r="I217" i="22"/>
  <c r="H217" i="22"/>
  <c r="G217" i="22"/>
  <c r="F217" i="22"/>
  <c r="E217" i="22"/>
  <c r="D217" i="22"/>
  <c r="V216" i="22"/>
  <c r="U216" i="22"/>
  <c r="U255" i="22" s="1"/>
  <c r="T216" i="22"/>
  <c r="S216" i="22"/>
  <c r="R216" i="22"/>
  <c r="Q216" i="22"/>
  <c r="P216" i="22"/>
  <c r="O216" i="22"/>
  <c r="N216" i="22"/>
  <c r="N255" i="22" s="1"/>
  <c r="M216" i="22"/>
  <c r="L216" i="22"/>
  <c r="K216" i="22"/>
  <c r="J216" i="22"/>
  <c r="I216" i="22"/>
  <c r="H216" i="22"/>
  <c r="G216" i="22"/>
  <c r="F216" i="22"/>
  <c r="E216" i="22"/>
  <c r="E255" i="22" s="1"/>
  <c r="D216" i="22"/>
  <c r="V215" i="22"/>
  <c r="U215" i="22"/>
  <c r="T215" i="22"/>
  <c r="S215" i="22"/>
  <c r="R215" i="22"/>
  <c r="Q215" i="22"/>
  <c r="P215" i="22"/>
  <c r="O215" i="22"/>
  <c r="N215" i="22"/>
  <c r="M215" i="22"/>
  <c r="L215" i="22"/>
  <c r="K215" i="22"/>
  <c r="J215" i="22"/>
  <c r="I215" i="22"/>
  <c r="H215" i="22"/>
  <c r="H254" i="22" s="1"/>
  <c r="G215" i="22"/>
  <c r="F215" i="22"/>
  <c r="E215" i="22"/>
  <c r="D215" i="22"/>
  <c r="V214" i="22"/>
  <c r="U214" i="22"/>
  <c r="U253" i="22" s="1"/>
  <c r="T214" i="22"/>
  <c r="S214" i="22"/>
  <c r="R214" i="22"/>
  <c r="Q214" i="22"/>
  <c r="P214" i="22"/>
  <c r="O214" i="22"/>
  <c r="N214" i="22"/>
  <c r="M214" i="22"/>
  <c r="L214" i="22"/>
  <c r="K214" i="22"/>
  <c r="K253" i="22" s="1"/>
  <c r="J214" i="22"/>
  <c r="I214" i="22"/>
  <c r="H214" i="22"/>
  <c r="G214" i="22"/>
  <c r="F214" i="22"/>
  <c r="E214" i="22"/>
  <c r="D214" i="22"/>
  <c r="D253" i="22" s="1"/>
  <c r="V213" i="22"/>
  <c r="U213" i="22"/>
  <c r="T213" i="22"/>
  <c r="S213" i="22"/>
  <c r="S252" i="22" s="1"/>
  <c r="R213" i="22"/>
  <c r="Q213" i="22"/>
  <c r="P213" i="22"/>
  <c r="O213" i="22"/>
  <c r="N213" i="22"/>
  <c r="N252" i="22" s="1"/>
  <c r="M213" i="22"/>
  <c r="L213" i="22"/>
  <c r="K213" i="22"/>
  <c r="J213" i="22"/>
  <c r="I213" i="22"/>
  <c r="H213" i="22"/>
  <c r="G213" i="22"/>
  <c r="G252" i="22" s="1"/>
  <c r="F213" i="22"/>
  <c r="E213" i="22"/>
  <c r="D213" i="22"/>
  <c r="V212" i="22"/>
  <c r="U212" i="22"/>
  <c r="U251" i="22" s="1"/>
  <c r="T212" i="22"/>
  <c r="S212" i="22"/>
  <c r="R212" i="22"/>
  <c r="Q212" i="22"/>
  <c r="Q251" i="22" s="1"/>
  <c r="P212" i="22"/>
  <c r="O212" i="22"/>
  <c r="N212" i="22"/>
  <c r="M212" i="22"/>
  <c r="L212" i="22"/>
  <c r="K212" i="22"/>
  <c r="J212" i="22"/>
  <c r="I212" i="22"/>
  <c r="H212" i="22"/>
  <c r="G212" i="22"/>
  <c r="F212" i="22"/>
  <c r="E212" i="22"/>
  <c r="D212" i="22"/>
  <c r="V211" i="22"/>
  <c r="U211" i="22"/>
  <c r="T211" i="22"/>
  <c r="T250" i="22" s="1"/>
  <c r="S211" i="22"/>
  <c r="R211" i="22"/>
  <c r="Q211" i="22"/>
  <c r="P211" i="22"/>
  <c r="O211" i="22"/>
  <c r="N211" i="22"/>
  <c r="N250" i="22" s="1"/>
  <c r="M211" i="22"/>
  <c r="M250" i="22" s="1"/>
  <c r="L211" i="22"/>
  <c r="K211" i="22"/>
  <c r="J211" i="22"/>
  <c r="I211" i="22"/>
  <c r="H211" i="22"/>
  <c r="G211" i="22"/>
  <c r="G250" i="22" s="1"/>
  <c r="F211" i="22"/>
  <c r="E211" i="22"/>
  <c r="D211" i="22"/>
  <c r="D250" i="22" s="1"/>
  <c r="V210" i="22"/>
  <c r="U210" i="22"/>
  <c r="T210" i="22"/>
  <c r="S210" i="22"/>
  <c r="R210" i="22"/>
  <c r="Q210" i="22"/>
  <c r="Q249" i="22" s="1"/>
  <c r="P210" i="22"/>
  <c r="P249" i="22" s="1"/>
  <c r="O210" i="22"/>
  <c r="N210" i="22"/>
  <c r="M210" i="22"/>
  <c r="L210" i="22"/>
  <c r="L249" i="22" s="1"/>
  <c r="K210" i="22"/>
  <c r="K249" i="22" s="1"/>
  <c r="J210" i="22"/>
  <c r="I210" i="22"/>
  <c r="H210" i="22"/>
  <c r="G210" i="22"/>
  <c r="F210" i="22"/>
  <c r="E210" i="22"/>
  <c r="D210" i="22"/>
  <c r="V209" i="22"/>
  <c r="U209" i="22"/>
  <c r="T209" i="22"/>
  <c r="S209" i="22"/>
  <c r="R209" i="22"/>
  <c r="Q209" i="22"/>
  <c r="P209" i="22"/>
  <c r="O209" i="22"/>
  <c r="N209" i="22"/>
  <c r="M209" i="22"/>
  <c r="L209" i="22"/>
  <c r="K209" i="22"/>
  <c r="J209" i="22"/>
  <c r="J248" i="22" s="1"/>
  <c r="I209" i="22"/>
  <c r="H209" i="22"/>
  <c r="G209" i="22"/>
  <c r="F209" i="22"/>
  <c r="E209" i="22"/>
  <c r="D209" i="22"/>
  <c r="V208" i="22"/>
  <c r="U208" i="22"/>
  <c r="T208" i="22"/>
  <c r="S208" i="22"/>
  <c r="R208" i="22"/>
  <c r="Q208" i="22"/>
  <c r="P208" i="22"/>
  <c r="O208" i="22"/>
  <c r="N208" i="22"/>
  <c r="M208" i="22"/>
  <c r="M247" i="22" s="1"/>
  <c r="L208" i="22"/>
  <c r="K208" i="22"/>
  <c r="J208" i="22"/>
  <c r="I208" i="22"/>
  <c r="H208" i="22"/>
  <c r="G208" i="22"/>
  <c r="F208" i="22"/>
  <c r="E208" i="22"/>
  <c r="D208" i="22"/>
  <c r="V207" i="22"/>
  <c r="U207" i="22"/>
  <c r="T207" i="22"/>
  <c r="S207" i="22"/>
  <c r="R207" i="22"/>
  <c r="Q207" i="22"/>
  <c r="P207" i="22"/>
  <c r="O207" i="22"/>
  <c r="N207" i="22"/>
  <c r="M207" i="22"/>
  <c r="L207" i="22"/>
  <c r="K207" i="22"/>
  <c r="J207" i="22"/>
  <c r="I207" i="22"/>
  <c r="H207" i="22"/>
  <c r="G207" i="22"/>
  <c r="F207" i="22"/>
  <c r="E207" i="22"/>
  <c r="D207" i="22"/>
  <c r="S197" i="22"/>
  <c r="P197" i="22"/>
  <c r="K197" i="22"/>
  <c r="V196" i="22"/>
  <c r="L196" i="22"/>
  <c r="I195" i="22"/>
  <c r="S194" i="22"/>
  <c r="R194" i="22"/>
  <c r="O194" i="22"/>
  <c r="H194" i="22"/>
  <c r="G194" i="22"/>
  <c r="M193" i="22"/>
  <c r="H193" i="22"/>
  <c r="U191" i="22"/>
  <c r="K191" i="22"/>
  <c r="J191" i="22"/>
  <c r="E191" i="22"/>
  <c r="P190" i="22"/>
  <c r="Q189" i="22"/>
  <c r="K189" i="22"/>
  <c r="R187" i="22"/>
  <c r="N187" i="22"/>
  <c r="M187" i="22"/>
  <c r="T186" i="22"/>
  <c r="J186" i="22"/>
  <c r="R185" i="22"/>
  <c r="H185" i="22"/>
  <c r="J184" i="22"/>
  <c r="G184" i="22"/>
  <c r="U183" i="22"/>
  <c r="Q182" i="22"/>
  <c r="F182" i="22"/>
  <c r="S180" i="22"/>
  <c r="I180" i="22"/>
  <c r="V179" i="22"/>
  <c r="K179" i="22"/>
  <c r="F179" i="22"/>
  <c r="M177" i="22"/>
  <c r="U176" i="22"/>
  <c r="P176" i="22"/>
  <c r="O176" i="22"/>
  <c r="D176" i="22"/>
  <c r="R175" i="22"/>
  <c r="K174" i="22"/>
  <c r="M173" i="22"/>
  <c r="I173" i="22"/>
  <c r="D173" i="22"/>
  <c r="K172" i="22"/>
  <c r="F172" i="22"/>
  <c r="T171" i="22"/>
  <c r="R170" i="22"/>
  <c r="O170" i="22"/>
  <c r="T169" i="22"/>
  <c r="V158" i="22"/>
  <c r="U158" i="22"/>
  <c r="T158" i="22"/>
  <c r="T197" i="22" s="1"/>
  <c r="S158" i="22"/>
  <c r="R158" i="22"/>
  <c r="R197" i="22" s="1"/>
  <c r="Q158" i="22"/>
  <c r="Q197" i="22" s="1"/>
  <c r="P158" i="22"/>
  <c r="O158" i="22"/>
  <c r="N158" i="22"/>
  <c r="M158" i="22"/>
  <c r="M197" i="22" s="1"/>
  <c r="L158" i="22"/>
  <c r="K158" i="22"/>
  <c r="J158" i="22"/>
  <c r="I158" i="22"/>
  <c r="H158" i="22"/>
  <c r="H197" i="22" s="1"/>
  <c r="G158" i="22"/>
  <c r="F158" i="22"/>
  <c r="E158" i="22"/>
  <c r="D158" i="22"/>
  <c r="D197" i="22" s="1"/>
  <c r="V157" i="22"/>
  <c r="U157" i="22"/>
  <c r="U196" i="22" s="1"/>
  <c r="T157" i="22"/>
  <c r="T196" i="22" s="1"/>
  <c r="S157" i="22"/>
  <c r="S196" i="22" s="1"/>
  <c r="R157" i="22"/>
  <c r="Q157" i="22"/>
  <c r="P157" i="22"/>
  <c r="O157" i="22"/>
  <c r="N157" i="22"/>
  <c r="M157" i="22"/>
  <c r="L157" i="22"/>
  <c r="K157" i="22"/>
  <c r="K196" i="22" s="1"/>
  <c r="J157" i="22"/>
  <c r="I157" i="22"/>
  <c r="H157" i="22"/>
  <c r="G157" i="22"/>
  <c r="G196" i="22" s="1"/>
  <c r="F157" i="22"/>
  <c r="F196" i="22" s="1"/>
  <c r="E157" i="22"/>
  <c r="E196" i="22" s="1"/>
  <c r="D157" i="22"/>
  <c r="D196" i="22" s="1"/>
  <c r="V156" i="22"/>
  <c r="V195" i="22" s="1"/>
  <c r="U156" i="22"/>
  <c r="T156" i="22"/>
  <c r="S156" i="22"/>
  <c r="S195" i="22" s="1"/>
  <c r="R156" i="22"/>
  <c r="Q156" i="22"/>
  <c r="P156" i="22"/>
  <c r="O156" i="22"/>
  <c r="N156" i="22"/>
  <c r="N195" i="22" s="1"/>
  <c r="M156" i="22"/>
  <c r="L156" i="22"/>
  <c r="K156" i="22"/>
  <c r="J156" i="22"/>
  <c r="J195" i="22" s="1"/>
  <c r="I156" i="22"/>
  <c r="H156" i="22"/>
  <c r="G156" i="22"/>
  <c r="G195" i="22" s="1"/>
  <c r="F156" i="22"/>
  <c r="F195" i="22" s="1"/>
  <c r="E156" i="22"/>
  <c r="D156" i="22"/>
  <c r="V155" i="22"/>
  <c r="U155" i="22"/>
  <c r="U194" i="22" s="1"/>
  <c r="T155" i="22"/>
  <c r="T194" i="22" s="1"/>
  <c r="S155" i="22"/>
  <c r="R155" i="22"/>
  <c r="Q155" i="22"/>
  <c r="Q194" i="22" s="1"/>
  <c r="P155" i="22"/>
  <c r="P194" i="22" s="1"/>
  <c r="O155" i="22"/>
  <c r="N155" i="22"/>
  <c r="N194" i="22" s="1"/>
  <c r="M155" i="22"/>
  <c r="M194" i="22" s="1"/>
  <c r="L155" i="22"/>
  <c r="L194" i="22" s="1"/>
  <c r="K155" i="22"/>
  <c r="K194" i="22" s="1"/>
  <c r="J155" i="22"/>
  <c r="J194" i="22" s="1"/>
  <c r="I155" i="22"/>
  <c r="I194" i="22" s="1"/>
  <c r="H155" i="22"/>
  <c r="G155" i="22"/>
  <c r="F155" i="22"/>
  <c r="F194" i="22" s="1"/>
  <c r="E155" i="22"/>
  <c r="E194" i="22" s="1"/>
  <c r="D155" i="22"/>
  <c r="D194" i="22" s="1"/>
  <c r="V154" i="22"/>
  <c r="U154" i="22"/>
  <c r="U193" i="22" s="1"/>
  <c r="T154" i="22"/>
  <c r="T193" i="22" s="1"/>
  <c r="S154" i="22"/>
  <c r="R154" i="22"/>
  <c r="Q154" i="22"/>
  <c r="P154" i="22"/>
  <c r="P193" i="22" s="1"/>
  <c r="O154" i="22"/>
  <c r="O193" i="22" s="1"/>
  <c r="N154" i="22"/>
  <c r="N193" i="22" s="1"/>
  <c r="M154" i="22"/>
  <c r="L154" i="22"/>
  <c r="L193" i="22" s="1"/>
  <c r="K154" i="22"/>
  <c r="J154" i="22"/>
  <c r="I154" i="22"/>
  <c r="H154" i="22"/>
  <c r="G154" i="22"/>
  <c r="F154" i="22"/>
  <c r="E154" i="22"/>
  <c r="D154" i="22"/>
  <c r="D193" i="22" s="1"/>
  <c r="V153" i="22"/>
  <c r="U153" i="22"/>
  <c r="T153" i="22"/>
  <c r="S153" i="22"/>
  <c r="S192" i="22" s="1"/>
  <c r="R153" i="22"/>
  <c r="R192" i="22" s="1"/>
  <c r="Q153" i="22"/>
  <c r="P153" i="22"/>
  <c r="P192" i="22" s="1"/>
  <c r="O153" i="22"/>
  <c r="O192" i="22" s="1"/>
  <c r="N153" i="22"/>
  <c r="M153" i="22"/>
  <c r="L153" i="22"/>
  <c r="L192" i="22" s="1"/>
  <c r="K153" i="22"/>
  <c r="J153" i="22"/>
  <c r="I153" i="22"/>
  <c r="H153" i="22"/>
  <c r="G153" i="22"/>
  <c r="G192" i="22" s="1"/>
  <c r="F153" i="22"/>
  <c r="E153" i="22"/>
  <c r="D153" i="22"/>
  <c r="V152" i="22"/>
  <c r="V191" i="22" s="1"/>
  <c r="U152" i="22"/>
  <c r="T152" i="22"/>
  <c r="T191" i="22" s="1"/>
  <c r="S152" i="22"/>
  <c r="S191" i="22" s="1"/>
  <c r="R152" i="22"/>
  <c r="R191" i="22" s="1"/>
  <c r="Q152" i="22"/>
  <c r="P152" i="22"/>
  <c r="O152" i="22"/>
  <c r="N152" i="22"/>
  <c r="M152" i="22"/>
  <c r="L152" i="22"/>
  <c r="K152" i="22"/>
  <c r="J152" i="22"/>
  <c r="I152" i="22"/>
  <c r="H152" i="22"/>
  <c r="G152" i="22"/>
  <c r="F152" i="22"/>
  <c r="F191" i="22" s="1"/>
  <c r="E152" i="22"/>
  <c r="D152" i="22"/>
  <c r="D191" i="22" s="1"/>
  <c r="V151" i="22"/>
  <c r="V190" i="22" s="1"/>
  <c r="U151" i="22"/>
  <c r="U190" i="22" s="1"/>
  <c r="T151" i="22"/>
  <c r="S151" i="22"/>
  <c r="R151" i="22"/>
  <c r="R190" i="22" s="1"/>
  <c r="Q151" i="22"/>
  <c r="P151" i="22"/>
  <c r="O151" i="22"/>
  <c r="N151" i="22"/>
  <c r="M151" i="22"/>
  <c r="M190" i="22" s="1"/>
  <c r="L151" i="22"/>
  <c r="K151" i="22"/>
  <c r="J151" i="22"/>
  <c r="I151" i="22"/>
  <c r="I190" i="22" s="1"/>
  <c r="H151" i="22"/>
  <c r="H190" i="22" s="1"/>
  <c r="G151" i="22"/>
  <c r="G190" i="22" s="1"/>
  <c r="F151" i="22"/>
  <c r="F190" i="22" s="1"/>
  <c r="E151" i="22"/>
  <c r="E190" i="22" s="1"/>
  <c r="D151" i="22"/>
  <c r="V150" i="22"/>
  <c r="U150" i="22"/>
  <c r="U189" i="22" s="1"/>
  <c r="T150" i="22"/>
  <c r="S150" i="22"/>
  <c r="R150" i="22"/>
  <c r="Q150" i="22"/>
  <c r="P150" i="22"/>
  <c r="P189" i="22" s="1"/>
  <c r="O150" i="22"/>
  <c r="N150" i="22"/>
  <c r="M150" i="22"/>
  <c r="L150" i="22"/>
  <c r="L189" i="22" s="1"/>
  <c r="K150" i="22"/>
  <c r="J150" i="22"/>
  <c r="I150" i="22"/>
  <c r="I189" i="22" s="1"/>
  <c r="H150" i="22"/>
  <c r="H189" i="22" s="1"/>
  <c r="G150" i="22"/>
  <c r="F150" i="22"/>
  <c r="E150" i="22"/>
  <c r="D150" i="22"/>
  <c r="V149" i="22"/>
  <c r="U149" i="22"/>
  <c r="T149" i="22"/>
  <c r="S149" i="22"/>
  <c r="S188" i="22" s="1"/>
  <c r="R149" i="22"/>
  <c r="Q149" i="22"/>
  <c r="P149" i="22"/>
  <c r="O149" i="22"/>
  <c r="O188" i="22" s="1"/>
  <c r="N149" i="22"/>
  <c r="N188" i="22" s="1"/>
  <c r="M149" i="22"/>
  <c r="M188" i="22" s="1"/>
  <c r="L149" i="22"/>
  <c r="L188" i="22" s="1"/>
  <c r="K149" i="22"/>
  <c r="K188" i="22" s="1"/>
  <c r="J149" i="22"/>
  <c r="I149" i="22"/>
  <c r="H149" i="22"/>
  <c r="H188" i="22" s="1"/>
  <c r="G149" i="22"/>
  <c r="F149" i="22"/>
  <c r="F188" i="22" s="1"/>
  <c r="E149" i="22"/>
  <c r="D149" i="22"/>
  <c r="D188" i="22" s="1"/>
  <c r="V148" i="22"/>
  <c r="V187" i="22" s="1"/>
  <c r="U148" i="22"/>
  <c r="T148" i="22"/>
  <c r="S148" i="22"/>
  <c r="R148" i="22"/>
  <c r="Q148" i="22"/>
  <c r="Q187" i="22" s="1"/>
  <c r="P148" i="22"/>
  <c r="P187" i="22" s="1"/>
  <c r="O148" i="22"/>
  <c r="O187" i="22" s="1"/>
  <c r="N148" i="22"/>
  <c r="M148" i="22"/>
  <c r="L148" i="22"/>
  <c r="K148" i="22"/>
  <c r="K187" i="22" s="1"/>
  <c r="J148" i="22"/>
  <c r="I148" i="22"/>
  <c r="H148" i="22"/>
  <c r="G148" i="22"/>
  <c r="G187" i="22" s="1"/>
  <c r="F148" i="22"/>
  <c r="F187" i="22" s="1"/>
  <c r="E148" i="22"/>
  <c r="D148" i="22"/>
  <c r="V147" i="22"/>
  <c r="U147" i="22"/>
  <c r="U186" i="22" s="1"/>
  <c r="T147" i="22"/>
  <c r="S147" i="22"/>
  <c r="S186" i="22" s="1"/>
  <c r="R147" i="22"/>
  <c r="R186" i="22" s="1"/>
  <c r="Q147" i="22"/>
  <c r="Q186" i="22" s="1"/>
  <c r="P147" i="22"/>
  <c r="O147" i="22"/>
  <c r="N147" i="22"/>
  <c r="N186" i="22" s="1"/>
  <c r="M147" i="22"/>
  <c r="L147" i="22"/>
  <c r="K147" i="22"/>
  <c r="J147" i="22"/>
  <c r="I147" i="22"/>
  <c r="I186" i="22" s="1"/>
  <c r="H147" i="22"/>
  <c r="G147" i="22"/>
  <c r="F147" i="22"/>
  <c r="E147" i="22"/>
  <c r="E186" i="22" s="1"/>
  <c r="D147" i="22"/>
  <c r="D186" i="22" s="1"/>
  <c r="V146" i="22"/>
  <c r="U146" i="22"/>
  <c r="U185" i="22" s="1"/>
  <c r="T146" i="22"/>
  <c r="T185" i="22" s="1"/>
  <c r="S146" i="22"/>
  <c r="R146" i="22"/>
  <c r="Q146" i="22"/>
  <c r="Q185" i="22" s="1"/>
  <c r="P146" i="22"/>
  <c r="O146" i="22"/>
  <c r="N146" i="22"/>
  <c r="M146" i="22"/>
  <c r="L146" i="22"/>
  <c r="L185" i="22" s="1"/>
  <c r="K146" i="22"/>
  <c r="J146" i="22"/>
  <c r="I146" i="22"/>
  <c r="H146" i="22"/>
  <c r="G146" i="22"/>
  <c r="G185" i="22" s="1"/>
  <c r="F146" i="22"/>
  <c r="F185" i="22" s="1"/>
  <c r="E146" i="22"/>
  <c r="E185" i="22" s="1"/>
  <c r="D146" i="22"/>
  <c r="D185" i="22" s="1"/>
  <c r="V145" i="22"/>
  <c r="U145" i="22"/>
  <c r="T145" i="22"/>
  <c r="T184" i="22" s="1"/>
  <c r="S145" i="22"/>
  <c r="S184" i="22" s="1"/>
  <c r="R145" i="22"/>
  <c r="Q145" i="22"/>
  <c r="P145" i="22"/>
  <c r="O145" i="22"/>
  <c r="O184" i="22" s="1"/>
  <c r="N145" i="22"/>
  <c r="M145" i="22"/>
  <c r="L145" i="22"/>
  <c r="K145" i="22"/>
  <c r="K184" i="22" s="1"/>
  <c r="J145" i="22"/>
  <c r="I145" i="22"/>
  <c r="I184" i="22" s="1"/>
  <c r="H145" i="22"/>
  <c r="H184" i="22" s="1"/>
  <c r="G145" i="22"/>
  <c r="F145" i="22"/>
  <c r="E145" i="22"/>
  <c r="D145" i="22"/>
  <c r="D184" i="22" s="1"/>
  <c r="V144" i="22"/>
  <c r="V183" i="22" s="1"/>
  <c r="U144" i="22"/>
  <c r="T144" i="22"/>
  <c r="S144" i="22"/>
  <c r="R144" i="22"/>
  <c r="R183" i="22" s="1"/>
  <c r="Q144" i="22"/>
  <c r="P144" i="22"/>
  <c r="O144" i="22"/>
  <c r="N144" i="22"/>
  <c r="N183" i="22" s="1"/>
  <c r="M144" i="22"/>
  <c r="M183" i="22" s="1"/>
  <c r="L144" i="22"/>
  <c r="K144" i="22"/>
  <c r="K183" i="22" s="1"/>
  <c r="J144" i="22"/>
  <c r="J183" i="22" s="1"/>
  <c r="I144" i="22"/>
  <c r="H144" i="22"/>
  <c r="G144" i="22"/>
  <c r="G183" i="22" s="1"/>
  <c r="F144" i="22"/>
  <c r="E144" i="22"/>
  <c r="D144" i="22"/>
  <c r="V143" i="22"/>
  <c r="U143" i="22"/>
  <c r="U182" i="22" s="1"/>
  <c r="T143" i="22"/>
  <c r="S143" i="22"/>
  <c r="R143" i="22"/>
  <c r="Q143" i="22"/>
  <c r="P143" i="22"/>
  <c r="P182" i="22" s="1"/>
  <c r="O143" i="22"/>
  <c r="O182" i="22" s="1"/>
  <c r="N143" i="22"/>
  <c r="N182" i="22" s="1"/>
  <c r="M143" i="22"/>
  <c r="M182" i="22" s="1"/>
  <c r="L143" i="22"/>
  <c r="K143" i="22"/>
  <c r="J143" i="22"/>
  <c r="J182" i="22" s="1"/>
  <c r="I143" i="22"/>
  <c r="H143" i="22"/>
  <c r="G143" i="22"/>
  <c r="F143" i="22"/>
  <c r="E143" i="22"/>
  <c r="E182" i="22" s="1"/>
  <c r="D143" i="22"/>
  <c r="V141" i="22"/>
  <c r="U141" i="22"/>
  <c r="T141" i="22"/>
  <c r="T180" i="22" s="1"/>
  <c r="S141" i="22"/>
  <c r="R141" i="22"/>
  <c r="R180" i="22" s="1"/>
  <c r="Q141" i="22"/>
  <c r="Q180" i="22" s="1"/>
  <c r="P141" i="22"/>
  <c r="P180" i="22" s="1"/>
  <c r="O141" i="22"/>
  <c r="N141" i="22"/>
  <c r="M141" i="22"/>
  <c r="M180" i="22" s="1"/>
  <c r="L141" i="22"/>
  <c r="K141" i="22"/>
  <c r="J141" i="22"/>
  <c r="I141" i="22"/>
  <c r="H141" i="22"/>
  <c r="H180" i="22" s="1"/>
  <c r="G141" i="22"/>
  <c r="F141" i="22"/>
  <c r="E141" i="22"/>
  <c r="D141" i="22"/>
  <c r="D180" i="22" s="1"/>
  <c r="V140" i="22"/>
  <c r="U140" i="22"/>
  <c r="T140" i="22"/>
  <c r="T179" i="22" s="1"/>
  <c r="S140" i="22"/>
  <c r="S179" i="22" s="1"/>
  <c r="R140" i="22"/>
  <c r="Q140" i="22"/>
  <c r="P140" i="22"/>
  <c r="P179" i="22" s="1"/>
  <c r="O140" i="22"/>
  <c r="O179" i="22" s="1"/>
  <c r="N140" i="22"/>
  <c r="M140" i="22"/>
  <c r="L140" i="22"/>
  <c r="K140" i="22"/>
  <c r="J140" i="22"/>
  <c r="I140" i="22"/>
  <c r="H140" i="22"/>
  <c r="G140" i="22"/>
  <c r="G179" i="22" s="1"/>
  <c r="F140" i="22"/>
  <c r="E140" i="22"/>
  <c r="E179" i="22" s="1"/>
  <c r="D140" i="22"/>
  <c r="D179" i="22" s="1"/>
  <c r="V139" i="22"/>
  <c r="V178" i="22" s="1"/>
  <c r="U139" i="22"/>
  <c r="T139" i="22"/>
  <c r="S139" i="22"/>
  <c r="S178" i="22" s="1"/>
  <c r="R139" i="22"/>
  <c r="Q139" i="22"/>
  <c r="Q178" i="22" s="1"/>
  <c r="P139" i="22"/>
  <c r="O139" i="22"/>
  <c r="N139" i="22"/>
  <c r="N178" i="22" s="1"/>
  <c r="M139" i="22"/>
  <c r="L139" i="22"/>
  <c r="K139" i="22"/>
  <c r="J139" i="22"/>
  <c r="J178" i="22" s="1"/>
  <c r="I139" i="22"/>
  <c r="I178" i="22" s="1"/>
  <c r="H139" i="22"/>
  <c r="H178" i="22" s="1"/>
  <c r="G139" i="22"/>
  <c r="G178" i="22" s="1"/>
  <c r="F139" i="22"/>
  <c r="F178" i="22" s="1"/>
  <c r="E139" i="22"/>
  <c r="D139" i="22"/>
  <c r="V138" i="22"/>
  <c r="V177" i="22" s="1"/>
  <c r="U138" i="22"/>
  <c r="T138" i="22"/>
  <c r="S138" i="22"/>
  <c r="R138" i="22"/>
  <c r="Q138" i="22"/>
  <c r="Q177" i="22" s="1"/>
  <c r="P138" i="22"/>
  <c r="O138" i="22"/>
  <c r="N138" i="22"/>
  <c r="M138" i="22"/>
  <c r="L138" i="22"/>
  <c r="L177" i="22" s="1"/>
  <c r="K138" i="22"/>
  <c r="K177" i="22" s="1"/>
  <c r="J138" i="22"/>
  <c r="J177" i="22" s="1"/>
  <c r="I138" i="22"/>
  <c r="I177" i="22" s="1"/>
  <c r="H138" i="22"/>
  <c r="G138" i="22"/>
  <c r="F138" i="22"/>
  <c r="F177" i="22" s="1"/>
  <c r="E138" i="22"/>
  <c r="D138" i="22"/>
  <c r="V137" i="22"/>
  <c r="U137" i="22"/>
  <c r="T137" i="22"/>
  <c r="T176" i="22" s="1"/>
  <c r="S137" i="22"/>
  <c r="R137" i="22"/>
  <c r="Q137" i="22"/>
  <c r="P137" i="22"/>
  <c r="O137" i="22"/>
  <c r="N137" i="22"/>
  <c r="N176" i="22" s="1"/>
  <c r="M137" i="22"/>
  <c r="M176" i="22" s="1"/>
  <c r="L137" i="22"/>
  <c r="L176" i="22" s="1"/>
  <c r="K137" i="22"/>
  <c r="J137" i="22"/>
  <c r="I137" i="22"/>
  <c r="I176" i="22" s="1"/>
  <c r="H137" i="22"/>
  <c r="G137" i="22"/>
  <c r="F137" i="22"/>
  <c r="E137" i="22"/>
  <c r="E176" i="22" s="1"/>
  <c r="D137" i="22"/>
  <c r="V136" i="22"/>
  <c r="U136" i="22"/>
  <c r="T136" i="22"/>
  <c r="S136" i="22"/>
  <c r="S175" i="22" s="1"/>
  <c r="R136" i="22"/>
  <c r="Q136" i="22"/>
  <c r="P136" i="22"/>
  <c r="O136" i="22"/>
  <c r="O175" i="22" s="1"/>
  <c r="N136" i="22"/>
  <c r="M136" i="22"/>
  <c r="L136" i="22"/>
  <c r="L175" i="22" s="1"/>
  <c r="K136" i="22"/>
  <c r="J136" i="22"/>
  <c r="I136" i="22"/>
  <c r="H136" i="22"/>
  <c r="G136" i="22"/>
  <c r="G175" i="22" s="1"/>
  <c r="F136" i="22"/>
  <c r="E136" i="22"/>
  <c r="D136" i="22"/>
  <c r="V135" i="22"/>
  <c r="V174" i="22" s="1"/>
  <c r="U135" i="22"/>
  <c r="U174" i="22" s="1"/>
  <c r="T135" i="22"/>
  <c r="S135" i="22"/>
  <c r="S174" i="22" s="1"/>
  <c r="R135" i="22"/>
  <c r="R174" i="22" s="1"/>
  <c r="Q135" i="22"/>
  <c r="P135" i="22"/>
  <c r="O135" i="22"/>
  <c r="O174" i="22" s="1"/>
  <c r="N135" i="22"/>
  <c r="N174" i="22" s="1"/>
  <c r="M135" i="22"/>
  <c r="L135" i="22"/>
  <c r="K135" i="22"/>
  <c r="J135" i="22"/>
  <c r="J174" i="22" s="1"/>
  <c r="I135" i="22"/>
  <c r="H135" i="22"/>
  <c r="G135" i="22"/>
  <c r="F135" i="22"/>
  <c r="F174" i="22" s="1"/>
  <c r="E135" i="22"/>
  <c r="E174" i="22" s="1"/>
  <c r="D135" i="22"/>
  <c r="D174" i="22" s="1"/>
  <c r="V134" i="22"/>
  <c r="V173" i="22" s="1"/>
  <c r="U134" i="22"/>
  <c r="U173" i="22" s="1"/>
  <c r="T134" i="22"/>
  <c r="S134" i="22"/>
  <c r="R134" i="22"/>
  <c r="R173" i="22" s="1"/>
  <c r="Q134" i="22"/>
  <c r="P134" i="22"/>
  <c r="P173" i="22" s="1"/>
  <c r="O134" i="22"/>
  <c r="N134" i="22"/>
  <c r="N173" i="22" s="1"/>
  <c r="M134" i="22"/>
  <c r="L134" i="22"/>
  <c r="K134" i="22"/>
  <c r="J134" i="22"/>
  <c r="I134" i="22"/>
  <c r="H134" i="22"/>
  <c r="H173" i="22" s="1"/>
  <c r="G134" i="22"/>
  <c r="G173" i="22" s="1"/>
  <c r="F134" i="22"/>
  <c r="F173" i="22" s="1"/>
  <c r="E134" i="22"/>
  <c r="E173" i="22" s="1"/>
  <c r="D134" i="22"/>
  <c r="V133" i="22"/>
  <c r="U133" i="22"/>
  <c r="U172" i="22" s="1"/>
  <c r="T133" i="22"/>
  <c r="S133" i="22"/>
  <c r="R133" i="22"/>
  <c r="Q133" i="22"/>
  <c r="Q172" i="22" s="1"/>
  <c r="P133" i="22"/>
  <c r="P172" i="22" s="1"/>
  <c r="O133" i="22"/>
  <c r="N133" i="22"/>
  <c r="M133" i="22"/>
  <c r="L133" i="22"/>
  <c r="L172" i="22" s="1"/>
  <c r="K133" i="22"/>
  <c r="J133" i="22"/>
  <c r="J172" i="22" s="1"/>
  <c r="I133" i="22"/>
  <c r="H133" i="22"/>
  <c r="H172" i="22" s="1"/>
  <c r="G133" i="22"/>
  <c r="F133" i="22"/>
  <c r="E133" i="22"/>
  <c r="D133" i="22"/>
  <c r="V132" i="22"/>
  <c r="U132" i="22"/>
  <c r="T132" i="22"/>
  <c r="S132" i="22"/>
  <c r="S171" i="22" s="1"/>
  <c r="R132" i="22"/>
  <c r="Q132" i="22"/>
  <c r="P132" i="22"/>
  <c r="O132" i="22"/>
  <c r="O171" i="22" s="1"/>
  <c r="N132" i="22"/>
  <c r="N171" i="22" s="1"/>
  <c r="M132" i="22"/>
  <c r="L132" i="22"/>
  <c r="K132" i="22"/>
  <c r="K171" i="22" s="1"/>
  <c r="J132" i="22"/>
  <c r="I132" i="22"/>
  <c r="H132" i="22"/>
  <c r="G132" i="22"/>
  <c r="F132" i="22"/>
  <c r="E132" i="22"/>
  <c r="D132" i="22"/>
  <c r="V131" i="22"/>
  <c r="V170" i="22" s="1"/>
  <c r="U131" i="22"/>
  <c r="T131" i="22"/>
  <c r="S131" i="22"/>
  <c r="R131" i="22"/>
  <c r="Q131" i="22"/>
  <c r="Q170" i="22" s="1"/>
  <c r="P131" i="22"/>
  <c r="P170" i="22" s="1"/>
  <c r="O131" i="22"/>
  <c r="N131" i="22"/>
  <c r="N170" i="22" s="1"/>
  <c r="M131" i="22"/>
  <c r="L131" i="22"/>
  <c r="K131" i="22"/>
  <c r="K170" i="22" s="1"/>
  <c r="J131" i="22"/>
  <c r="J170" i="22" s="1"/>
  <c r="I131" i="22"/>
  <c r="H131" i="22"/>
  <c r="G131" i="22"/>
  <c r="F131" i="22"/>
  <c r="F170" i="22" s="1"/>
  <c r="E131" i="22"/>
  <c r="D131" i="22"/>
  <c r="V130" i="22"/>
  <c r="U130" i="22"/>
  <c r="U169" i="22" s="1"/>
  <c r="T130" i="22"/>
  <c r="S130" i="22"/>
  <c r="S169" i="22" s="1"/>
  <c r="R130" i="22"/>
  <c r="Q130" i="22"/>
  <c r="P130" i="22"/>
  <c r="O130" i="22"/>
  <c r="N130" i="22"/>
  <c r="M130" i="22"/>
  <c r="L130" i="22"/>
  <c r="L169" i="22" s="1"/>
  <c r="K130" i="22"/>
  <c r="J130" i="22"/>
  <c r="I130" i="22"/>
  <c r="H130" i="22"/>
  <c r="G130" i="22"/>
  <c r="F130" i="22"/>
  <c r="E130" i="22"/>
  <c r="E169" i="22" s="1"/>
  <c r="D130" i="22"/>
  <c r="D169" i="22" s="1"/>
  <c r="Q119" i="22"/>
  <c r="I119" i="22"/>
  <c r="F119" i="22"/>
  <c r="D119" i="22"/>
  <c r="T118" i="22"/>
  <c r="S118" i="22"/>
  <c r="O118" i="22"/>
  <c r="L118" i="22"/>
  <c r="T117" i="22"/>
  <c r="Q117" i="22"/>
  <c r="M117" i="22"/>
  <c r="J117" i="22"/>
  <c r="D117" i="22"/>
  <c r="S116" i="22"/>
  <c r="R116" i="22"/>
  <c r="K116" i="22"/>
  <c r="J116" i="22"/>
  <c r="G116" i="22"/>
  <c r="F116" i="22"/>
  <c r="E116" i="22"/>
  <c r="U115" i="22"/>
  <c r="P115" i="22"/>
  <c r="M115" i="22"/>
  <c r="L115" i="22"/>
  <c r="P114" i="22"/>
  <c r="O114" i="22"/>
  <c r="K114" i="22"/>
  <c r="S113" i="22"/>
  <c r="K113" i="22"/>
  <c r="V112" i="22"/>
  <c r="T112" i="22"/>
  <c r="S112" i="22"/>
  <c r="N112" i="22"/>
  <c r="I112" i="22"/>
  <c r="F112" i="22"/>
  <c r="Q111" i="22"/>
  <c r="H111" i="22"/>
  <c r="D111" i="22"/>
  <c r="E110" i="22"/>
  <c r="R109" i="22"/>
  <c r="O109" i="22"/>
  <c r="L109" i="22"/>
  <c r="H109" i="22"/>
  <c r="G109" i="22"/>
  <c r="J108" i="22"/>
  <c r="E108" i="22"/>
  <c r="M107" i="22"/>
  <c r="E107" i="22"/>
  <c r="R106" i="22"/>
  <c r="P106" i="22"/>
  <c r="O106" i="22"/>
  <c r="H106" i="22"/>
  <c r="G106" i="22"/>
  <c r="S105" i="22"/>
  <c r="K105" i="22"/>
  <c r="J105" i="22"/>
  <c r="I105" i="22"/>
  <c r="V104" i="22"/>
  <c r="V103" i="22"/>
  <c r="U103" i="22"/>
  <c r="T103" i="22"/>
  <c r="S103" i="22"/>
  <c r="R103" i="22"/>
  <c r="Q103" i="22"/>
  <c r="P103" i="22"/>
  <c r="O103" i="22"/>
  <c r="N103" i="22"/>
  <c r="M103" i="22"/>
  <c r="L103" i="22"/>
  <c r="K103" i="22"/>
  <c r="J103" i="22"/>
  <c r="I103" i="22"/>
  <c r="H103" i="22"/>
  <c r="G103" i="22"/>
  <c r="F103" i="22"/>
  <c r="E103" i="22"/>
  <c r="D103" i="22"/>
  <c r="S102" i="22"/>
  <c r="Q102" i="22"/>
  <c r="I102" i="22"/>
  <c r="T101" i="22"/>
  <c r="P101" i="22"/>
  <c r="M101" i="22"/>
  <c r="L101" i="22"/>
  <c r="G101" i="22"/>
  <c r="D101" i="22"/>
  <c r="V100" i="22"/>
  <c r="O100" i="22"/>
  <c r="I100" i="22"/>
  <c r="F100" i="22"/>
  <c r="D100" i="22"/>
  <c r="M99" i="22"/>
  <c r="Q98" i="22"/>
  <c r="P98" i="22"/>
  <c r="M98" i="22"/>
  <c r="J98" i="22"/>
  <c r="E98" i="22"/>
  <c r="K97" i="22"/>
  <c r="V96" i="22"/>
  <c r="Q96" i="22"/>
  <c r="U95" i="22"/>
  <c r="T95" i="22"/>
  <c r="N95" i="22"/>
  <c r="F95" i="22"/>
  <c r="Q94" i="22"/>
  <c r="L94" i="22"/>
  <c r="I94" i="22"/>
  <c r="G94" i="22"/>
  <c r="D94" i="22"/>
  <c r="T93" i="22"/>
  <c r="G93" i="22"/>
  <c r="D93" i="22"/>
  <c r="U92" i="22"/>
  <c r="R92" i="22"/>
  <c r="O92" i="22"/>
  <c r="N92" i="22"/>
  <c r="L92" i="22"/>
  <c r="G92" i="22"/>
  <c r="Q91" i="22"/>
  <c r="P91" i="22"/>
  <c r="M91" i="22"/>
  <c r="J91" i="22"/>
  <c r="E91" i="22"/>
  <c r="V80" i="22"/>
  <c r="V119" i="22" s="1"/>
  <c r="U80" i="22"/>
  <c r="T80" i="22"/>
  <c r="T119" i="22" s="1"/>
  <c r="S80" i="22"/>
  <c r="S119" i="22" s="1"/>
  <c r="R80" i="22"/>
  <c r="Q80" i="22"/>
  <c r="P80" i="22"/>
  <c r="P119" i="22" s="1"/>
  <c r="O80" i="22"/>
  <c r="N80" i="22"/>
  <c r="M80" i="22"/>
  <c r="L80" i="22"/>
  <c r="K80" i="22"/>
  <c r="K119" i="22" s="1"/>
  <c r="J80" i="22"/>
  <c r="I80" i="22"/>
  <c r="H80" i="22"/>
  <c r="H119" i="22" s="1"/>
  <c r="G80" i="22"/>
  <c r="F80" i="22"/>
  <c r="E80" i="22"/>
  <c r="D80" i="22"/>
  <c r="V79" i="22"/>
  <c r="V118" i="22" s="1"/>
  <c r="U79" i="22"/>
  <c r="T79" i="22"/>
  <c r="S79" i="22"/>
  <c r="R79" i="22"/>
  <c r="R118" i="22" s="1"/>
  <c r="Q79" i="22"/>
  <c r="P79" i="22"/>
  <c r="O79" i="22"/>
  <c r="N79" i="22"/>
  <c r="N118" i="22" s="1"/>
  <c r="M79" i="22"/>
  <c r="M118" i="22" s="1"/>
  <c r="L79" i="22"/>
  <c r="K79" i="22"/>
  <c r="K118" i="22" s="1"/>
  <c r="J79" i="22"/>
  <c r="I79" i="22"/>
  <c r="I118" i="22" s="1"/>
  <c r="H79" i="22"/>
  <c r="G79" i="22"/>
  <c r="G118" i="22" s="1"/>
  <c r="F79" i="22"/>
  <c r="F118" i="22" s="1"/>
  <c r="E79" i="22"/>
  <c r="D79" i="22"/>
  <c r="D118" i="22" s="1"/>
  <c r="V78" i="22"/>
  <c r="V117" i="22" s="1"/>
  <c r="U78" i="22"/>
  <c r="U117" i="22" s="1"/>
  <c r="T78" i="22"/>
  <c r="S78" i="22"/>
  <c r="R78" i="22"/>
  <c r="Q78" i="22"/>
  <c r="P78" i="22"/>
  <c r="P117" i="22" s="1"/>
  <c r="O78" i="22"/>
  <c r="O117" i="22" s="1"/>
  <c r="N78" i="22"/>
  <c r="N117" i="22" s="1"/>
  <c r="M78" i="22"/>
  <c r="L78" i="22"/>
  <c r="K78" i="22"/>
  <c r="J78" i="22"/>
  <c r="I78" i="22"/>
  <c r="I117" i="22" s="1"/>
  <c r="H78" i="22"/>
  <c r="G78" i="22"/>
  <c r="G117" i="22" s="1"/>
  <c r="F78" i="22"/>
  <c r="F117" i="22" s="1"/>
  <c r="E78" i="22"/>
  <c r="E117" i="22" s="1"/>
  <c r="D78" i="22"/>
  <c r="V77" i="22"/>
  <c r="U77" i="22"/>
  <c r="U116" i="22" s="1"/>
  <c r="T77" i="22"/>
  <c r="T116" i="22" s="1"/>
  <c r="S77" i="22"/>
  <c r="R77" i="22"/>
  <c r="Q77" i="22"/>
  <c r="Q116" i="22" s="1"/>
  <c r="P77" i="22"/>
  <c r="P116" i="22" s="1"/>
  <c r="O77" i="22"/>
  <c r="O116" i="22" s="1"/>
  <c r="N77" i="22"/>
  <c r="N116" i="22" s="1"/>
  <c r="M77" i="22"/>
  <c r="M116" i="22" s="1"/>
  <c r="L77" i="22"/>
  <c r="L116" i="22" s="1"/>
  <c r="K77" i="22"/>
  <c r="J77" i="22"/>
  <c r="I77" i="22"/>
  <c r="I116" i="22" s="1"/>
  <c r="H77" i="22"/>
  <c r="H116" i="22" s="1"/>
  <c r="G77" i="22"/>
  <c r="F77" i="22"/>
  <c r="E77" i="22"/>
  <c r="D77" i="22"/>
  <c r="D116" i="22" s="1"/>
  <c r="V76" i="22"/>
  <c r="V115" i="22" s="1"/>
  <c r="U76" i="22"/>
  <c r="T76" i="22"/>
  <c r="T115" i="22" s="1"/>
  <c r="S76" i="22"/>
  <c r="R76" i="22"/>
  <c r="R115" i="22" s="1"/>
  <c r="Q76" i="22"/>
  <c r="P76" i="22"/>
  <c r="O76" i="22"/>
  <c r="O115" i="22" s="1"/>
  <c r="N76" i="22"/>
  <c r="M76" i="22"/>
  <c r="L76" i="22"/>
  <c r="K76" i="22"/>
  <c r="J76" i="22"/>
  <c r="I76" i="22"/>
  <c r="H76" i="22"/>
  <c r="G76" i="22"/>
  <c r="G115" i="22" s="1"/>
  <c r="F76" i="22"/>
  <c r="F115" i="22" s="1"/>
  <c r="E76" i="22"/>
  <c r="E115" i="22" s="1"/>
  <c r="D76" i="22"/>
  <c r="D115" i="22" s="1"/>
  <c r="V75" i="22"/>
  <c r="U75" i="22"/>
  <c r="T75" i="22"/>
  <c r="S75" i="22"/>
  <c r="S114" i="22" s="1"/>
  <c r="R75" i="22"/>
  <c r="R114" i="22" s="1"/>
  <c r="Q75" i="22"/>
  <c r="P75" i="22"/>
  <c r="O75" i="22"/>
  <c r="N75" i="22"/>
  <c r="M75" i="22"/>
  <c r="L75" i="22"/>
  <c r="K75" i="22"/>
  <c r="J75" i="22"/>
  <c r="J114" i="22" s="1"/>
  <c r="I75" i="22"/>
  <c r="H75" i="22"/>
  <c r="G75" i="22"/>
  <c r="G114" i="22" s="1"/>
  <c r="F75" i="22"/>
  <c r="E75" i="22"/>
  <c r="D75" i="22"/>
  <c r="V74" i="22"/>
  <c r="V113" i="22" s="1"/>
  <c r="U74" i="22"/>
  <c r="U113" i="22" s="1"/>
  <c r="T74" i="22"/>
  <c r="S74" i="22"/>
  <c r="R74" i="22"/>
  <c r="R113" i="22" s="1"/>
  <c r="Q74" i="22"/>
  <c r="Q113" i="22" s="1"/>
  <c r="P74" i="22"/>
  <c r="P113" i="22" s="1"/>
  <c r="O74" i="22"/>
  <c r="N74" i="22"/>
  <c r="M74" i="22"/>
  <c r="M113" i="22" s="1"/>
  <c r="L74" i="22"/>
  <c r="K74" i="22"/>
  <c r="J74" i="22"/>
  <c r="J113" i="22" s="1"/>
  <c r="I74" i="22"/>
  <c r="H74" i="22"/>
  <c r="G74" i="22"/>
  <c r="F74" i="22"/>
  <c r="F113" i="22" s="1"/>
  <c r="E74" i="22"/>
  <c r="E113" i="22" s="1"/>
  <c r="D74" i="22"/>
  <c r="V73" i="22"/>
  <c r="U73" i="22"/>
  <c r="U112" i="22" s="1"/>
  <c r="T73" i="22"/>
  <c r="S73" i="22"/>
  <c r="R73" i="22"/>
  <c r="Q73" i="22"/>
  <c r="P73" i="22"/>
  <c r="P112" i="22" s="1"/>
  <c r="O73" i="22"/>
  <c r="N73" i="22"/>
  <c r="M73" i="22"/>
  <c r="M112" i="22" s="1"/>
  <c r="L73" i="22"/>
  <c r="K73" i="22"/>
  <c r="J73" i="22"/>
  <c r="I73" i="22"/>
  <c r="H73" i="22"/>
  <c r="H112" i="22" s="1"/>
  <c r="G73" i="22"/>
  <c r="F73" i="22"/>
  <c r="E73" i="22"/>
  <c r="E112" i="22" s="1"/>
  <c r="D73" i="22"/>
  <c r="V72" i="22"/>
  <c r="V111" i="22" s="1"/>
  <c r="U72" i="22"/>
  <c r="T72" i="22"/>
  <c r="S72" i="22"/>
  <c r="S111" i="22" s="1"/>
  <c r="R72" i="22"/>
  <c r="R111" i="22" s="1"/>
  <c r="Q72" i="22"/>
  <c r="P72" i="22"/>
  <c r="P111" i="22" s="1"/>
  <c r="O72" i="22"/>
  <c r="N72" i="22"/>
  <c r="M72" i="22"/>
  <c r="L72" i="22"/>
  <c r="L111" i="22" s="1"/>
  <c r="K72" i="22"/>
  <c r="K111" i="22" s="1"/>
  <c r="J72" i="22"/>
  <c r="I72" i="22"/>
  <c r="I111" i="22" s="1"/>
  <c r="H72" i="22"/>
  <c r="G72" i="22"/>
  <c r="F72" i="22"/>
  <c r="E72" i="22"/>
  <c r="D72" i="22"/>
  <c r="V71" i="22"/>
  <c r="V110" i="22" s="1"/>
  <c r="U71" i="22"/>
  <c r="U110" i="22" s="1"/>
  <c r="T71" i="22"/>
  <c r="S71" i="22"/>
  <c r="S110" i="22" s="1"/>
  <c r="R71" i="22"/>
  <c r="Q71" i="22"/>
  <c r="Q110" i="22" s="1"/>
  <c r="P71" i="22"/>
  <c r="O71" i="22"/>
  <c r="O110" i="22" s="1"/>
  <c r="N71" i="22"/>
  <c r="N110" i="22" s="1"/>
  <c r="M71" i="22"/>
  <c r="L71" i="22"/>
  <c r="L110" i="22" s="1"/>
  <c r="K71" i="22"/>
  <c r="K110" i="22" s="1"/>
  <c r="J71" i="22"/>
  <c r="J110" i="22" s="1"/>
  <c r="I71" i="22"/>
  <c r="I110" i="22" s="1"/>
  <c r="H71" i="22"/>
  <c r="G71" i="22"/>
  <c r="F71" i="22"/>
  <c r="F110" i="22" s="1"/>
  <c r="E71" i="22"/>
  <c r="D71" i="22"/>
  <c r="V70" i="22"/>
  <c r="V109" i="22" s="1"/>
  <c r="U70" i="22"/>
  <c r="T70" i="22"/>
  <c r="T109" i="22" s="1"/>
  <c r="S70" i="22"/>
  <c r="R70" i="22"/>
  <c r="Q70" i="22"/>
  <c r="Q109" i="22" s="1"/>
  <c r="P70" i="22"/>
  <c r="O70" i="22"/>
  <c r="N70" i="22"/>
  <c r="N109" i="22" s="1"/>
  <c r="M70" i="22"/>
  <c r="L70" i="22"/>
  <c r="K70" i="22"/>
  <c r="J70" i="22"/>
  <c r="I70" i="22"/>
  <c r="I109" i="22" s="1"/>
  <c r="H70" i="22"/>
  <c r="G70" i="22"/>
  <c r="F70" i="22"/>
  <c r="F109" i="22" s="1"/>
  <c r="E70" i="22"/>
  <c r="D70" i="22"/>
  <c r="D109" i="22" s="1"/>
  <c r="V69" i="22"/>
  <c r="U69" i="22"/>
  <c r="U108" i="22" s="1"/>
  <c r="T69" i="22"/>
  <c r="T108" i="22" s="1"/>
  <c r="S69" i="22"/>
  <c r="R69" i="22"/>
  <c r="R108" i="22" s="1"/>
  <c r="Q69" i="22"/>
  <c r="Q108" i="22" s="1"/>
  <c r="P69" i="22"/>
  <c r="O69" i="22"/>
  <c r="N69" i="22"/>
  <c r="M69" i="22"/>
  <c r="L69" i="22"/>
  <c r="L108" i="22" s="1"/>
  <c r="K69" i="22"/>
  <c r="J69" i="22"/>
  <c r="I69" i="22"/>
  <c r="I108" i="22" s="1"/>
  <c r="H69" i="22"/>
  <c r="G69" i="22"/>
  <c r="F69" i="22"/>
  <c r="E69" i="22"/>
  <c r="D69" i="22"/>
  <c r="D108" i="22" s="1"/>
  <c r="V68" i="22"/>
  <c r="U68" i="22"/>
  <c r="U107" i="22" s="1"/>
  <c r="T68" i="22"/>
  <c r="T107" i="22" s="1"/>
  <c r="S68" i="22"/>
  <c r="R68" i="22"/>
  <c r="Q68" i="22"/>
  <c r="P68" i="22"/>
  <c r="O68" i="22"/>
  <c r="O107" i="22" s="1"/>
  <c r="N68" i="22"/>
  <c r="M68" i="22"/>
  <c r="L68" i="22"/>
  <c r="L107" i="22" s="1"/>
  <c r="K68" i="22"/>
  <c r="J68" i="22"/>
  <c r="J107" i="22" s="1"/>
  <c r="I68" i="22"/>
  <c r="H68" i="22"/>
  <c r="H107" i="22" s="1"/>
  <c r="G68" i="22"/>
  <c r="G107" i="22" s="1"/>
  <c r="F68" i="22"/>
  <c r="E68" i="22"/>
  <c r="D68" i="22"/>
  <c r="D107" i="22" s="1"/>
  <c r="V67" i="22"/>
  <c r="U67" i="22"/>
  <c r="U106" i="22" s="1"/>
  <c r="T67" i="22"/>
  <c r="S67" i="22"/>
  <c r="R67" i="22"/>
  <c r="Q67" i="22"/>
  <c r="P67" i="22"/>
  <c r="O67" i="22"/>
  <c r="N67" i="22"/>
  <c r="M67" i="22"/>
  <c r="M106" i="22" s="1"/>
  <c r="L67" i="22"/>
  <c r="K67" i="22"/>
  <c r="K106" i="22" s="1"/>
  <c r="J67" i="22"/>
  <c r="J106" i="22" s="1"/>
  <c r="I67" i="22"/>
  <c r="H67" i="22"/>
  <c r="G67" i="22"/>
  <c r="F67" i="22"/>
  <c r="E67" i="22"/>
  <c r="D67" i="22"/>
  <c r="V66" i="22"/>
  <c r="U66" i="22"/>
  <c r="U105" i="22" s="1"/>
  <c r="T66" i="22"/>
  <c r="S66" i="22"/>
  <c r="R66" i="22"/>
  <c r="R105" i="22" s="1"/>
  <c r="Q66" i="22"/>
  <c r="P66" i="22"/>
  <c r="P105" i="22" s="1"/>
  <c r="O66" i="22"/>
  <c r="N66" i="22"/>
  <c r="N105" i="22" s="1"/>
  <c r="M66" i="22"/>
  <c r="M105" i="22" s="1"/>
  <c r="L66" i="22"/>
  <c r="K66" i="22"/>
  <c r="J66" i="22"/>
  <c r="I66" i="22"/>
  <c r="H66" i="22"/>
  <c r="G66" i="22"/>
  <c r="F66" i="22"/>
  <c r="E66" i="22"/>
  <c r="E105" i="22" s="1"/>
  <c r="D66" i="22"/>
  <c r="D105" i="22" s="1"/>
  <c r="V65" i="22"/>
  <c r="U65" i="22"/>
  <c r="U104" i="22" s="1"/>
  <c r="T65" i="22"/>
  <c r="S65" i="22"/>
  <c r="S104" i="22" s="1"/>
  <c r="R65" i="22"/>
  <c r="Q65" i="22"/>
  <c r="Q104" i="22" s="1"/>
  <c r="P65" i="22"/>
  <c r="P104" i="22" s="1"/>
  <c r="O65" i="22"/>
  <c r="N65" i="22"/>
  <c r="N104" i="22" s="1"/>
  <c r="M65" i="22"/>
  <c r="M104" i="22" s="1"/>
  <c r="L65" i="22"/>
  <c r="L104" i="22" s="1"/>
  <c r="K65" i="22"/>
  <c r="K104" i="22" s="1"/>
  <c r="J65" i="22"/>
  <c r="I65" i="22"/>
  <c r="H65" i="22"/>
  <c r="H104" i="22" s="1"/>
  <c r="G65" i="22"/>
  <c r="G104" i="22" s="1"/>
  <c r="F65" i="22"/>
  <c r="F104" i="22" s="1"/>
  <c r="E65" i="22"/>
  <c r="E104" i="22" s="1"/>
  <c r="D65" i="22"/>
  <c r="V63" i="22"/>
  <c r="V102" i="22" s="1"/>
  <c r="U63" i="22"/>
  <c r="T63" i="22"/>
  <c r="T102" i="22" s="1"/>
  <c r="S63" i="22"/>
  <c r="R63" i="22"/>
  <c r="Q63" i="22"/>
  <c r="P63" i="22"/>
  <c r="P102" i="22" s="1"/>
  <c r="O63" i="22"/>
  <c r="N63" i="22"/>
  <c r="N102" i="22" s="1"/>
  <c r="M63" i="22"/>
  <c r="L63" i="22"/>
  <c r="K63" i="22"/>
  <c r="K102" i="22" s="1"/>
  <c r="J63" i="22"/>
  <c r="I63" i="22"/>
  <c r="H63" i="22"/>
  <c r="H102" i="22" s="1"/>
  <c r="G63" i="22"/>
  <c r="F63" i="22"/>
  <c r="F102" i="22" s="1"/>
  <c r="E63" i="22"/>
  <c r="E102" i="22" s="1"/>
  <c r="D63" i="22"/>
  <c r="D102" i="22" s="1"/>
  <c r="V62" i="22"/>
  <c r="V101" i="22" s="1"/>
  <c r="U62" i="22"/>
  <c r="T62" i="22"/>
  <c r="S62" i="22"/>
  <c r="S101" i="22" s="1"/>
  <c r="R62" i="22"/>
  <c r="Q62" i="22"/>
  <c r="P62" i="22"/>
  <c r="O62" i="22"/>
  <c r="N62" i="22"/>
  <c r="N101" i="22" s="1"/>
  <c r="M62" i="22"/>
  <c r="L62" i="22"/>
  <c r="K62" i="22"/>
  <c r="K101" i="22" s="1"/>
  <c r="J62" i="22"/>
  <c r="I62" i="22"/>
  <c r="I101" i="22" s="1"/>
  <c r="H62" i="22"/>
  <c r="G62" i="22"/>
  <c r="F62" i="22"/>
  <c r="F101" i="22" s="1"/>
  <c r="E62" i="22"/>
  <c r="D62" i="22"/>
  <c r="V61" i="22"/>
  <c r="U61" i="22"/>
  <c r="T61" i="22"/>
  <c r="S61" i="22"/>
  <c r="R61" i="22"/>
  <c r="Q61" i="22"/>
  <c r="Q100" i="22" s="1"/>
  <c r="P61" i="22"/>
  <c r="P100" i="22" s="1"/>
  <c r="O61" i="22"/>
  <c r="N61" i="22"/>
  <c r="N100" i="22" s="1"/>
  <c r="M61" i="22"/>
  <c r="L61" i="22"/>
  <c r="L100" i="22" s="1"/>
  <c r="K61" i="22"/>
  <c r="K100" i="22" s="1"/>
  <c r="J61" i="22"/>
  <c r="J100" i="22" s="1"/>
  <c r="I61" i="22"/>
  <c r="H61" i="22"/>
  <c r="G61" i="22"/>
  <c r="G100" i="22" s="1"/>
  <c r="F61" i="22"/>
  <c r="E61" i="22"/>
  <c r="E100" i="22" s="1"/>
  <c r="D61" i="22"/>
  <c r="V60" i="22"/>
  <c r="U60" i="22"/>
  <c r="T60" i="22"/>
  <c r="T99" i="22" s="1"/>
  <c r="S60" i="22"/>
  <c r="S99" i="22" s="1"/>
  <c r="R60" i="22"/>
  <c r="R99" i="22" s="1"/>
  <c r="Q60" i="22"/>
  <c r="Q99" i="22" s="1"/>
  <c r="P60" i="22"/>
  <c r="O60" i="22"/>
  <c r="O99" i="22" s="1"/>
  <c r="N60" i="22"/>
  <c r="N99" i="22" s="1"/>
  <c r="M60" i="22"/>
  <c r="L60" i="22"/>
  <c r="L99" i="22" s="1"/>
  <c r="K60" i="22"/>
  <c r="J60" i="22"/>
  <c r="J99" i="22" s="1"/>
  <c r="I60" i="22"/>
  <c r="I99" i="22" s="1"/>
  <c r="H60" i="22"/>
  <c r="H99" i="22" s="1"/>
  <c r="G60" i="22"/>
  <c r="G99" i="22" s="1"/>
  <c r="F60" i="22"/>
  <c r="E60" i="22"/>
  <c r="D60" i="22"/>
  <c r="D99" i="22" s="1"/>
  <c r="V59" i="22"/>
  <c r="U59" i="22"/>
  <c r="T59" i="22"/>
  <c r="T98" i="22" s="1"/>
  <c r="S59" i="22"/>
  <c r="R59" i="22"/>
  <c r="R98" i="22" s="1"/>
  <c r="Q59" i="22"/>
  <c r="P59" i="22"/>
  <c r="O59" i="22"/>
  <c r="O98" i="22" s="1"/>
  <c r="N59" i="22"/>
  <c r="M59" i="22"/>
  <c r="L59" i="22"/>
  <c r="L98" i="22" s="1"/>
  <c r="K59" i="22"/>
  <c r="J59" i="22"/>
  <c r="I59" i="22"/>
  <c r="H59" i="22"/>
  <c r="G59" i="22"/>
  <c r="G98" i="22" s="1"/>
  <c r="F59" i="22"/>
  <c r="F98" i="22" s="1"/>
  <c r="E59" i="22"/>
  <c r="D59" i="22"/>
  <c r="D98" i="22" s="1"/>
  <c r="V58" i="22"/>
  <c r="U58" i="22"/>
  <c r="U97" i="22" s="1"/>
  <c r="T58" i="22"/>
  <c r="T97" i="22" s="1"/>
  <c r="S58" i="22"/>
  <c r="S97" i="22" s="1"/>
  <c r="R58" i="22"/>
  <c r="R97" i="22" s="1"/>
  <c r="Q58" i="22"/>
  <c r="P58" i="22"/>
  <c r="O58" i="22"/>
  <c r="O97" i="22" s="1"/>
  <c r="N58" i="22"/>
  <c r="M58" i="22"/>
  <c r="L58" i="22"/>
  <c r="K58" i="22"/>
  <c r="J58" i="22"/>
  <c r="J97" i="22" s="1"/>
  <c r="I58" i="22"/>
  <c r="I97" i="22" s="1"/>
  <c r="H58" i="22"/>
  <c r="H97" i="22" s="1"/>
  <c r="G58" i="22"/>
  <c r="G97" i="22" s="1"/>
  <c r="F58" i="22"/>
  <c r="E58" i="22"/>
  <c r="E97" i="22" s="1"/>
  <c r="D58" i="22"/>
  <c r="V57" i="22"/>
  <c r="U57" i="22"/>
  <c r="U96" i="22" s="1"/>
  <c r="T57" i="22"/>
  <c r="S57" i="22"/>
  <c r="R57" i="22"/>
  <c r="R96" i="22" s="1"/>
  <c r="Q57" i="22"/>
  <c r="P57" i="22"/>
  <c r="O57" i="22"/>
  <c r="N57" i="22"/>
  <c r="M57" i="22"/>
  <c r="M96" i="22" s="1"/>
  <c r="L57" i="22"/>
  <c r="K57" i="22"/>
  <c r="K96" i="22" s="1"/>
  <c r="J57" i="22"/>
  <c r="J96" i="22" s="1"/>
  <c r="I57" i="22"/>
  <c r="H57" i="22"/>
  <c r="H96" i="22" s="1"/>
  <c r="G57" i="22"/>
  <c r="F57" i="22"/>
  <c r="F96" i="22" s="1"/>
  <c r="E57" i="22"/>
  <c r="E96" i="22" s="1"/>
  <c r="D57" i="22"/>
  <c r="V56" i="22"/>
  <c r="U56" i="22"/>
  <c r="T56" i="22"/>
  <c r="S56" i="22"/>
  <c r="S95" i="22" s="1"/>
  <c r="R56" i="22"/>
  <c r="Q56" i="22"/>
  <c r="P56" i="22"/>
  <c r="P95" i="22" s="1"/>
  <c r="O56" i="22"/>
  <c r="N56" i="22"/>
  <c r="M56" i="22"/>
  <c r="M95" i="22" s="1"/>
  <c r="L56" i="22"/>
  <c r="K56" i="22"/>
  <c r="K95" i="22" s="1"/>
  <c r="J56" i="22"/>
  <c r="J95" i="22" s="1"/>
  <c r="I56" i="22"/>
  <c r="I95" i="22" s="1"/>
  <c r="H56" i="22"/>
  <c r="H95" i="22" s="1"/>
  <c r="G56" i="22"/>
  <c r="F56" i="22"/>
  <c r="E56" i="22"/>
  <c r="E95" i="22" s="1"/>
  <c r="D56" i="22"/>
  <c r="D95" i="22" s="1"/>
  <c r="V55" i="22"/>
  <c r="V94" i="22" s="1"/>
  <c r="U55" i="22"/>
  <c r="T55" i="22"/>
  <c r="S55" i="22"/>
  <c r="S94" i="22" s="1"/>
  <c r="R55" i="22"/>
  <c r="Q55" i="22"/>
  <c r="P55" i="22"/>
  <c r="P94" i="22" s="1"/>
  <c r="O55" i="22"/>
  <c r="N55" i="22"/>
  <c r="N94" i="22" s="1"/>
  <c r="M55" i="22"/>
  <c r="L55" i="22"/>
  <c r="K55" i="22"/>
  <c r="K94" i="22" s="1"/>
  <c r="J55" i="22"/>
  <c r="I55" i="22"/>
  <c r="H55" i="22"/>
  <c r="H94" i="22" s="1"/>
  <c r="G55" i="22"/>
  <c r="F55" i="22"/>
  <c r="F94" i="22" s="1"/>
  <c r="E55" i="22"/>
  <c r="D55" i="22"/>
  <c r="V54" i="22"/>
  <c r="V93" i="22" s="1"/>
  <c r="U54" i="22"/>
  <c r="U93" i="22" s="1"/>
  <c r="T54" i="22"/>
  <c r="S54" i="22"/>
  <c r="S93" i="22" s="1"/>
  <c r="R54" i="22"/>
  <c r="Q54" i="22"/>
  <c r="Q93" i="22" s="1"/>
  <c r="P54" i="22"/>
  <c r="O54" i="22"/>
  <c r="O93" i="22" s="1"/>
  <c r="N54" i="22"/>
  <c r="N93" i="22" s="1"/>
  <c r="M54" i="22"/>
  <c r="L54" i="22"/>
  <c r="K54" i="22"/>
  <c r="K93" i="22" s="1"/>
  <c r="J54" i="22"/>
  <c r="J93" i="22" s="1"/>
  <c r="I54" i="22"/>
  <c r="I93" i="22" s="1"/>
  <c r="H54" i="22"/>
  <c r="G54" i="22"/>
  <c r="F54" i="22"/>
  <c r="F93" i="22" s="1"/>
  <c r="E54" i="22"/>
  <c r="E93" i="22" s="1"/>
  <c r="D54" i="22"/>
  <c r="V53" i="22"/>
  <c r="V92" i="22" s="1"/>
  <c r="U53" i="22"/>
  <c r="T53" i="22"/>
  <c r="T92" i="22" s="1"/>
  <c r="S53" i="22"/>
  <c r="R53" i="22"/>
  <c r="Q53" i="22"/>
  <c r="Q92" i="22" s="1"/>
  <c r="P53" i="22"/>
  <c r="O53" i="22"/>
  <c r="N53" i="22"/>
  <c r="M53" i="22"/>
  <c r="L53" i="22"/>
  <c r="K53" i="22"/>
  <c r="J53" i="22"/>
  <c r="I53" i="22"/>
  <c r="I92" i="22" s="1"/>
  <c r="H53" i="22"/>
  <c r="H92" i="22" s="1"/>
  <c r="G53" i="22"/>
  <c r="F53" i="22"/>
  <c r="F92" i="22" s="1"/>
  <c r="E53" i="22"/>
  <c r="D53" i="22"/>
  <c r="D92" i="22" s="1"/>
  <c r="V52" i="22"/>
  <c r="U52" i="22"/>
  <c r="T52" i="22"/>
  <c r="S52" i="22"/>
  <c r="R52" i="22"/>
  <c r="Q52" i="22"/>
  <c r="P52" i="22"/>
  <c r="O52" i="22"/>
  <c r="O91" i="22" s="1"/>
  <c r="N52" i="22"/>
  <c r="M52" i="22"/>
  <c r="L52" i="22"/>
  <c r="L91" i="22" s="1"/>
  <c r="K52" i="22"/>
  <c r="K91" i="22" s="1"/>
  <c r="J52" i="22"/>
  <c r="I52" i="22"/>
  <c r="H52" i="22"/>
  <c r="G52" i="22"/>
  <c r="F52" i="22"/>
  <c r="E52" i="22"/>
  <c r="D52" i="22"/>
  <c r="V41" i="22"/>
  <c r="U41" i="22"/>
  <c r="U274" i="22" s="1"/>
  <c r="T41" i="22"/>
  <c r="S41" i="22"/>
  <c r="S274" i="22" s="1"/>
  <c r="R41" i="22"/>
  <c r="R119" i="22" s="1"/>
  <c r="Q41" i="22"/>
  <c r="P41" i="22"/>
  <c r="P274" i="22" s="1"/>
  <c r="O41" i="22"/>
  <c r="O197" i="22" s="1"/>
  <c r="N41" i="22"/>
  <c r="M41" i="22"/>
  <c r="M274" i="22" s="1"/>
  <c r="L41" i="22"/>
  <c r="L119" i="22" s="1"/>
  <c r="K41" i="22"/>
  <c r="J41" i="22"/>
  <c r="J197" i="22" s="1"/>
  <c r="I41" i="22"/>
  <c r="I197" i="22" s="1"/>
  <c r="H41" i="22"/>
  <c r="G41" i="22"/>
  <c r="F41" i="22"/>
  <c r="F197" i="22" s="1"/>
  <c r="E41" i="22"/>
  <c r="E274" i="22" s="1"/>
  <c r="D41" i="22"/>
  <c r="V40" i="22"/>
  <c r="U40" i="22"/>
  <c r="T40" i="22"/>
  <c r="S40" i="22"/>
  <c r="S273" i="22" s="1"/>
  <c r="R40" i="22"/>
  <c r="Q40" i="22"/>
  <c r="P40" i="22"/>
  <c r="P273" i="22" s="1"/>
  <c r="O40" i="22"/>
  <c r="O273" i="22" s="1"/>
  <c r="N40" i="22"/>
  <c r="M40" i="22"/>
  <c r="M196" i="22" s="1"/>
  <c r="L40" i="22"/>
  <c r="K40" i="22"/>
  <c r="J40" i="22"/>
  <c r="I40" i="22"/>
  <c r="I196" i="22" s="1"/>
  <c r="H40" i="22"/>
  <c r="H273" i="22" s="1"/>
  <c r="G40" i="22"/>
  <c r="F40" i="22"/>
  <c r="E40" i="22"/>
  <c r="D40" i="22"/>
  <c r="V39" i="22"/>
  <c r="V272" i="22" s="1"/>
  <c r="U39" i="22"/>
  <c r="T39" i="22"/>
  <c r="S39" i="22"/>
  <c r="S272" i="22" s="1"/>
  <c r="R39" i="22"/>
  <c r="Q39" i="22"/>
  <c r="P39" i="22"/>
  <c r="P195" i="22" s="1"/>
  <c r="O39" i="22"/>
  <c r="O195" i="22" s="1"/>
  <c r="N39" i="22"/>
  <c r="M39" i="22"/>
  <c r="L39" i="22"/>
  <c r="L195" i="22" s="1"/>
  <c r="K39" i="22"/>
  <c r="K272" i="22" s="1"/>
  <c r="J39" i="22"/>
  <c r="I39" i="22"/>
  <c r="H39" i="22"/>
  <c r="G39" i="22"/>
  <c r="F39" i="22"/>
  <c r="F272" i="22" s="1"/>
  <c r="E39" i="22"/>
  <c r="E195" i="22" s="1"/>
  <c r="D39" i="22"/>
  <c r="V38" i="22"/>
  <c r="V271" i="22" s="1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V37" i="22"/>
  <c r="V193" i="22" s="1"/>
  <c r="U37" i="22"/>
  <c r="U270" i="22" s="1"/>
  <c r="T37" i="22"/>
  <c r="S37" i="22"/>
  <c r="S270" i="22" s="1"/>
  <c r="R37" i="22"/>
  <c r="R193" i="22" s="1"/>
  <c r="Q37" i="22"/>
  <c r="Q270" i="22" s="1"/>
  <c r="P37" i="22"/>
  <c r="P270" i="22" s="1"/>
  <c r="O37" i="22"/>
  <c r="N37" i="22"/>
  <c r="N115" i="22" s="1"/>
  <c r="M37" i="22"/>
  <c r="L37" i="22"/>
  <c r="L270" i="22" s="1"/>
  <c r="K37" i="22"/>
  <c r="K193" i="22" s="1"/>
  <c r="J37" i="22"/>
  <c r="I37" i="22"/>
  <c r="I270" i="22" s="1"/>
  <c r="H37" i="22"/>
  <c r="H115" i="22" s="1"/>
  <c r="G37" i="22"/>
  <c r="F37" i="22"/>
  <c r="F193" i="22" s="1"/>
  <c r="E37" i="22"/>
  <c r="E193" i="22" s="1"/>
  <c r="D37" i="22"/>
  <c r="V36" i="22"/>
  <c r="U36" i="22"/>
  <c r="T36" i="22"/>
  <c r="T269" i="22" s="1"/>
  <c r="S36" i="22"/>
  <c r="R36" i="22"/>
  <c r="R269" i="22" s="1"/>
  <c r="Q36" i="22"/>
  <c r="P36" i="22"/>
  <c r="O36" i="22"/>
  <c r="O269" i="22" s="1"/>
  <c r="N36" i="22"/>
  <c r="N192" i="22" s="1"/>
  <c r="M36" i="22"/>
  <c r="L36" i="22"/>
  <c r="L114" i="22" s="1"/>
  <c r="K36" i="22"/>
  <c r="J36" i="22"/>
  <c r="J192" i="22" s="1"/>
  <c r="I36" i="22"/>
  <c r="H36" i="22"/>
  <c r="H114" i="22" s="1"/>
  <c r="G36" i="22"/>
  <c r="G269" i="22" s="1"/>
  <c r="F36" i="22"/>
  <c r="E36" i="22"/>
  <c r="D36" i="22"/>
  <c r="D269" i="22" s="1"/>
  <c r="V35" i="22"/>
  <c r="U35" i="22"/>
  <c r="T35" i="22"/>
  <c r="T113" i="22" s="1"/>
  <c r="S35" i="22"/>
  <c r="R35" i="22"/>
  <c r="R268" i="22" s="1"/>
  <c r="Q35" i="22"/>
  <c r="P35" i="22"/>
  <c r="P191" i="22" s="1"/>
  <c r="O35" i="22"/>
  <c r="O191" i="22" s="1"/>
  <c r="N35" i="22"/>
  <c r="N113" i="22" s="1"/>
  <c r="M35" i="22"/>
  <c r="L35" i="22"/>
  <c r="K35" i="22"/>
  <c r="J35" i="22"/>
  <c r="J268" i="22" s="1"/>
  <c r="I35" i="22"/>
  <c r="I268" i="22" s="1"/>
  <c r="H35" i="22"/>
  <c r="H191" i="22" s="1"/>
  <c r="G35" i="22"/>
  <c r="G268" i="22" s="1"/>
  <c r="F35" i="22"/>
  <c r="E35" i="22"/>
  <c r="D35" i="22"/>
  <c r="D113" i="22" s="1"/>
  <c r="V34" i="22"/>
  <c r="U34" i="22"/>
  <c r="T34" i="22"/>
  <c r="S34" i="22"/>
  <c r="S190" i="22" s="1"/>
  <c r="R34" i="22"/>
  <c r="R112" i="22" s="1"/>
  <c r="Q34" i="22"/>
  <c r="Q112" i="22" s="1"/>
  <c r="P34" i="22"/>
  <c r="O34" i="22"/>
  <c r="N34" i="22"/>
  <c r="N190" i="22" s="1"/>
  <c r="M34" i="22"/>
  <c r="L34" i="22"/>
  <c r="K34" i="22"/>
  <c r="K190" i="22" s="1"/>
  <c r="J34" i="22"/>
  <c r="J267" i="22" s="1"/>
  <c r="I34" i="22"/>
  <c r="H34" i="22"/>
  <c r="G34" i="22"/>
  <c r="F34" i="22"/>
  <c r="E34" i="22"/>
  <c r="E267" i="22" s="1"/>
  <c r="D34" i="22"/>
  <c r="D190" i="22" s="1"/>
  <c r="V33" i="22"/>
  <c r="U33" i="22"/>
  <c r="U111" i="22" s="1"/>
  <c r="T33" i="22"/>
  <c r="T111" i="22" s="1"/>
  <c r="S33" i="22"/>
  <c r="R33" i="22"/>
  <c r="Q33" i="22"/>
  <c r="Q266" i="22" s="1"/>
  <c r="P33" i="22"/>
  <c r="O33" i="22"/>
  <c r="O111" i="22" s="1"/>
  <c r="N33" i="22"/>
  <c r="N189" i="22" s="1"/>
  <c r="M33" i="22"/>
  <c r="M266" i="22" s="1"/>
  <c r="L33" i="22"/>
  <c r="K33" i="22"/>
  <c r="J33" i="22"/>
  <c r="J189" i="22" s="1"/>
  <c r="I33" i="22"/>
  <c r="H33" i="22"/>
  <c r="H266" i="22" s="1"/>
  <c r="G33" i="22"/>
  <c r="G189" i="22" s="1"/>
  <c r="F33" i="22"/>
  <c r="F189" i="22" s="1"/>
  <c r="E33" i="22"/>
  <c r="E266" i="22" s="1"/>
  <c r="D33" i="22"/>
  <c r="V32" i="22"/>
  <c r="U32" i="22"/>
  <c r="U188" i="22" s="1"/>
  <c r="T32" i="22"/>
  <c r="T188" i="22" s="1"/>
  <c r="S32" i="22"/>
  <c r="R32" i="22"/>
  <c r="Q32" i="22"/>
  <c r="Q188" i="22" s="1"/>
  <c r="P32" i="22"/>
  <c r="P265" i="22" s="1"/>
  <c r="O32" i="22"/>
  <c r="O265" i="22" s="1"/>
  <c r="N32" i="22"/>
  <c r="N265" i="22" s="1"/>
  <c r="M32" i="22"/>
  <c r="L32" i="22"/>
  <c r="K32" i="22"/>
  <c r="K265" i="22" s="1"/>
  <c r="J32" i="22"/>
  <c r="I32" i="22"/>
  <c r="H32" i="22"/>
  <c r="H110" i="22" s="1"/>
  <c r="G32" i="22"/>
  <c r="G110" i="22" s="1"/>
  <c r="F32" i="22"/>
  <c r="E32" i="22"/>
  <c r="D32" i="22"/>
  <c r="D110" i="22" s="1"/>
  <c r="V31" i="22"/>
  <c r="U31" i="22"/>
  <c r="U109" i="22" s="1"/>
  <c r="T31" i="22"/>
  <c r="T187" i="22" s="1"/>
  <c r="S31" i="22"/>
  <c r="S264" i="22" s="1"/>
  <c r="R31" i="22"/>
  <c r="R264" i="22" s="1"/>
  <c r="Q31" i="22"/>
  <c r="P31" i="22"/>
  <c r="O31" i="22"/>
  <c r="N31" i="22"/>
  <c r="M31" i="22"/>
  <c r="L31" i="22"/>
  <c r="K31" i="22"/>
  <c r="K264" i="22" s="1"/>
  <c r="J31" i="22"/>
  <c r="J109" i="22" s="1"/>
  <c r="I31" i="22"/>
  <c r="H31" i="22"/>
  <c r="H187" i="22" s="1"/>
  <c r="G31" i="22"/>
  <c r="F31" i="22"/>
  <c r="E31" i="22"/>
  <c r="D31" i="22"/>
  <c r="V30" i="22"/>
  <c r="U30" i="22"/>
  <c r="T30" i="22"/>
  <c r="T263" i="22" s="1"/>
  <c r="S30" i="22"/>
  <c r="R30" i="22"/>
  <c r="R263" i="22" s="1"/>
  <c r="Q30" i="22"/>
  <c r="P30" i="22"/>
  <c r="P186" i="22" s="1"/>
  <c r="O30" i="22"/>
  <c r="O263" i="22" s="1"/>
  <c r="N30" i="22"/>
  <c r="N263" i="22" s="1"/>
  <c r="M30" i="22"/>
  <c r="M108" i="22" s="1"/>
  <c r="L30" i="22"/>
  <c r="K30" i="22"/>
  <c r="K186" i="22" s="1"/>
  <c r="J30" i="22"/>
  <c r="I30" i="22"/>
  <c r="H30" i="22"/>
  <c r="G30" i="22"/>
  <c r="F30" i="22"/>
  <c r="E30" i="22"/>
  <c r="D30" i="22"/>
  <c r="V29" i="22"/>
  <c r="U29" i="22"/>
  <c r="U262" i="22" s="1"/>
  <c r="T29" i="22"/>
  <c r="T262" i="22" s="1"/>
  <c r="S29" i="22"/>
  <c r="S185" i="22" s="1"/>
  <c r="R29" i="22"/>
  <c r="R262" i="22" s="1"/>
  <c r="Q29" i="22"/>
  <c r="Q262" i="22" s="1"/>
  <c r="P29" i="22"/>
  <c r="P107" i="22" s="1"/>
  <c r="O29" i="22"/>
  <c r="N29" i="22"/>
  <c r="M29" i="22"/>
  <c r="M185" i="22" s="1"/>
  <c r="L29" i="22"/>
  <c r="K29" i="22"/>
  <c r="J29" i="22"/>
  <c r="J185" i="22" s="1"/>
  <c r="I29" i="22"/>
  <c r="H29" i="22"/>
  <c r="G29" i="22"/>
  <c r="F29" i="22"/>
  <c r="F107" i="22" s="1"/>
  <c r="E29" i="22"/>
  <c r="E262" i="22" s="1"/>
  <c r="D29" i="22"/>
  <c r="D262" i="22" s="1"/>
  <c r="V28" i="22"/>
  <c r="V184" i="22" s="1"/>
  <c r="U28" i="22"/>
  <c r="U184" i="22" s="1"/>
  <c r="T28" i="22"/>
  <c r="T106" i="22" s="1"/>
  <c r="S28" i="22"/>
  <c r="R28" i="22"/>
  <c r="Q28" i="22"/>
  <c r="Q184" i="22" s="1"/>
  <c r="P28" i="22"/>
  <c r="P184" i="22" s="1"/>
  <c r="O28" i="22"/>
  <c r="N28" i="22"/>
  <c r="M28" i="22"/>
  <c r="M184" i="22" s="1"/>
  <c r="L28" i="22"/>
  <c r="K28" i="22"/>
  <c r="K261" i="22" s="1"/>
  <c r="J28" i="22"/>
  <c r="I28" i="22"/>
  <c r="I106" i="22" s="1"/>
  <c r="H28" i="22"/>
  <c r="G28" i="22"/>
  <c r="G261" i="22" s="1"/>
  <c r="F28" i="22"/>
  <c r="F184" i="22" s="1"/>
  <c r="E28" i="22"/>
  <c r="D28" i="22"/>
  <c r="D261" i="22" s="1"/>
  <c r="V27" i="22"/>
  <c r="V105" i="22" s="1"/>
  <c r="U27" i="22"/>
  <c r="T27" i="22"/>
  <c r="S27" i="22"/>
  <c r="S183" i="22" s="1"/>
  <c r="R27" i="22"/>
  <c r="Q27" i="22"/>
  <c r="P27" i="22"/>
  <c r="P183" i="22" s="1"/>
  <c r="O27" i="22"/>
  <c r="N27" i="22"/>
  <c r="M27" i="22"/>
  <c r="L27" i="22"/>
  <c r="L183" i="22" s="1"/>
  <c r="K27" i="22"/>
  <c r="J27" i="22"/>
  <c r="J260" i="22" s="1"/>
  <c r="I27" i="22"/>
  <c r="I183" i="22" s="1"/>
  <c r="H27" i="22"/>
  <c r="G27" i="22"/>
  <c r="G260" i="22" s="1"/>
  <c r="F27" i="22"/>
  <c r="F105" i="22" s="1"/>
  <c r="E27" i="22"/>
  <c r="E183" i="22" s="1"/>
  <c r="D27" i="22"/>
  <c r="D183" i="22" s="1"/>
  <c r="V26" i="22"/>
  <c r="V182" i="22" s="1"/>
  <c r="U26" i="22"/>
  <c r="T26" i="22"/>
  <c r="S26" i="22"/>
  <c r="S182" i="22" s="1"/>
  <c r="R26" i="22"/>
  <c r="Q26" i="22"/>
  <c r="P26" i="22"/>
  <c r="O26" i="22"/>
  <c r="N26" i="22"/>
  <c r="N259" i="22" s="1"/>
  <c r="M26" i="22"/>
  <c r="M259" i="22" s="1"/>
  <c r="L26" i="22"/>
  <c r="K26" i="22"/>
  <c r="K259" i="22" s="1"/>
  <c r="J26" i="22"/>
  <c r="J259" i="22" s="1"/>
  <c r="I26" i="22"/>
  <c r="H26" i="22"/>
  <c r="G26" i="22"/>
  <c r="G182" i="22" s="1"/>
  <c r="F26" i="22"/>
  <c r="F259" i="22" s="1"/>
  <c r="E26" i="22"/>
  <c r="D26" i="22"/>
  <c r="V24" i="22"/>
  <c r="V180" i="22" s="1"/>
  <c r="U24" i="22"/>
  <c r="T24" i="22"/>
  <c r="T257" i="22" s="1"/>
  <c r="S24" i="22"/>
  <c r="S257" i="22" s="1"/>
  <c r="R24" i="22"/>
  <c r="R102" i="22" s="1"/>
  <c r="Q24" i="22"/>
  <c r="P24" i="22"/>
  <c r="P257" i="22" s="1"/>
  <c r="O24" i="22"/>
  <c r="N24" i="22"/>
  <c r="N180" i="22" s="1"/>
  <c r="M24" i="22"/>
  <c r="M102" i="22" s="1"/>
  <c r="L24" i="22"/>
  <c r="K24" i="22"/>
  <c r="J24" i="22"/>
  <c r="J180" i="22" s="1"/>
  <c r="I24" i="22"/>
  <c r="H24" i="22"/>
  <c r="H257" i="22" s="1"/>
  <c r="G24" i="22"/>
  <c r="F24" i="22"/>
  <c r="F180" i="22" s="1"/>
  <c r="E24" i="22"/>
  <c r="D24" i="22"/>
  <c r="V23" i="22"/>
  <c r="V256" i="22" s="1"/>
  <c r="U23" i="22"/>
  <c r="U179" i="22" s="1"/>
  <c r="T23" i="22"/>
  <c r="S23" i="22"/>
  <c r="S256" i="22" s="1"/>
  <c r="R23" i="22"/>
  <c r="R179" i="22" s="1"/>
  <c r="Q23" i="22"/>
  <c r="Q179" i="22" s="1"/>
  <c r="P23" i="22"/>
  <c r="P256" i="22" s="1"/>
  <c r="O23" i="22"/>
  <c r="O101" i="22" s="1"/>
  <c r="N23" i="22"/>
  <c r="M23" i="22"/>
  <c r="M179" i="22" s="1"/>
  <c r="L23" i="22"/>
  <c r="L179" i="22" s="1"/>
  <c r="K23" i="22"/>
  <c r="J23" i="22"/>
  <c r="J101" i="22" s="1"/>
  <c r="I23" i="22"/>
  <c r="I179" i="22" s="1"/>
  <c r="H23" i="22"/>
  <c r="H101" i="22" s="1"/>
  <c r="G23" i="22"/>
  <c r="F23" i="22"/>
  <c r="E23" i="22"/>
  <c r="D23" i="22"/>
  <c r="D256" i="22" s="1"/>
  <c r="V22" i="22"/>
  <c r="U22" i="22"/>
  <c r="U100" i="22" s="1"/>
  <c r="T22" i="22"/>
  <c r="T178" i="22" s="1"/>
  <c r="S22" i="22"/>
  <c r="S255" i="22" s="1"/>
  <c r="R22" i="22"/>
  <c r="R100" i="22" s="1"/>
  <c r="Q22" i="22"/>
  <c r="P22" i="22"/>
  <c r="P178" i="22" s="1"/>
  <c r="O22" i="22"/>
  <c r="O178" i="22" s="1"/>
  <c r="N22" i="22"/>
  <c r="M22" i="22"/>
  <c r="L22" i="22"/>
  <c r="L178" i="22" s="1"/>
  <c r="K22" i="22"/>
  <c r="J22" i="22"/>
  <c r="I22" i="22"/>
  <c r="H22" i="22"/>
  <c r="G22" i="22"/>
  <c r="G255" i="22" s="1"/>
  <c r="F22" i="22"/>
  <c r="F255" i="22" s="1"/>
  <c r="E22" i="22"/>
  <c r="D22" i="22"/>
  <c r="D178" i="22" s="1"/>
  <c r="V21" i="22"/>
  <c r="V254" i="22" s="1"/>
  <c r="U21" i="22"/>
  <c r="T21" i="22"/>
  <c r="S21" i="22"/>
  <c r="S177" i="22" s="1"/>
  <c r="R21" i="22"/>
  <c r="R177" i="22" s="1"/>
  <c r="Q21" i="22"/>
  <c r="P21" i="22"/>
  <c r="O21" i="22"/>
  <c r="O177" i="22" s="1"/>
  <c r="N21" i="22"/>
  <c r="M21" i="22"/>
  <c r="L21" i="22"/>
  <c r="K21" i="22"/>
  <c r="K99" i="22" s="1"/>
  <c r="J21" i="22"/>
  <c r="I21" i="22"/>
  <c r="I254" i="22" s="1"/>
  <c r="H21" i="22"/>
  <c r="H177" i="22" s="1"/>
  <c r="G21" i="22"/>
  <c r="G177" i="22" s="1"/>
  <c r="F21" i="22"/>
  <c r="F254" i="22" s="1"/>
  <c r="E21" i="22"/>
  <c r="D21" i="22"/>
  <c r="V20" i="22"/>
  <c r="V98" i="22" s="1"/>
  <c r="U20" i="22"/>
  <c r="U98" i="22" s="1"/>
  <c r="T20" i="22"/>
  <c r="S20" i="22"/>
  <c r="R20" i="22"/>
  <c r="R176" i="22" s="1"/>
  <c r="Q20" i="22"/>
  <c r="P20" i="22"/>
  <c r="O20" i="22"/>
  <c r="N20" i="22"/>
  <c r="N98" i="22" s="1"/>
  <c r="M20" i="22"/>
  <c r="L20" i="22"/>
  <c r="L253" i="22" s="1"/>
  <c r="K20" i="22"/>
  <c r="K176" i="22" s="1"/>
  <c r="J20" i="22"/>
  <c r="J176" i="22" s="1"/>
  <c r="I20" i="22"/>
  <c r="I253" i="22" s="1"/>
  <c r="H20" i="22"/>
  <c r="H98" i="22" s="1"/>
  <c r="G20" i="22"/>
  <c r="F20" i="22"/>
  <c r="F176" i="22" s="1"/>
  <c r="E20" i="22"/>
  <c r="E253" i="22" s="1"/>
  <c r="D20" i="22"/>
  <c r="V19" i="22"/>
  <c r="U19" i="22"/>
  <c r="U175" i="22" s="1"/>
  <c r="T19" i="22"/>
  <c r="S19" i="22"/>
  <c r="R19" i="22"/>
  <c r="Q19" i="22"/>
  <c r="P19" i="22"/>
  <c r="P97" i="22" s="1"/>
  <c r="O19" i="22"/>
  <c r="O252" i="22" s="1"/>
  <c r="N19" i="22"/>
  <c r="N175" i="22" s="1"/>
  <c r="M19" i="22"/>
  <c r="M175" i="22" s="1"/>
  <c r="L19" i="22"/>
  <c r="K19" i="22"/>
  <c r="J19" i="22"/>
  <c r="I19" i="22"/>
  <c r="I175" i="22" s="1"/>
  <c r="H19" i="22"/>
  <c r="H175" i="22" s="1"/>
  <c r="G19" i="22"/>
  <c r="F19" i="22"/>
  <c r="E19" i="22"/>
  <c r="E175" i="22" s="1"/>
  <c r="D19" i="22"/>
  <c r="V18" i="22"/>
  <c r="U18" i="22"/>
  <c r="T18" i="22"/>
  <c r="T96" i="22" s="1"/>
  <c r="S18" i="22"/>
  <c r="S96" i="22" s="1"/>
  <c r="R18" i="22"/>
  <c r="R251" i="22" s="1"/>
  <c r="Q18" i="22"/>
  <c r="P18" i="22"/>
  <c r="P174" i="22" s="1"/>
  <c r="O18" i="22"/>
  <c r="O96" i="22" s="1"/>
  <c r="N18" i="22"/>
  <c r="N96" i="22" s="1"/>
  <c r="M18" i="22"/>
  <c r="L18" i="22"/>
  <c r="L96" i="22" s="1"/>
  <c r="K18" i="22"/>
  <c r="J18" i="22"/>
  <c r="J251" i="22" s="1"/>
  <c r="I18" i="22"/>
  <c r="I42" i="22" s="1"/>
  <c r="H18" i="22"/>
  <c r="G18" i="22"/>
  <c r="F18" i="22"/>
  <c r="E18" i="22"/>
  <c r="E251" i="22" s="1"/>
  <c r="D18" i="22"/>
  <c r="D96" i="22" s="1"/>
  <c r="V17" i="22"/>
  <c r="V250" i="22" s="1"/>
  <c r="U17" i="22"/>
  <c r="T17" i="22"/>
  <c r="S17" i="22"/>
  <c r="S173" i="22" s="1"/>
  <c r="R17" i="22"/>
  <c r="R95" i="22" s="1"/>
  <c r="Q17" i="22"/>
  <c r="Q95" i="22" s="1"/>
  <c r="P17" i="22"/>
  <c r="O17" i="22"/>
  <c r="O95" i="22" s="1"/>
  <c r="N17" i="22"/>
  <c r="M17" i="22"/>
  <c r="L17" i="22"/>
  <c r="K17" i="22"/>
  <c r="K173" i="22" s="1"/>
  <c r="J17" i="22"/>
  <c r="I17" i="22"/>
  <c r="H17" i="22"/>
  <c r="G17" i="22"/>
  <c r="G95" i="22" s="1"/>
  <c r="F17" i="22"/>
  <c r="E17" i="22"/>
  <c r="D17" i="22"/>
  <c r="V16" i="22"/>
  <c r="V172" i="22" s="1"/>
  <c r="U16" i="22"/>
  <c r="T16" i="22"/>
  <c r="T94" i="22" s="1"/>
  <c r="S16" i="22"/>
  <c r="R16" i="22"/>
  <c r="Q16" i="22"/>
  <c r="P16" i="22"/>
  <c r="O16" i="22"/>
  <c r="N16" i="22"/>
  <c r="N172" i="22" s="1"/>
  <c r="M16" i="22"/>
  <c r="L16" i="22"/>
  <c r="K16" i="22"/>
  <c r="J16" i="22"/>
  <c r="I16" i="22"/>
  <c r="H16" i="22"/>
  <c r="H249" i="22" s="1"/>
  <c r="G16" i="22"/>
  <c r="G172" i="22" s="1"/>
  <c r="F16" i="22"/>
  <c r="E16" i="22"/>
  <c r="E94" i="22" s="1"/>
  <c r="D16" i="22"/>
  <c r="V15" i="22"/>
  <c r="U15" i="22"/>
  <c r="U171" i="22" s="1"/>
  <c r="T15" i="22"/>
  <c r="T248" i="22" s="1"/>
  <c r="S15" i="22"/>
  <c r="S248" i="22" s="1"/>
  <c r="R15" i="22"/>
  <c r="Q15" i="22"/>
  <c r="Q248" i="22" s="1"/>
  <c r="P15" i="22"/>
  <c r="O15" i="22"/>
  <c r="O248" i="22" s="1"/>
  <c r="N15" i="22"/>
  <c r="N248" i="22" s="1"/>
  <c r="M15" i="22"/>
  <c r="M171" i="22" s="1"/>
  <c r="L15" i="22"/>
  <c r="L248" i="22" s="1"/>
  <c r="K15" i="22"/>
  <c r="J15" i="22"/>
  <c r="J171" i="22" s="1"/>
  <c r="I15" i="22"/>
  <c r="I171" i="22" s="1"/>
  <c r="H15" i="22"/>
  <c r="G15" i="22"/>
  <c r="F15" i="22"/>
  <c r="E15" i="22"/>
  <c r="E171" i="22" s="1"/>
  <c r="D15" i="22"/>
  <c r="D171" i="22" s="1"/>
  <c r="V14" i="22"/>
  <c r="V247" i="22" s="1"/>
  <c r="U14" i="22"/>
  <c r="T14" i="22"/>
  <c r="S14" i="22"/>
  <c r="S247" i="22" s="1"/>
  <c r="R14" i="22"/>
  <c r="R247" i="22" s="1"/>
  <c r="Q14" i="22"/>
  <c r="Q247" i="22" s="1"/>
  <c r="P14" i="22"/>
  <c r="O14" i="22"/>
  <c r="O247" i="22" s="1"/>
  <c r="N14" i="22"/>
  <c r="M14" i="22"/>
  <c r="M170" i="22" s="1"/>
  <c r="L14" i="22"/>
  <c r="L170" i="22" s="1"/>
  <c r="K14" i="22"/>
  <c r="J14" i="22"/>
  <c r="J92" i="22" s="1"/>
  <c r="I14" i="22"/>
  <c r="H14" i="22"/>
  <c r="H170" i="22" s="1"/>
  <c r="G14" i="22"/>
  <c r="G170" i="22" s="1"/>
  <c r="F14" i="22"/>
  <c r="E14" i="22"/>
  <c r="D14" i="22"/>
  <c r="D247" i="22" s="1"/>
  <c r="V13" i="22"/>
  <c r="U13" i="22"/>
  <c r="T13" i="22"/>
  <c r="T246" i="22" s="1"/>
  <c r="S13" i="22"/>
  <c r="S42" i="22" s="1"/>
  <c r="R13" i="22"/>
  <c r="R42" i="22" s="1"/>
  <c r="Q13" i="22"/>
  <c r="P13" i="22"/>
  <c r="O13" i="22"/>
  <c r="O169" i="22" s="1"/>
  <c r="N13" i="22"/>
  <c r="M13" i="22"/>
  <c r="M169" i="22" s="1"/>
  <c r="L13" i="22"/>
  <c r="K13" i="22"/>
  <c r="J13" i="22"/>
  <c r="J169" i="22" s="1"/>
  <c r="I13" i="22"/>
  <c r="H13" i="22"/>
  <c r="H42" i="22" s="1"/>
  <c r="G13" i="22"/>
  <c r="F13" i="22"/>
  <c r="E13" i="22"/>
  <c r="E246" i="22" s="1"/>
  <c r="D13" i="22"/>
  <c r="D246" i="22" s="1"/>
  <c r="C299" i="21"/>
  <c r="K297" i="21"/>
  <c r="I297" i="21"/>
  <c r="G297" i="21"/>
  <c r="D297" i="21"/>
  <c r="K296" i="21"/>
  <c r="K293" i="21"/>
  <c r="G293" i="21"/>
  <c r="G292" i="21"/>
  <c r="D291" i="21"/>
  <c r="K289" i="21"/>
  <c r="G289" i="21"/>
  <c r="D289" i="21"/>
  <c r="K288" i="21"/>
  <c r="G288" i="21"/>
  <c r="H286" i="21"/>
  <c r="G284" i="21"/>
  <c r="K282" i="21"/>
  <c r="G282" i="21"/>
  <c r="F282" i="21"/>
  <c r="G281" i="21"/>
  <c r="G280" i="21"/>
  <c r="I279" i="21"/>
  <c r="D276" i="21"/>
  <c r="H275" i="21"/>
  <c r="K274" i="21"/>
  <c r="G274" i="21"/>
  <c r="F274" i="21"/>
  <c r="K271" i="21"/>
  <c r="I271" i="21"/>
  <c r="G270" i="21"/>
  <c r="F270" i="21"/>
  <c r="K269" i="21"/>
  <c r="G269" i="21"/>
  <c r="G268" i="21"/>
  <c r="H267" i="21"/>
  <c r="D267" i="21"/>
  <c r="C257" i="21"/>
  <c r="J256" i="21"/>
  <c r="K255" i="21"/>
  <c r="J255" i="21"/>
  <c r="J297" i="21" s="1"/>
  <c r="I255" i="21"/>
  <c r="H255" i="21"/>
  <c r="H297" i="21" s="1"/>
  <c r="G255" i="21"/>
  <c r="F255" i="21"/>
  <c r="F297" i="21" s="1"/>
  <c r="E255" i="21"/>
  <c r="E297" i="21" s="1"/>
  <c r="D255" i="21"/>
  <c r="K254" i="21"/>
  <c r="J254" i="21"/>
  <c r="I254" i="21"/>
  <c r="H254" i="21"/>
  <c r="G254" i="21"/>
  <c r="F254" i="21"/>
  <c r="E254" i="21"/>
  <c r="E296" i="21" s="1"/>
  <c r="D254" i="21"/>
  <c r="K253" i="21"/>
  <c r="J253" i="21"/>
  <c r="I253" i="21"/>
  <c r="H253" i="21"/>
  <c r="H295" i="21" s="1"/>
  <c r="G253" i="21"/>
  <c r="F253" i="21"/>
  <c r="F295" i="21" s="1"/>
  <c r="E253" i="21"/>
  <c r="D253" i="21"/>
  <c r="D295" i="21" s="1"/>
  <c r="K252" i="21"/>
  <c r="J252" i="21"/>
  <c r="I252" i="21"/>
  <c r="H252" i="21"/>
  <c r="G252" i="21"/>
  <c r="F252" i="21"/>
  <c r="E252" i="21"/>
  <c r="E294" i="21" s="1"/>
  <c r="D252" i="21"/>
  <c r="K251" i="21"/>
  <c r="J251" i="21"/>
  <c r="J293" i="21" s="1"/>
  <c r="I251" i="21"/>
  <c r="I293" i="21" s="1"/>
  <c r="H251" i="21"/>
  <c r="H293" i="21" s="1"/>
  <c r="G251" i="21"/>
  <c r="F251" i="21"/>
  <c r="F293" i="21" s="1"/>
  <c r="E251" i="21"/>
  <c r="E293" i="21" s="1"/>
  <c r="D251" i="21"/>
  <c r="D293" i="21" s="1"/>
  <c r="K250" i="21"/>
  <c r="J250" i="21"/>
  <c r="I250" i="21"/>
  <c r="H250" i="21"/>
  <c r="G250" i="21"/>
  <c r="F250" i="21"/>
  <c r="E250" i="21"/>
  <c r="E292" i="21" s="1"/>
  <c r="D250" i="21"/>
  <c r="K249" i="21"/>
  <c r="J249" i="21"/>
  <c r="I249" i="21"/>
  <c r="H249" i="21"/>
  <c r="G249" i="21"/>
  <c r="F249" i="21"/>
  <c r="F291" i="21" s="1"/>
  <c r="E249" i="21"/>
  <c r="D249" i="21"/>
  <c r="K248" i="21"/>
  <c r="J248" i="21"/>
  <c r="I248" i="21"/>
  <c r="H248" i="21"/>
  <c r="G248" i="21"/>
  <c r="F248" i="21"/>
  <c r="E248" i="21"/>
  <c r="E290" i="21" s="1"/>
  <c r="D248" i="21"/>
  <c r="K247" i="21"/>
  <c r="J247" i="21"/>
  <c r="J289" i="21" s="1"/>
  <c r="I247" i="21"/>
  <c r="I289" i="21" s="1"/>
  <c r="H247" i="21"/>
  <c r="H289" i="21" s="1"/>
  <c r="G247" i="21"/>
  <c r="F247" i="21"/>
  <c r="F289" i="21" s="1"/>
  <c r="E247" i="21"/>
  <c r="E289" i="21" s="1"/>
  <c r="D247" i="21"/>
  <c r="K246" i="21"/>
  <c r="J246" i="21"/>
  <c r="J288" i="21" s="1"/>
  <c r="I246" i="21"/>
  <c r="I288" i="21" s="1"/>
  <c r="H246" i="21"/>
  <c r="G246" i="21"/>
  <c r="F246" i="21"/>
  <c r="E246" i="21"/>
  <c r="E288" i="21" s="1"/>
  <c r="D246" i="21"/>
  <c r="K245" i="21"/>
  <c r="J245" i="21"/>
  <c r="I245" i="21"/>
  <c r="H245" i="21"/>
  <c r="H287" i="21" s="1"/>
  <c r="G245" i="21"/>
  <c r="F245" i="21"/>
  <c r="F287" i="21" s="1"/>
  <c r="E245" i="21"/>
  <c r="D245" i="21"/>
  <c r="D287" i="21" s="1"/>
  <c r="K244" i="21"/>
  <c r="J244" i="21"/>
  <c r="I244" i="21"/>
  <c r="H244" i="21"/>
  <c r="G244" i="21"/>
  <c r="F244" i="21"/>
  <c r="E244" i="21"/>
  <c r="E286" i="21" s="1"/>
  <c r="D244" i="21"/>
  <c r="K243" i="21"/>
  <c r="J243" i="21"/>
  <c r="I243" i="21"/>
  <c r="H243" i="21"/>
  <c r="H285" i="21" s="1"/>
  <c r="G243" i="21"/>
  <c r="F243" i="21"/>
  <c r="F285" i="21" s="1"/>
  <c r="E243" i="21"/>
  <c r="D243" i="21"/>
  <c r="K242" i="21"/>
  <c r="J242" i="21"/>
  <c r="I242" i="21"/>
  <c r="H242" i="21"/>
  <c r="G242" i="21"/>
  <c r="F242" i="21"/>
  <c r="E242" i="21"/>
  <c r="E284" i="21" s="1"/>
  <c r="D242" i="21"/>
  <c r="K241" i="21"/>
  <c r="J241" i="21"/>
  <c r="I241" i="21"/>
  <c r="I283" i="21" s="1"/>
  <c r="H241" i="21"/>
  <c r="G241" i="21"/>
  <c r="F241" i="21"/>
  <c r="F283" i="21" s="1"/>
  <c r="E241" i="21"/>
  <c r="D241" i="21"/>
  <c r="K240" i="21"/>
  <c r="J240" i="21"/>
  <c r="J282" i="21" s="1"/>
  <c r="I240" i="21"/>
  <c r="I282" i="21" s="1"/>
  <c r="H240" i="21"/>
  <c r="H282" i="21" s="1"/>
  <c r="G240" i="21"/>
  <c r="F240" i="21"/>
  <c r="E240" i="21"/>
  <c r="E282" i="21" s="1"/>
  <c r="D240" i="21"/>
  <c r="D282" i="21" s="1"/>
  <c r="K239" i="21"/>
  <c r="J239" i="21"/>
  <c r="I239" i="21"/>
  <c r="H239" i="21"/>
  <c r="H281" i="21" s="1"/>
  <c r="G239" i="21"/>
  <c r="F239" i="21"/>
  <c r="F281" i="21" s="1"/>
  <c r="E239" i="21"/>
  <c r="D239" i="21"/>
  <c r="D281" i="21" s="1"/>
  <c r="K238" i="21"/>
  <c r="J238" i="21"/>
  <c r="I238" i="21"/>
  <c r="H238" i="21"/>
  <c r="G238" i="21"/>
  <c r="F238" i="21"/>
  <c r="E238" i="21"/>
  <c r="E280" i="21" s="1"/>
  <c r="D238" i="21"/>
  <c r="K237" i="21"/>
  <c r="J237" i="21"/>
  <c r="I237" i="21"/>
  <c r="H237" i="21"/>
  <c r="H279" i="21" s="1"/>
  <c r="G237" i="21"/>
  <c r="G279" i="21" s="1"/>
  <c r="F237" i="21"/>
  <c r="F279" i="21" s="1"/>
  <c r="E237" i="21"/>
  <c r="E279" i="21" s="1"/>
  <c r="D237" i="21"/>
  <c r="D279" i="21" s="1"/>
  <c r="K236" i="21"/>
  <c r="J236" i="21"/>
  <c r="I236" i="21"/>
  <c r="H236" i="21"/>
  <c r="G236" i="21"/>
  <c r="F236" i="21"/>
  <c r="E236" i="21"/>
  <c r="E278" i="21" s="1"/>
  <c r="D236" i="21"/>
  <c r="K235" i="21"/>
  <c r="J235" i="21"/>
  <c r="I235" i="21"/>
  <c r="H235" i="21"/>
  <c r="H277" i="21" s="1"/>
  <c r="G235" i="21"/>
  <c r="F235" i="21"/>
  <c r="F277" i="21" s="1"/>
  <c r="E235" i="21"/>
  <c r="D235" i="21"/>
  <c r="K234" i="21"/>
  <c r="J234" i="21"/>
  <c r="I234" i="21"/>
  <c r="H234" i="21"/>
  <c r="G234" i="21"/>
  <c r="F234" i="21"/>
  <c r="E234" i="21"/>
  <c r="E276" i="21" s="1"/>
  <c r="D234" i="21"/>
  <c r="K233" i="21"/>
  <c r="J233" i="21"/>
  <c r="I233" i="21"/>
  <c r="H233" i="21"/>
  <c r="G233" i="21"/>
  <c r="F233" i="21"/>
  <c r="F275" i="21" s="1"/>
  <c r="E233" i="21"/>
  <c r="D233" i="21"/>
  <c r="K232" i="21"/>
  <c r="J232" i="21"/>
  <c r="J274" i="21" s="1"/>
  <c r="I232" i="21"/>
  <c r="I274" i="21" s="1"/>
  <c r="H232" i="21"/>
  <c r="H274" i="21" s="1"/>
  <c r="G232" i="21"/>
  <c r="F232" i="21"/>
  <c r="E232" i="21"/>
  <c r="E274" i="21" s="1"/>
  <c r="D232" i="21"/>
  <c r="D274" i="21" s="1"/>
  <c r="K231" i="21"/>
  <c r="J231" i="21"/>
  <c r="I231" i="21"/>
  <c r="I273" i="21" s="1"/>
  <c r="H231" i="21"/>
  <c r="H273" i="21" s="1"/>
  <c r="G231" i="21"/>
  <c r="F231" i="21"/>
  <c r="F273" i="21" s="1"/>
  <c r="E231" i="21"/>
  <c r="D231" i="21"/>
  <c r="D273" i="21" s="1"/>
  <c r="K230" i="21"/>
  <c r="J230" i="21"/>
  <c r="I230" i="21"/>
  <c r="H230" i="21"/>
  <c r="G230" i="21"/>
  <c r="F230" i="21"/>
  <c r="E230" i="21"/>
  <c r="E272" i="21" s="1"/>
  <c r="D230" i="21"/>
  <c r="K229" i="21"/>
  <c r="J229" i="21"/>
  <c r="J271" i="21" s="1"/>
  <c r="I229" i="21"/>
  <c r="H229" i="21"/>
  <c r="H271" i="21" s="1"/>
  <c r="G229" i="21"/>
  <c r="G271" i="21" s="1"/>
  <c r="F229" i="21"/>
  <c r="F271" i="21" s="1"/>
  <c r="E229" i="21"/>
  <c r="E271" i="21" s="1"/>
  <c r="D229" i="21"/>
  <c r="D271" i="21" s="1"/>
  <c r="K228" i="21"/>
  <c r="J228" i="21"/>
  <c r="I228" i="21"/>
  <c r="H228" i="21"/>
  <c r="G228" i="21"/>
  <c r="F228" i="21"/>
  <c r="E228" i="21"/>
  <c r="E270" i="21" s="1"/>
  <c r="D228" i="21"/>
  <c r="K227" i="21"/>
  <c r="J227" i="21"/>
  <c r="J269" i="21" s="1"/>
  <c r="I227" i="21"/>
  <c r="I269" i="21" s="1"/>
  <c r="H227" i="21"/>
  <c r="H269" i="21" s="1"/>
  <c r="G227" i="21"/>
  <c r="F227" i="21"/>
  <c r="F269" i="21" s="1"/>
  <c r="E227" i="21"/>
  <c r="E269" i="21" s="1"/>
  <c r="D227" i="21"/>
  <c r="D269" i="21" s="1"/>
  <c r="K226" i="21"/>
  <c r="K256" i="21" s="1"/>
  <c r="J226" i="21"/>
  <c r="I226" i="21"/>
  <c r="H226" i="21"/>
  <c r="H256" i="21" s="1"/>
  <c r="G226" i="21"/>
  <c r="F226" i="21"/>
  <c r="E226" i="21"/>
  <c r="E268" i="21" s="1"/>
  <c r="D226" i="21"/>
  <c r="K225" i="21"/>
  <c r="J225" i="21"/>
  <c r="I225" i="21"/>
  <c r="I256" i="21" s="1"/>
  <c r="H225" i="21"/>
  <c r="G225" i="21"/>
  <c r="G256" i="21" s="1"/>
  <c r="F225" i="21"/>
  <c r="E225" i="21"/>
  <c r="D225" i="21"/>
  <c r="D256" i="21" s="1"/>
  <c r="C216" i="21"/>
  <c r="J214" i="21"/>
  <c r="I214" i="21"/>
  <c r="H214" i="21"/>
  <c r="F214" i="21"/>
  <c r="E214" i="21"/>
  <c r="H212" i="21"/>
  <c r="F212" i="21"/>
  <c r="F211" i="21"/>
  <c r="I210" i="21"/>
  <c r="H210" i="21"/>
  <c r="F210" i="21"/>
  <c r="E210" i="21"/>
  <c r="J208" i="21"/>
  <c r="I208" i="21"/>
  <c r="F208" i="21"/>
  <c r="E208" i="21"/>
  <c r="K206" i="21"/>
  <c r="J206" i="21"/>
  <c r="I206" i="21"/>
  <c r="H206" i="21"/>
  <c r="F206" i="21"/>
  <c r="E206" i="21"/>
  <c r="J205" i="21"/>
  <c r="F205" i="21"/>
  <c r="J204" i="21"/>
  <c r="H204" i="21"/>
  <c r="E204" i="21"/>
  <c r="J202" i="21"/>
  <c r="H202" i="21"/>
  <c r="F202" i="21"/>
  <c r="E202" i="21"/>
  <c r="J201" i="21"/>
  <c r="J200" i="21"/>
  <c r="G200" i="21"/>
  <c r="F200" i="21"/>
  <c r="E199" i="21"/>
  <c r="J198" i="21"/>
  <c r="F198" i="21"/>
  <c r="K197" i="21"/>
  <c r="H196" i="21"/>
  <c r="E196" i="21"/>
  <c r="F194" i="21"/>
  <c r="E194" i="21"/>
  <c r="J192" i="21"/>
  <c r="H192" i="21"/>
  <c r="F192" i="21"/>
  <c r="J190" i="21"/>
  <c r="H190" i="21"/>
  <c r="F190" i="21"/>
  <c r="E189" i="21"/>
  <c r="I188" i="21"/>
  <c r="H188" i="21"/>
  <c r="E188" i="21"/>
  <c r="J186" i="21"/>
  <c r="I186" i="21"/>
  <c r="H186" i="21"/>
  <c r="F186" i="21"/>
  <c r="E186" i="21"/>
  <c r="D186" i="21"/>
  <c r="E184" i="21"/>
  <c r="C174" i="21"/>
  <c r="K173" i="21"/>
  <c r="J173" i="21"/>
  <c r="J215" i="21" s="1"/>
  <c r="H173" i="21"/>
  <c r="K172" i="21"/>
  <c r="K214" i="21" s="1"/>
  <c r="J172" i="21"/>
  <c r="I172" i="21"/>
  <c r="H172" i="21"/>
  <c r="G172" i="21"/>
  <c r="G214" i="21" s="1"/>
  <c r="F172" i="21"/>
  <c r="E172" i="21"/>
  <c r="D172" i="21"/>
  <c r="D214" i="21" s="1"/>
  <c r="K171" i="21"/>
  <c r="K213" i="21" s="1"/>
  <c r="J171" i="21"/>
  <c r="J213" i="21" s="1"/>
  <c r="I171" i="21"/>
  <c r="I213" i="21" s="1"/>
  <c r="H171" i="21"/>
  <c r="G171" i="21"/>
  <c r="G213" i="21" s="1"/>
  <c r="F171" i="21"/>
  <c r="E171" i="21"/>
  <c r="D171" i="21"/>
  <c r="K170" i="21"/>
  <c r="J170" i="21"/>
  <c r="J212" i="21" s="1"/>
  <c r="I170" i="21"/>
  <c r="H170" i="21"/>
  <c r="G170" i="21"/>
  <c r="G212" i="21" s="1"/>
  <c r="F170" i="21"/>
  <c r="E170" i="21"/>
  <c r="D170" i="21"/>
  <c r="D212" i="21" s="1"/>
  <c r="K169" i="21"/>
  <c r="J169" i="21"/>
  <c r="J211" i="21" s="1"/>
  <c r="I169" i="21"/>
  <c r="I211" i="21" s="1"/>
  <c r="H169" i="21"/>
  <c r="G169" i="21"/>
  <c r="G211" i="21" s="1"/>
  <c r="F169" i="21"/>
  <c r="E169" i="21"/>
  <c r="E211" i="21" s="1"/>
  <c r="D169" i="21"/>
  <c r="K168" i="21"/>
  <c r="K210" i="21" s="1"/>
  <c r="J168" i="21"/>
  <c r="J210" i="21" s="1"/>
  <c r="I168" i="21"/>
  <c r="H168" i="21"/>
  <c r="G168" i="21"/>
  <c r="G210" i="21" s="1"/>
  <c r="F168" i="21"/>
  <c r="E168" i="21"/>
  <c r="D168" i="21"/>
  <c r="D210" i="21" s="1"/>
  <c r="K167" i="21"/>
  <c r="J167" i="21"/>
  <c r="J209" i="21" s="1"/>
  <c r="I167" i="21"/>
  <c r="I209" i="21" s="1"/>
  <c r="H167" i="21"/>
  <c r="G167" i="21"/>
  <c r="G209" i="21" s="1"/>
  <c r="F167" i="21"/>
  <c r="E167" i="21"/>
  <c r="D167" i="21"/>
  <c r="K166" i="21"/>
  <c r="J166" i="21"/>
  <c r="I166" i="21"/>
  <c r="H166" i="21"/>
  <c r="G166" i="21"/>
  <c r="G208" i="21" s="1"/>
  <c r="F166" i="21"/>
  <c r="E166" i="21"/>
  <c r="D166" i="21"/>
  <c r="D208" i="21" s="1"/>
  <c r="K165" i="21"/>
  <c r="K207" i="21" s="1"/>
  <c r="J165" i="21"/>
  <c r="J207" i="21" s="1"/>
  <c r="I165" i="21"/>
  <c r="I207" i="21" s="1"/>
  <c r="H165" i="21"/>
  <c r="G165" i="21"/>
  <c r="G207" i="21" s="1"/>
  <c r="F165" i="21"/>
  <c r="E165" i="21"/>
  <c r="D165" i="21"/>
  <c r="K164" i="21"/>
  <c r="J164" i="21"/>
  <c r="I164" i="21"/>
  <c r="H164" i="21"/>
  <c r="G164" i="21"/>
  <c r="G206" i="21" s="1"/>
  <c r="F164" i="21"/>
  <c r="E164" i="21"/>
  <c r="D164" i="21"/>
  <c r="D206" i="21" s="1"/>
  <c r="K163" i="21"/>
  <c r="K205" i="21" s="1"/>
  <c r="J163" i="21"/>
  <c r="I163" i="21"/>
  <c r="I205" i="21" s="1"/>
  <c r="H163" i="21"/>
  <c r="G163" i="21"/>
  <c r="G205" i="21" s="1"/>
  <c r="F163" i="21"/>
  <c r="E163" i="21"/>
  <c r="E205" i="21" s="1"/>
  <c r="D163" i="21"/>
  <c r="K162" i="21"/>
  <c r="J162" i="21"/>
  <c r="I162" i="21"/>
  <c r="H162" i="21"/>
  <c r="G162" i="21"/>
  <c r="G204" i="21" s="1"/>
  <c r="F162" i="21"/>
  <c r="E162" i="21"/>
  <c r="D162" i="21"/>
  <c r="D204" i="21" s="1"/>
  <c r="K161" i="21"/>
  <c r="K203" i="21" s="1"/>
  <c r="J161" i="21"/>
  <c r="J203" i="21" s="1"/>
  <c r="I161" i="21"/>
  <c r="I203" i="21" s="1"/>
  <c r="H161" i="21"/>
  <c r="G161" i="21"/>
  <c r="G203" i="21" s="1"/>
  <c r="F161" i="21"/>
  <c r="E161" i="21"/>
  <c r="E203" i="21" s="1"/>
  <c r="D161" i="21"/>
  <c r="K160" i="21"/>
  <c r="J160" i="21"/>
  <c r="I160" i="21"/>
  <c r="H160" i="21"/>
  <c r="G160" i="21"/>
  <c r="G202" i="21" s="1"/>
  <c r="F160" i="21"/>
  <c r="E160" i="21"/>
  <c r="D160" i="21"/>
  <c r="D202" i="21" s="1"/>
  <c r="K159" i="21"/>
  <c r="J159" i="21"/>
  <c r="I159" i="21"/>
  <c r="I201" i="21" s="1"/>
  <c r="H159" i="21"/>
  <c r="G159" i="21"/>
  <c r="G201" i="21" s="1"/>
  <c r="F159" i="21"/>
  <c r="E159" i="21"/>
  <c r="D159" i="21"/>
  <c r="K158" i="21"/>
  <c r="J158" i="21"/>
  <c r="I158" i="21"/>
  <c r="H158" i="21"/>
  <c r="G158" i="21"/>
  <c r="F158" i="21"/>
  <c r="E158" i="21"/>
  <c r="D158" i="21"/>
  <c r="D200" i="21" s="1"/>
  <c r="K157" i="21"/>
  <c r="K199" i="21" s="1"/>
  <c r="J157" i="21"/>
  <c r="J199" i="21" s="1"/>
  <c r="I157" i="21"/>
  <c r="I199" i="21" s="1"/>
  <c r="H157" i="21"/>
  <c r="H199" i="21" s="1"/>
  <c r="G157" i="21"/>
  <c r="G199" i="21" s="1"/>
  <c r="F157" i="21"/>
  <c r="F199" i="21" s="1"/>
  <c r="E157" i="21"/>
  <c r="D157" i="21"/>
  <c r="D199" i="21" s="1"/>
  <c r="K156" i="21"/>
  <c r="J156" i="21"/>
  <c r="I156" i="21"/>
  <c r="H156" i="21"/>
  <c r="G156" i="21"/>
  <c r="G198" i="21" s="1"/>
  <c r="F156" i="21"/>
  <c r="E156" i="21"/>
  <c r="D156" i="21"/>
  <c r="D198" i="21" s="1"/>
  <c r="K155" i="21"/>
  <c r="J155" i="21"/>
  <c r="J197" i="21" s="1"/>
  <c r="I155" i="21"/>
  <c r="I197" i="21" s="1"/>
  <c r="H155" i="21"/>
  <c r="G155" i="21"/>
  <c r="G197" i="21" s="1"/>
  <c r="F155" i="21"/>
  <c r="E155" i="21"/>
  <c r="E197" i="21" s="1"/>
  <c r="D155" i="21"/>
  <c r="K154" i="21"/>
  <c r="J154" i="21"/>
  <c r="J196" i="21" s="1"/>
  <c r="I154" i="21"/>
  <c r="H154" i="21"/>
  <c r="G154" i="21"/>
  <c r="G196" i="21" s="1"/>
  <c r="F154" i="21"/>
  <c r="F196" i="21" s="1"/>
  <c r="E154" i="21"/>
  <c r="D154" i="21"/>
  <c r="D196" i="21" s="1"/>
  <c r="K153" i="21"/>
  <c r="K195" i="21" s="1"/>
  <c r="J153" i="21"/>
  <c r="J195" i="21" s="1"/>
  <c r="I153" i="21"/>
  <c r="I195" i="21" s="1"/>
  <c r="H153" i="21"/>
  <c r="G153" i="21"/>
  <c r="G195" i="21" s="1"/>
  <c r="F153" i="21"/>
  <c r="E153" i="21"/>
  <c r="D153" i="21"/>
  <c r="K152" i="21"/>
  <c r="J152" i="21"/>
  <c r="I152" i="21"/>
  <c r="H152" i="21"/>
  <c r="G152" i="21"/>
  <c r="G194" i="21" s="1"/>
  <c r="F152" i="21"/>
  <c r="E152" i="21"/>
  <c r="D152" i="21"/>
  <c r="D194" i="21" s="1"/>
  <c r="K151" i="21"/>
  <c r="J151" i="21"/>
  <c r="J193" i="21" s="1"/>
  <c r="I151" i="21"/>
  <c r="I193" i="21" s="1"/>
  <c r="H151" i="21"/>
  <c r="G151" i="21"/>
  <c r="G193" i="21" s="1"/>
  <c r="F151" i="21"/>
  <c r="E151" i="21"/>
  <c r="D151" i="21"/>
  <c r="K150" i="21"/>
  <c r="J150" i="21"/>
  <c r="I150" i="21"/>
  <c r="H150" i="21"/>
  <c r="G150" i="21"/>
  <c r="G192" i="21" s="1"/>
  <c r="F150" i="21"/>
  <c r="E150" i="21"/>
  <c r="D150" i="21"/>
  <c r="D192" i="21" s="1"/>
  <c r="K149" i="21"/>
  <c r="K191" i="21" s="1"/>
  <c r="J149" i="21"/>
  <c r="J191" i="21" s="1"/>
  <c r="I149" i="21"/>
  <c r="I191" i="21" s="1"/>
  <c r="H149" i="21"/>
  <c r="H191" i="21" s="1"/>
  <c r="G149" i="21"/>
  <c r="G191" i="21" s="1"/>
  <c r="F149" i="21"/>
  <c r="F191" i="21" s="1"/>
  <c r="E149" i="21"/>
  <c r="E191" i="21" s="1"/>
  <c r="D149" i="21"/>
  <c r="D191" i="21" s="1"/>
  <c r="K148" i="21"/>
  <c r="J148" i="21"/>
  <c r="I148" i="21"/>
  <c r="H148" i="21"/>
  <c r="G148" i="21"/>
  <c r="G190" i="21" s="1"/>
  <c r="F148" i="21"/>
  <c r="E148" i="21"/>
  <c r="D148" i="21"/>
  <c r="D190" i="21" s="1"/>
  <c r="K147" i="21"/>
  <c r="K189" i="21" s="1"/>
  <c r="J147" i="21"/>
  <c r="J189" i="21" s="1"/>
  <c r="I147" i="21"/>
  <c r="I189" i="21" s="1"/>
  <c r="H147" i="21"/>
  <c r="G147" i="21"/>
  <c r="G189" i="21" s="1"/>
  <c r="F147" i="21"/>
  <c r="E147" i="21"/>
  <c r="D147" i="21"/>
  <c r="K146" i="21"/>
  <c r="K188" i="21" s="1"/>
  <c r="J146" i="21"/>
  <c r="J188" i="21" s="1"/>
  <c r="I146" i="21"/>
  <c r="H146" i="21"/>
  <c r="G146" i="21"/>
  <c r="G188" i="21" s="1"/>
  <c r="F146" i="21"/>
  <c r="F188" i="21" s="1"/>
  <c r="E146" i="21"/>
  <c r="D146" i="21"/>
  <c r="D188" i="21" s="1"/>
  <c r="K145" i="21"/>
  <c r="J145" i="21"/>
  <c r="J187" i="21" s="1"/>
  <c r="I145" i="21"/>
  <c r="I187" i="21" s="1"/>
  <c r="H145" i="21"/>
  <c r="G145" i="21"/>
  <c r="G187" i="21" s="1"/>
  <c r="F145" i="21"/>
  <c r="E145" i="21"/>
  <c r="D145" i="21"/>
  <c r="K144" i="21"/>
  <c r="K186" i="21" s="1"/>
  <c r="J144" i="21"/>
  <c r="I144" i="21"/>
  <c r="H144" i="21"/>
  <c r="G144" i="21"/>
  <c r="G186" i="21" s="1"/>
  <c r="F144" i="21"/>
  <c r="E144" i="21"/>
  <c r="D144" i="21"/>
  <c r="K143" i="21"/>
  <c r="J143" i="21"/>
  <c r="J185" i="21" s="1"/>
  <c r="I143" i="21"/>
  <c r="H143" i="21"/>
  <c r="G143" i="21"/>
  <c r="G185" i="21" s="1"/>
  <c r="F143" i="21"/>
  <c r="F173" i="21" s="1"/>
  <c r="E143" i="21"/>
  <c r="E185" i="21" s="1"/>
  <c r="D143" i="21"/>
  <c r="K142" i="21"/>
  <c r="J142" i="21"/>
  <c r="I142" i="21"/>
  <c r="H142" i="21"/>
  <c r="G142" i="21"/>
  <c r="G173" i="21" s="1"/>
  <c r="F142" i="21"/>
  <c r="E142" i="21"/>
  <c r="D142" i="21"/>
  <c r="D184" i="21" s="1"/>
  <c r="C132" i="21"/>
  <c r="E130" i="21"/>
  <c r="H129" i="21"/>
  <c r="H128" i="21"/>
  <c r="G127" i="21"/>
  <c r="H126" i="21"/>
  <c r="E126" i="21"/>
  <c r="K125" i="21"/>
  <c r="G125" i="21"/>
  <c r="E125" i="21"/>
  <c r="E124" i="21"/>
  <c r="J123" i="21"/>
  <c r="E123" i="21"/>
  <c r="D123" i="21"/>
  <c r="K121" i="21"/>
  <c r="J121" i="21"/>
  <c r="I121" i="21"/>
  <c r="G121" i="21"/>
  <c r="E121" i="21"/>
  <c r="H120" i="21"/>
  <c r="J119" i="21"/>
  <c r="I119" i="21"/>
  <c r="G119" i="21"/>
  <c r="G117" i="21"/>
  <c r="G116" i="21"/>
  <c r="K115" i="21"/>
  <c r="J115" i="21"/>
  <c r="I115" i="21"/>
  <c r="H115" i="21"/>
  <c r="G115" i="21"/>
  <c r="E115" i="21"/>
  <c r="D115" i="21"/>
  <c r="H114" i="21"/>
  <c r="K113" i="21"/>
  <c r="J113" i="21"/>
  <c r="H112" i="21"/>
  <c r="J111" i="21"/>
  <c r="G111" i="21"/>
  <c r="H110" i="21"/>
  <c r="E110" i="21"/>
  <c r="K109" i="21"/>
  <c r="J107" i="21"/>
  <c r="I107" i="21"/>
  <c r="H107" i="21"/>
  <c r="G107" i="21"/>
  <c r="F107" i="21"/>
  <c r="E107" i="21"/>
  <c r="D107" i="21"/>
  <c r="H106" i="21"/>
  <c r="E106" i="21"/>
  <c r="K104" i="21"/>
  <c r="H104" i="21"/>
  <c r="K103" i="21"/>
  <c r="G103" i="21"/>
  <c r="K102" i="21"/>
  <c r="G100" i="21"/>
  <c r="C90" i="21"/>
  <c r="H89" i="21"/>
  <c r="F89" i="21"/>
  <c r="K88" i="21"/>
  <c r="K130" i="21" s="1"/>
  <c r="J88" i="21"/>
  <c r="J130" i="21" s="1"/>
  <c r="I88" i="21"/>
  <c r="I130" i="21" s="1"/>
  <c r="H88" i="21"/>
  <c r="H130" i="21" s="1"/>
  <c r="G88" i="21"/>
  <c r="G130" i="21" s="1"/>
  <c r="F88" i="21"/>
  <c r="F130" i="21" s="1"/>
  <c r="E88" i="21"/>
  <c r="D88" i="21"/>
  <c r="D130" i="21" s="1"/>
  <c r="K87" i="21"/>
  <c r="J87" i="21"/>
  <c r="I87" i="21"/>
  <c r="H87" i="21"/>
  <c r="G87" i="21"/>
  <c r="F87" i="21"/>
  <c r="E87" i="21"/>
  <c r="D87" i="21"/>
  <c r="K86" i="21"/>
  <c r="J86" i="21"/>
  <c r="J128" i="21" s="1"/>
  <c r="I86" i="21"/>
  <c r="I128" i="21" s="1"/>
  <c r="H86" i="21"/>
  <c r="G86" i="21"/>
  <c r="G128" i="21" s="1"/>
  <c r="F86" i="21"/>
  <c r="F128" i="21" s="1"/>
  <c r="E86" i="21"/>
  <c r="E128" i="21" s="1"/>
  <c r="D86" i="21"/>
  <c r="D128" i="21" s="1"/>
  <c r="K85" i="21"/>
  <c r="J85" i="21"/>
  <c r="I85" i="21"/>
  <c r="H85" i="21"/>
  <c r="G85" i="21"/>
  <c r="F85" i="21"/>
  <c r="F127" i="21" s="1"/>
  <c r="E85" i="21"/>
  <c r="D85" i="21"/>
  <c r="D127" i="21" s="1"/>
  <c r="K84" i="21"/>
  <c r="K126" i="21" s="1"/>
  <c r="J84" i="21"/>
  <c r="J126" i="21" s="1"/>
  <c r="I84" i="21"/>
  <c r="I126" i="21" s="1"/>
  <c r="H84" i="21"/>
  <c r="G84" i="21"/>
  <c r="G126" i="21" s="1"/>
  <c r="F84" i="21"/>
  <c r="F126" i="21" s="1"/>
  <c r="E84" i="21"/>
  <c r="D84" i="21"/>
  <c r="D126" i="21" s="1"/>
  <c r="K83" i="21"/>
  <c r="J83" i="21"/>
  <c r="I83" i="21"/>
  <c r="H83" i="21"/>
  <c r="G83" i="21"/>
  <c r="F83" i="21"/>
  <c r="E83" i="21"/>
  <c r="D83" i="21"/>
  <c r="D125" i="21" s="1"/>
  <c r="K82" i="21"/>
  <c r="J82" i="21"/>
  <c r="J124" i="21" s="1"/>
  <c r="I82" i="21"/>
  <c r="I124" i="21" s="1"/>
  <c r="H82" i="21"/>
  <c r="H124" i="21" s="1"/>
  <c r="G82" i="21"/>
  <c r="G124" i="21" s="1"/>
  <c r="F82" i="21"/>
  <c r="F124" i="21" s="1"/>
  <c r="E82" i="21"/>
  <c r="D82" i="21"/>
  <c r="D124" i="21" s="1"/>
  <c r="K81" i="21"/>
  <c r="J81" i="21"/>
  <c r="I81" i="21"/>
  <c r="H81" i="21"/>
  <c r="G81" i="21"/>
  <c r="F81" i="21"/>
  <c r="E81" i="21"/>
  <c r="D81" i="21"/>
  <c r="K80" i="21"/>
  <c r="K122" i="21" s="1"/>
  <c r="J80" i="21"/>
  <c r="J122" i="21" s="1"/>
  <c r="I80" i="21"/>
  <c r="I122" i="21" s="1"/>
  <c r="H80" i="21"/>
  <c r="H122" i="21" s="1"/>
  <c r="G80" i="21"/>
  <c r="G122" i="21" s="1"/>
  <c r="F80" i="21"/>
  <c r="F122" i="21" s="1"/>
  <c r="E80" i="21"/>
  <c r="E122" i="21" s="1"/>
  <c r="D80" i="21"/>
  <c r="D122" i="21" s="1"/>
  <c r="K79" i="21"/>
  <c r="J79" i="21"/>
  <c r="I79" i="21"/>
  <c r="H79" i="21"/>
  <c r="G79" i="21"/>
  <c r="F79" i="21"/>
  <c r="E79" i="21"/>
  <c r="D79" i="21"/>
  <c r="K78" i="21"/>
  <c r="J78" i="21"/>
  <c r="J120" i="21" s="1"/>
  <c r="I78" i="21"/>
  <c r="I120" i="21" s="1"/>
  <c r="H78" i="21"/>
  <c r="G78" i="21"/>
  <c r="G120" i="21" s="1"/>
  <c r="F78" i="21"/>
  <c r="F120" i="21" s="1"/>
  <c r="E78" i="21"/>
  <c r="E120" i="21" s="1"/>
  <c r="D78" i="21"/>
  <c r="D120" i="21" s="1"/>
  <c r="K77" i="21"/>
  <c r="J77" i="21"/>
  <c r="I77" i="21"/>
  <c r="H77" i="21"/>
  <c r="G77" i="21"/>
  <c r="F77" i="21"/>
  <c r="E77" i="21"/>
  <c r="D77" i="21"/>
  <c r="K76" i="21"/>
  <c r="J76" i="21"/>
  <c r="J118" i="21" s="1"/>
  <c r="I76" i="21"/>
  <c r="I118" i="21" s="1"/>
  <c r="H76" i="21"/>
  <c r="H118" i="21" s="1"/>
  <c r="G76" i="21"/>
  <c r="G118" i="21" s="1"/>
  <c r="F76" i="21"/>
  <c r="F118" i="21" s="1"/>
  <c r="E76" i="21"/>
  <c r="E118" i="21" s="1"/>
  <c r="D76" i="21"/>
  <c r="D118" i="21" s="1"/>
  <c r="K75" i="21"/>
  <c r="J75" i="21"/>
  <c r="I75" i="21"/>
  <c r="H75" i="21"/>
  <c r="G75" i="21"/>
  <c r="F75" i="21"/>
  <c r="E75" i="21"/>
  <c r="D75" i="21"/>
  <c r="D117" i="21" s="1"/>
  <c r="K74" i="21"/>
  <c r="J74" i="21"/>
  <c r="J116" i="21" s="1"/>
  <c r="I74" i="21"/>
  <c r="I116" i="21" s="1"/>
  <c r="H74" i="21"/>
  <c r="H116" i="21" s="1"/>
  <c r="G74" i="21"/>
  <c r="F74" i="21"/>
  <c r="F116" i="21" s="1"/>
  <c r="E74" i="21"/>
  <c r="E116" i="21" s="1"/>
  <c r="D74" i="21"/>
  <c r="D116" i="21" s="1"/>
  <c r="K73" i="21"/>
  <c r="J73" i="21"/>
  <c r="I73" i="21"/>
  <c r="H73" i="21"/>
  <c r="G73" i="21"/>
  <c r="F73" i="21"/>
  <c r="F115" i="21" s="1"/>
  <c r="E73" i="21"/>
  <c r="D73" i="21"/>
  <c r="K72" i="21"/>
  <c r="K114" i="21" s="1"/>
  <c r="J72" i="21"/>
  <c r="J114" i="21" s="1"/>
  <c r="I72" i="21"/>
  <c r="I114" i="21" s="1"/>
  <c r="H72" i="21"/>
  <c r="G72" i="21"/>
  <c r="G114" i="21" s="1"/>
  <c r="F72" i="21"/>
  <c r="F114" i="21" s="1"/>
  <c r="E72" i="21"/>
  <c r="E114" i="21" s="1"/>
  <c r="D72" i="21"/>
  <c r="D114" i="21" s="1"/>
  <c r="K71" i="21"/>
  <c r="J71" i="21"/>
  <c r="I71" i="21"/>
  <c r="H71" i="21"/>
  <c r="G71" i="21"/>
  <c r="F71" i="21"/>
  <c r="E71" i="21"/>
  <c r="D71" i="21"/>
  <c r="K70" i="21"/>
  <c r="J70" i="21"/>
  <c r="J112" i="21" s="1"/>
  <c r="I70" i="21"/>
  <c r="I112" i="21" s="1"/>
  <c r="H70" i="21"/>
  <c r="G70" i="21"/>
  <c r="G112" i="21" s="1"/>
  <c r="F70" i="21"/>
  <c r="F112" i="21" s="1"/>
  <c r="E70" i="21"/>
  <c r="E112" i="21" s="1"/>
  <c r="D70" i="21"/>
  <c r="D112" i="21" s="1"/>
  <c r="K69" i="21"/>
  <c r="J69" i="21"/>
  <c r="I69" i="21"/>
  <c r="H69" i="21"/>
  <c r="G69" i="21"/>
  <c r="F69" i="21"/>
  <c r="E69" i="21"/>
  <c r="D69" i="21"/>
  <c r="K68" i="21"/>
  <c r="K110" i="21" s="1"/>
  <c r="J68" i="21"/>
  <c r="J110" i="21" s="1"/>
  <c r="I68" i="21"/>
  <c r="I110" i="21" s="1"/>
  <c r="H68" i="21"/>
  <c r="G68" i="21"/>
  <c r="G110" i="21" s="1"/>
  <c r="F68" i="21"/>
  <c r="F110" i="21" s="1"/>
  <c r="E68" i="21"/>
  <c r="D68" i="21"/>
  <c r="D110" i="21" s="1"/>
  <c r="K67" i="21"/>
  <c r="J67" i="21"/>
  <c r="J109" i="21" s="1"/>
  <c r="I67" i="21"/>
  <c r="H67" i="21"/>
  <c r="G67" i="21"/>
  <c r="G109" i="21" s="1"/>
  <c r="F67" i="21"/>
  <c r="E67" i="21"/>
  <c r="D67" i="21"/>
  <c r="D109" i="21" s="1"/>
  <c r="K66" i="21"/>
  <c r="K108" i="21" s="1"/>
  <c r="J66" i="21"/>
  <c r="J108" i="21" s="1"/>
  <c r="I66" i="21"/>
  <c r="I108" i="21" s="1"/>
  <c r="H66" i="21"/>
  <c r="H108" i="21" s="1"/>
  <c r="G66" i="21"/>
  <c r="G108" i="21" s="1"/>
  <c r="F66" i="21"/>
  <c r="F108" i="21" s="1"/>
  <c r="E66" i="21"/>
  <c r="E108" i="21" s="1"/>
  <c r="D66" i="21"/>
  <c r="D108" i="21" s="1"/>
  <c r="K65" i="21"/>
  <c r="K107" i="21" s="1"/>
  <c r="J65" i="21"/>
  <c r="I65" i="21"/>
  <c r="H65" i="21"/>
  <c r="G65" i="21"/>
  <c r="F65" i="21"/>
  <c r="E65" i="21"/>
  <c r="D65" i="21"/>
  <c r="K64" i="21"/>
  <c r="J64" i="21"/>
  <c r="J106" i="21" s="1"/>
  <c r="I64" i="21"/>
  <c r="I106" i="21" s="1"/>
  <c r="H64" i="21"/>
  <c r="G64" i="21"/>
  <c r="G106" i="21" s="1"/>
  <c r="F64" i="21"/>
  <c r="F106" i="21" s="1"/>
  <c r="E64" i="21"/>
  <c r="D64" i="21"/>
  <c r="D106" i="21" s="1"/>
  <c r="K63" i="21"/>
  <c r="J63" i="21"/>
  <c r="J105" i="21" s="1"/>
  <c r="I63" i="21"/>
  <c r="H63" i="21"/>
  <c r="G63" i="21"/>
  <c r="G105" i="21" s="1"/>
  <c r="F63" i="21"/>
  <c r="E63" i="21"/>
  <c r="D63" i="21"/>
  <c r="D105" i="21" s="1"/>
  <c r="K62" i="21"/>
  <c r="J62" i="21"/>
  <c r="J104" i="21" s="1"/>
  <c r="I62" i="21"/>
  <c r="I104" i="21" s="1"/>
  <c r="H62" i="21"/>
  <c r="G62" i="21"/>
  <c r="G104" i="21" s="1"/>
  <c r="F62" i="21"/>
  <c r="F104" i="21" s="1"/>
  <c r="E62" i="21"/>
  <c r="E104" i="21" s="1"/>
  <c r="D62" i="21"/>
  <c r="D104" i="21" s="1"/>
  <c r="K61" i="21"/>
  <c r="J61" i="21"/>
  <c r="J103" i="21" s="1"/>
  <c r="I61" i="21"/>
  <c r="H61" i="21"/>
  <c r="G61" i="21"/>
  <c r="F61" i="21"/>
  <c r="F103" i="21" s="1"/>
  <c r="E61" i="21"/>
  <c r="D61" i="21"/>
  <c r="D103" i="21" s="1"/>
  <c r="K60" i="21"/>
  <c r="J60" i="21"/>
  <c r="J102" i="21" s="1"/>
  <c r="I60" i="21"/>
  <c r="I102" i="21" s="1"/>
  <c r="H60" i="21"/>
  <c r="H102" i="21" s="1"/>
  <c r="G60" i="21"/>
  <c r="G102" i="21" s="1"/>
  <c r="F60" i="21"/>
  <c r="F102" i="21" s="1"/>
  <c r="E60" i="21"/>
  <c r="E102" i="21" s="1"/>
  <c r="D60" i="21"/>
  <c r="D102" i="21" s="1"/>
  <c r="K59" i="21"/>
  <c r="J59" i="21"/>
  <c r="I59" i="21"/>
  <c r="H59" i="21"/>
  <c r="G59" i="21"/>
  <c r="G101" i="21" s="1"/>
  <c r="F59" i="21"/>
  <c r="E59" i="21"/>
  <c r="D59" i="21"/>
  <c r="D101" i="21" s="1"/>
  <c r="K58" i="21"/>
  <c r="K89" i="21" s="1"/>
  <c r="J58" i="21"/>
  <c r="I58" i="21"/>
  <c r="H58" i="21"/>
  <c r="H100" i="21" s="1"/>
  <c r="G58" i="21"/>
  <c r="G89" i="21" s="1"/>
  <c r="F58" i="21"/>
  <c r="E58" i="21"/>
  <c r="E89" i="21" s="1"/>
  <c r="D58" i="21"/>
  <c r="C47" i="21"/>
  <c r="K45" i="21"/>
  <c r="J45" i="21"/>
  <c r="I45" i="21"/>
  <c r="H45" i="21"/>
  <c r="G45" i="21"/>
  <c r="F45" i="21"/>
  <c r="E45" i="21"/>
  <c r="D45" i="21"/>
  <c r="K44" i="21"/>
  <c r="K129" i="21" s="1"/>
  <c r="J44" i="21"/>
  <c r="J129" i="21" s="1"/>
  <c r="I44" i="21"/>
  <c r="I129" i="21" s="1"/>
  <c r="H44" i="21"/>
  <c r="G44" i="21"/>
  <c r="G296" i="21" s="1"/>
  <c r="F44" i="21"/>
  <c r="F296" i="21" s="1"/>
  <c r="E44" i="21"/>
  <c r="E213" i="21" s="1"/>
  <c r="D44" i="21"/>
  <c r="K43" i="21"/>
  <c r="J43" i="21"/>
  <c r="I43" i="21"/>
  <c r="I295" i="21" s="1"/>
  <c r="H43" i="21"/>
  <c r="G43" i="21"/>
  <c r="F43" i="21"/>
  <c r="E43" i="21"/>
  <c r="E212" i="21" s="1"/>
  <c r="D43" i="21"/>
  <c r="K42" i="21"/>
  <c r="K127" i="21" s="1"/>
  <c r="J42" i="21"/>
  <c r="J127" i="21" s="1"/>
  <c r="I42" i="21"/>
  <c r="H42" i="21"/>
  <c r="H127" i="21" s="1"/>
  <c r="G42" i="21"/>
  <c r="G294" i="21" s="1"/>
  <c r="F42" i="21"/>
  <c r="F294" i="21" s="1"/>
  <c r="E42" i="21"/>
  <c r="E127" i="21" s="1"/>
  <c r="D42" i="21"/>
  <c r="K41" i="21"/>
  <c r="J41" i="21"/>
  <c r="I41" i="21"/>
  <c r="H41" i="21"/>
  <c r="G41" i="21"/>
  <c r="F41" i="21"/>
  <c r="E41" i="21"/>
  <c r="D41" i="21"/>
  <c r="K40" i="21"/>
  <c r="K209" i="21" s="1"/>
  <c r="J40" i="21"/>
  <c r="J125" i="21" s="1"/>
  <c r="I40" i="21"/>
  <c r="H40" i="21"/>
  <c r="H125" i="21" s="1"/>
  <c r="G40" i="21"/>
  <c r="F40" i="21"/>
  <c r="F209" i="21" s="1"/>
  <c r="E40" i="21"/>
  <c r="D40" i="21"/>
  <c r="D292" i="21" s="1"/>
  <c r="K39" i="21"/>
  <c r="J39" i="21"/>
  <c r="I39" i="21"/>
  <c r="I291" i="21" s="1"/>
  <c r="H39" i="21"/>
  <c r="G39" i="21"/>
  <c r="G291" i="21" s="1"/>
  <c r="F39" i="21"/>
  <c r="E39" i="21"/>
  <c r="D39" i="21"/>
  <c r="K38" i="21"/>
  <c r="J38" i="21"/>
  <c r="I38" i="21"/>
  <c r="I123" i="21" s="1"/>
  <c r="H38" i="21"/>
  <c r="H123" i="21" s="1"/>
  <c r="G38" i="21"/>
  <c r="F38" i="21"/>
  <c r="F290" i="21" s="1"/>
  <c r="E38" i="21"/>
  <c r="D38" i="21"/>
  <c r="K37" i="21"/>
  <c r="J37" i="21"/>
  <c r="I37" i="21"/>
  <c r="H37" i="21"/>
  <c r="G37" i="21"/>
  <c r="F37" i="21"/>
  <c r="E37" i="21"/>
  <c r="D37" i="21"/>
  <c r="K36" i="21"/>
  <c r="J36" i="21"/>
  <c r="I36" i="21"/>
  <c r="H36" i="21"/>
  <c r="H121" i="21" s="1"/>
  <c r="G36" i="21"/>
  <c r="F36" i="21"/>
  <c r="F288" i="21" s="1"/>
  <c r="E36" i="21"/>
  <c r="D36" i="21"/>
  <c r="K35" i="21"/>
  <c r="J35" i="21"/>
  <c r="I35" i="21"/>
  <c r="I204" i="21" s="1"/>
  <c r="H35" i="21"/>
  <c r="G35" i="21"/>
  <c r="F35" i="21"/>
  <c r="F204" i="21" s="1"/>
  <c r="E35" i="21"/>
  <c r="D35" i="21"/>
  <c r="K34" i="21"/>
  <c r="K119" i="21" s="1"/>
  <c r="J34" i="21"/>
  <c r="I34" i="21"/>
  <c r="H34" i="21"/>
  <c r="H119" i="21" s="1"/>
  <c r="G34" i="21"/>
  <c r="G286" i="21" s="1"/>
  <c r="F34" i="21"/>
  <c r="F203" i="21" s="1"/>
  <c r="E34" i="21"/>
  <c r="E119" i="21" s="1"/>
  <c r="D34" i="21"/>
  <c r="D119" i="21" s="1"/>
  <c r="K33" i="21"/>
  <c r="K285" i="21" s="1"/>
  <c r="J33" i="21"/>
  <c r="I33" i="21"/>
  <c r="I202" i="21" s="1"/>
  <c r="H33" i="21"/>
  <c r="G33" i="21"/>
  <c r="G285" i="21" s="1"/>
  <c r="F33" i="21"/>
  <c r="E33" i="21"/>
  <c r="D33" i="21"/>
  <c r="K32" i="21"/>
  <c r="K117" i="21" s="1"/>
  <c r="J32" i="21"/>
  <c r="J117" i="21" s="1"/>
  <c r="I32" i="21"/>
  <c r="I117" i="21" s="1"/>
  <c r="H32" i="21"/>
  <c r="H117" i="21" s="1"/>
  <c r="G32" i="21"/>
  <c r="F32" i="21"/>
  <c r="F284" i="21" s="1"/>
  <c r="E32" i="21"/>
  <c r="E117" i="21" s="1"/>
  <c r="D32" i="21"/>
  <c r="D284" i="21" s="1"/>
  <c r="K31" i="21"/>
  <c r="J31" i="21"/>
  <c r="I31" i="21"/>
  <c r="I200" i="21" s="1"/>
  <c r="H31" i="21"/>
  <c r="G31" i="21"/>
  <c r="G283" i="21" s="1"/>
  <c r="F31" i="21"/>
  <c r="E31" i="21"/>
  <c r="E200" i="21" s="1"/>
  <c r="D31" i="21"/>
  <c r="D283" i="21" s="1"/>
  <c r="K30" i="21"/>
  <c r="J30" i="21"/>
  <c r="I30" i="21"/>
  <c r="H30" i="21"/>
  <c r="G30" i="21"/>
  <c r="F30" i="21"/>
  <c r="E30" i="21"/>
  <c r="D30" i="21"/>
  <c r="K29" i="21"/>
  <c r="K281" i="21" s="1"/>
  <c r="J29" i="21"/>
  <c r="I29" i="21"/>
  <c r="I198" i="21" s="1"/>
  <c r="H29" i="21"/>
  <c r="H198" i="21" s="1"/>
  <c r="G29" i="21"/>
  <c r="F29" i="21"/>
  <c r="E29" i="21"/>
  <c r="E198" i="21" s="1"/>
  <c r="D29" i="21"/>
  <c r="K28" i="21"/>
  <c r="K280" i="21" s="1"/>
  <c r="J28" i="21"/>
  <c r="I28" i="21"/>
  <c r="I113" i="21" s="1"/>
  <c r="H28" i="21"/>
  <c r="G28" i="21"/>
  <c r="G113" i="21" s="1"/>
  <c r="F28" i="21"/>
  <c r="E28" i="21"/>
  <c r="E113" i="21" s="1"/>
  <c r="D28" i="21"/>
  <c r="K27" i="21"/>
  <c r="J27" i="21"/>
  <c r="I27" i="21"/>
  <c r="I196" i="21" s="1"/>
  <c r="H27" i="21"/>
  <c r="G27" i="21"/>
  <c r="F27" i="21"/>
  <c r="E27" i="21"/>
  <c r="D27" i="21"/>
  <c r="K26" i="21"/>
  <c r="K278" i="21" s="1"/>
  <c r="J26" i="21"/>
  <c r="I26" i="21"/>
  <c r="H26" i="21"/>
  <c r="H111" i="21" s="1"/>
  <c r="G26" i="21"/>
  <c r="G278" i="21" s="1"/>
  <c r="F26" i="21"/>
  <c r="F278" i="21" s="1"/>
  <c r="E26" i="21"/>
  <c r="E111" i="21" s="1"/>
  <c r="D26" i="21"/>
  <c r="K25" i="21"/>
  <c r="J25" i="21"/>
  <c r="J194" i="21" s="1"/>
  <c r="I25" i="21"/>
  <c r="I194" i="21" s="1"/>
  <c r="H25" i="21"/>
  <c r="H194" i="21" s="1"/>
  <c r="G25" i="21"/>
  <c r="G277" i="21" s="1"/>
  <c r="F25" i="21"/>
  <c r="E25" i="21"/>
  <c r="D25" i="21"/>
  <c r="K24" i="21"/>
  <c r="K276" i="21" s="1"/>
  <c r="J24" i="21"/>
  <c r="I24" i="21"/>
  <c r="I109" i="21" s="1"/>
  <c r="H24" i="21"/>
  <c r="H109" i="21" s="1"/>
  <c r="G24" i="21"/>
  <c r="G276" i="21" s="1"/>
  <c r="F24" i="21"/>
  <c r="F276" i="21" s="1"/>
  <c r="E24" i="21"/>
  <c r="E109" i="21" s="1"/>
  <c r="D24" i="21"/>
  <c r="K23" i="21"/>
  <c r="J23" i="21"/>
  <c r="I23" i="21"/>
  <c r="I192" i="21" s="1"/>
  <c r="H23" i="21"/>
  <c r="G23" i="21"/>
  <c r="F23" i="21"/>
  <c r="E23" i="21"/>
  <c r="E192" i="21" s="1"/>
  <c r="D23" i="21"/>
  <c r="D275" i="21" s="1"/>
  <c r="K22" i="21"/>
  <c r="J22" i="21"/>
  <c r="I22" i="21"/>
  <c r="H22" i="21"/>
  <c r="G22" i="21"/>
  <c r="F22" i="21"/>
  <c r="E22" i="21"/>
  <c r="D22" i="21"/>
  <c r="K21" i="21"/>
  <c r="J21" i="21"/>
  <c r="I21" i="21"/>
  <c r="I190" i="21" s="1"/>
  <c r="H21" i="21"/>
  <c r="G21" i="21"/>
  <c r="G273" i="21" s="1"/>
  <c r="F21" i="21"/>
  <c r="E21" i="21"/>
  <c r="E190" i="21" s="1"/>
  <c r="D21" i="21"/>
  <c r="K20" i="21"/>
  <c r="K272" i="21" s="1"/>
  <c r="J20" i="21"/>
  <c r="I20" i="21"/>
  <c r="I105" i="21" s="1"/>
  <c r="H20" i="21"/>
  <c r="G20" i="21"/>
  <c r="G272" i="21" s="1"/>
  <c r="F20" i="21"/>
  <c r="F272" i="21" s="1"/>
  <c r="E20" i="21"/>
  <c r="E105" i="21" s="1"/>
  <c r="D20" i="21"/>
  <c r="K19" i="21"/>
  <c r="J19" i="21"/>
  <c r="I19" i="21"/>
  <c r="H19" i="21"/>
  <c r="G19" i="21"/>
  <c r="F19" i="21"/>
  <c r="E19" i="21"/>
  <c r="D19" i="21"/>
  <c r="K18" i="21"/>
  <c r="K187" i="21" s="1"/>
  <c r="J18" i="21"/>
  <c r="I18" i="21"/>
  <c r="H18" i="21"/>
  <c r="G18" i="21"/>
  <c r="F18" i="21"/>
  <c r="F187" i="21" s="1"/>
  <c r="E18" i="21"/>
  <c r="D18" i="21"/>
  <c r="K17" i="21"/>
  <c r="J17" i="21"/>
  <c r="I17" i="21"/>
  <c r="H17" i="21"/>
  <c r="G17" i="21"/>
  <c r="F17" i="21"/>
  <c r="E17" i="21"/>
  <c r="D17" i="21"/>
  <c r="K16" i="21"/>
  <c r="K268" i="21" s="1"/>
  <c r="J16" i="21"/>
  <c r="J46" i="21" s="1"/>
  <c r="I16" i="21"/>
  <c r="I101" i="21" s="1"/>
  <c r="H16" i="21"/>
  <c r="H101" i="21" s="1"/>
  <c r="G16" i="21"/>
  <c r="F16" i="21"/>
  <c r="F185" i="21" s="1"/>
  <c r="E16" i="21"/>
  <c r="E46" i="21" s="1"/>
  <c r="D16" i="21"/>
  <c r="D268" i="21" s="1"/>
  <c r="K15" i="21"/>
  <c r="J15" i="21"/>
  <c r="J184" i="21" s="1"/>
  <c r="I15" i="21"/>
  <c r="I184" i="21" s="1"/>
  <c r="H15" i="21"/>
  <c r="H184" i="21" s="1"/>
  <c r="G15" i="21"/>
  <c r="G46" i="21" s="1"/>
  <c r="F15" i="21"/>
  <c r="F184" i="21" s="1"/>
  <c r="E15" i="21"/>
  <c r="D15" i="21"/>
  <c r="V275" i="20"/>
  <c r="T275" i="20"/>
  <c r="O275" i="20"/>
  <c r="F275" i="20"/>
  <c r="D275" i="20"/>
  <c r="I274" i="20"/>
  <c r="G274" i="20"/>
  <c r="L273" i="20"/>
  <c r="J273" i="20"/>
  <c r="S272" i="20"/>
  <c r="Q272" i="20"/>
  <c r="P272" i="20"/>
  <c r="O272" i="20"/>
  <c r="M272" i="20"/>
  <c r="H272" i="20"/>
  <c r="R271" i="20"/>
  <c r="P271" i="20"/>
  <c r="U270" i="20"/>
  <c r="S270" i="20"/>
  <c r="E270" i="20"/>
  <c r="V269" i="20"/>
  <c r="H269" i="20"/>
  <c r="F269" i="20"/>
  <c r="T268" i="20"/>
  <c r="O268" i="20"/>
  <c r="M268" i="20"/>
  <c r="L268" i="20"/>
  <c r="K268" i="20"/>
  <c r="I268" i="20"/>
  <c r="D268" i="20"/>
  <c r="R267" i="20"/>
  <c r="P267" i="20"/>
  <c r="O267" i="20"/>
  <c r="N267" i="20"/>
  <c r="L267" i="20"/>
  <c r="G267" i="20"/>
  <c r="Q266" i="20"/>
  <c r="O266" i="20"/>
  <c r="T265" i="20"/>
  <c r="R265" i="20"/>
  <c r="D265" i="20"/>
  <c r="U264" i="20"/>
  <c r="G264" i="20"/>
  <c r="E264" i="20"/>
  <c r="J263" i="20"/>
  <c r="H263" i="20"/>
  <c r="V262" i="20"/>
  <c r="M262" i="20"/>
  <c r="K262" i="20"/>
  <c r="P261" i="20"/>
  <c r="N261" i="20"/>
  <c r="S260" i="20"/>
  <c r="Q260" i="20"/>
  <c r="V259" i="20"/>
  <c r="U259" i="20"/>
  <c r="T259" i="20"/>
  <c r="S259" i="20"/>
  <c r="Q259" i="20"/>
  <c r="P259" i="20"/>
  <c r="O259" i="20"/>
  <c r="N259" i="20"/>
  <c r="M259" i="20"/>
  <c r="L259" i="20"/>
  <c r="K259" i="20"/>
  <c r="J259" i="20"/>
  <c r="I259" i="20"/>
  <c r="H259" i="20"/>
  <c r="G259" i="20"/>
  <c r="F259" i="20"/>
  <c r="E259" i="20"/>
  <c r="D259" i="20"/>
  <c r="T258" i="20"/>
  <c r="D258" i="20"/>
  <c r="L257" i="20"/>
  <c r="G257" i="20"/>
  <c r="J256" i="20"/>
  <c r="M255" i="20"/>
  <c r="V254" i="20"/>
  <c r="U254" i="20"/>
  <c r="S254" i="20"/>
  <c r="R254" i="20"/>
  <c r="P254" i="20"/>
  <c r="S253" i="20"/>
  <c r="H253" i="20"/>
  <c r="V252" i="20"/>
  <c r="F252" i="20"/>
  <c r="U251" i="20"/>
  <c r="P251" i="20"/>
  <c r="O251" i="20"/>
  <c r="N251" i="20"/>
  <c r="L251" i="20"/>
  <c r="K251" i="20"/>
  <c r="I251" i="20"/>
  <c r="E251" i="20"/>
  <c r="L250" i="20"/>
  <c r="V249" i="20"/>
  <c r="U249" i="20"/>
  <c r="T249" i="20"/>
  <c r="R249" i="20"/>
  <c r="Q249" i="20"/>
  <c r="O249" i="20"/>
  <c r="R248" i="20"/>
  <c r="N248" i="20"/>
  <c r="I248" i="20"/>
  <c r="H248" i="20"/>
  <c r="G248" i="20"/>
  <c r="E248" i="20"/>
  <c r="D248" i="20"/>
  <c r="U247" i="20"/>
  <c r="E247" i="20"/>
  <c r="V236" i="20"/>
  <c r="U236" i="20"/>
  <c r="U275" i="20" s="1"/>
  <c r="T236" i="20"/>
  <c r="S236" i="20"/>
  <c r="S275" i="20" s="1"/>
  <c r="R236" i="20"/>
  <c r="R275" i="20" s="1"/>
  <c r="Q236" i="20"/>
  <c r="Q275" i="20" s="1"/>
  <c r="P236" i="20"/>
  <c r="P275" i="20" s="1"/>
  <c r="O236" i="20"/>
  <c r="N236" i="20"/>
  <c r="N275" i="20" s="1"/>
  <c r="M236" i="20"/>
  <c r="M275" i="20" s="1"/>
  <c r="L236" i="20"/>
  <c r="L275" i="20" s="1"/>
  <c r="K236" i="20"/>
  <c r="K275" i="20" s="1"/>
  <c r="J236" i="20"/>
  <c r="I236" i="20"/>
  <c r="H236" i="20"/>
  <c r="G236" i="20"/>
  <c r="F236" i="20"/>
  <c r="E236" i="20"/>
  <c r="D236" i="20"/>
  <c r="V235" i="20"/>
  <c r="U235" i="20"/>
  <c r="U274" i="20" s="1"/>
  <c r="T235" i="20"/>
  <c r="S235" i="20"/>
  <c r="R235" i="20"/>
  <c r="Q235" i="20"/>
  <c r="P235" i="20"/>
  <c r="O235" i="20"/>
  <c r="N235" i="20"/>
  <c r="N274" i="20" s="1"/>
  <c r="M235" i="20"/>
  <c r="L235" i="20"/>
  <c r="K235" i="20"/>
  <c r="J235" i="20"/>
  <c r="I235" i="20"/>
  <c r="H235" i="20"/>
  <c r="G235" i="20"/>
  <c r="F235" i="20"/>
  <c r="E235" i="20"/>
  <c r="E274" i="20" s="1"/>
  <c r="D235" i="20"/>
  <c r="V234" i="20"/>
  <c r="U234" i="20"/>
  <c r="T234" i="20"/>
  <c r="S234" i="20"/>
  <c r="R234" i="20"/>
  <c r="Q234" i="20"/>
  <c r="Q273" i="20" s="1"/>
  <c r="P234" i="20"/>
  <c r="O234" i="20"/>
  <c r="N234" i="20"/>
  <c r="M234" i="20"/>
  <c r="L234" i="20"/>
  <c r="K234" i="20"/>
  <c r="J234" i="20"/>
  <c r="I234" i="20"/>
  <c r="H234" i="20"/>
  <c r="H273" i="20" s="1"/>
  <c r="G234" i="20"/>
  <c r="F234" i="20"/>
  <c r="E234" i="20"/>
  <c r="D234" i="20"/>
  <c r="V233" i="20"/>
  <c r="V272" i="20" s="1"/>
  <c r="U233" i="20"/>
  <c r="U272" i="20" s="1"/>
  <c r="T233" i="20"/>
  <c r="T272" i="20" s="1"/>
  <c r="S233" i="20"/>
  <c r="R233" i="20"/>
  <c r="R272" i="20" s="1"/>
  <c r="Q233" i="20"/>
  <c r="P233" i="20"/>
  <c r="O233" i="20"/>
  <c r="N233" i="20"/>
  <c r="N272" i="20" s="1"/>
  <c r="M233" i="20"/>
  <c r="L233" i="20"/>
  <c r="L272" i="20" s="1"/>
  <c r="K233" i="20"/>
  <c r="K272" i="20" s="1"/>
  <c r="J233" i="20"/>
  <c r="J272" i="20" s="1"/>
  <c r="I233" i="20"/>
  <c r="I272" i="20" s="1"/>
  <c r="H233" i="20"/>
  <c r="G233" i="20"/>
  <c r="G272" i="20" s="1"/>
  <c r="F233" i="20"/>
  <c r="F272" i="20" s="1"/>
  <c r="E233" i="20"/>
  <c r="E272" i="20" s="1"/>
  <c r="D233" i="20"/>
  <c r="D272" i="20" s="1"/>
  <c r="V232" i="20"/>
  <c r="U232" i="20"/>
  <c r="T232" i="20"/>
  <c r="S232" i="20"/>
  <c r="R232" i="20"/>
  <c r="Q232" i="20"/>
  <c r="P232" i="20"/>
  <c r="O232" i="20"/>
  <c r="N232" i="20"/>
  <c r="N271" i="20" s="1"/>
  <c r="M232" i="20"/>
  <c r="L232" i="20"/>
  <c r="K232" i="20"/>
  <c r="J232" i="20"/>
  <c r="I232" i="20"/>
  <c r="H232" i="20"/>
  <c r="G232" i="20"/>
  <c r="G271" i="20" s="1"/>
  <c r="F232" i="20"/>
  <c r="E232" i="20"/>
  <c r="D232" i="20"/>
  <c r="V231" i="20"/>
  <c r="U231" i="20"/>
  <c r="T231" i="20"/>
  <c r="S231" i="20"/>
  <c r="R231" i="20"/>
  <c r="Q231" i="20"/>
  <c r="Q270" i="20" s="1"/>
  <c r="P231" i="20"/>
  <c r="O231" i="20"/>
  <c r="N231" i="20"/>
  <c r="M231" i="20"/>
  <c r="L231" i="20"/>
  <c r="K231" i="20"/>
  <c r="J231" i="20"/>
  <c r="J270" i="20" s="1"/>
  <c r="I231" i="20"/>
  <c r="H231" i="20"/>
  <c r="G231" i="20"/>
  <c r="F231" i="20"/>
  <c r="E231" i="20"/>
  <c r="D231" i="20"/>
  <c r="V230" i="20"/>
  <c r="U230" i="20"/>
  <c r="T230" i="20"/>
  <c r="T269" i="20" s="1"/>
  <c r="S230" i="20"/>
  <c r="R230" i="20"/>
  <c r="Q230" i="20"/>
  <c r="P230" i="20"/>
  <c r="O230" i="20"/>
  <c r="N230" i="20"/>
  <c r="M230" i="20"/>
  <c r="M269" i="20" s="1"/>
  <c r="L230" i="20"/>
  <c r="K230" i="20"/>
  <c r="J230" i="20"/>
  <c r="I230" i="20"/>
  <c r="H230" i="20"/>
  <c r="G230" i="20"/>
  <c r="F230" i="20"/>
  <c r="E230" i="20"/>
  <c r="D230" i="20"/>
  <c r="D269" i="20" s="1"/>
  <c r="V229" i="20"/>
  <c r="V268" i="20" s="1"/>
  <c r="U229" i="20"/>
  <c r="U268" i="20" s="1"/>
  <c r="T229" i="20"/>
  <c r="S229" i="20"/>
  <c r="S268" i="20" s="1"/>
  <c r="R229" i="20"/>
  <c r="R268" i="20" s="1"/>
  <c r="Q229" i="20"/>
  <c r="Q268" i="20" s="1"/>
  <c r="P229" i="20"/>
  <c r="P268" i="20" s="1"/>
  <c r="O229" i="20"/>
  <c r="N229" i="20"/>
  <c r="N268" i="20" s="1"/>
  <c r="M229" i="20"/>
  <c r="L229" i="20"/>
  <c r="K229" i="20"/>
  <c r="J229" i="20"/>
  <c r="J268" i="20" s="1"/>
  <c r="I229" i="20"/>
  <c r="H229" i="20"/>
  <c r="H268" i="20" s="1"/>
  <c r="G229" i="20"/>
  <c r="G268" i="20" s="1"/>
  <c r="F229" i="20"/>
  <c r="F268" i="20" s="1"/>
  <c r="E229" i="20"/>
  <c r="E268" i="20" s="1"/>
  <c r="D229" i="20"/>
  <c r="V228" i="20"/>
  <c r="V267" i="20" s="1"/>
  <c r="U228" i="20"/>
  <c r="U267" i="20" s="1"/>
  <c r="T228" i="20"/>
  <c r="T267" i="20" s="1"/>
  <c r="S228" i="20"/>
  <c r="S267" i="20" s="1"/>
  <c r="R228" i="20"/>
  <c r="Q228" i="20"/>
  <c r="Q267" i="20" s="1"/>
  <c r="P228" i="20"/>
  <c r="O228" i="20"/>
  <c r="N228" i="20"/>
  <c r="M228" i="20"/>
  <c r="M267" i="20" s="1"/>
  <c r="L228" i="20"/>
  <c r="K228" i="20"/>
  <c r="K267" i="20" s="1"/>
  <c r="J228" i="20"/>
  <c r="J267" i="20" s="1"/>
  <c r="I228" i="20"/>
  <c r="I267" i="20" s="1"/>
  <c r="H228" i="20"/>
  <c r="H267" i="20" s="1"/>
  <c r="G228" i="20"/>
  <c r="F228" i="20"/>
  <c r="F267" i="20" s="1"/>
  <c r="E228" i="20"/>
  <c r="E267" i="20" s="1"/>
  <c r="D228" i="20"/>
  <c r="D267" i="20" s="1"/>
  <c r="V227" i="20"/>
  <c r="V266" i="20" s="1"/>
  <c r="U227" i="20"/>
  <c r="T227" i="20"/>
  <c r="S227" i="20"/>
  <c r="R227" i="20"/>
  <c r="Q227" i="20"/>
  <c r="P227" i="20"/>
  <c r="O227" i="20"/>
  <c r="N227" i="20"/>
  <c r="M227" i="20"/>
  <c r="M266" i="20" s="1"/>
  <c r="L227" i="20"/>
  <c r="K227" i="20"/>
  <c r="J227" i="20"/>
  <c r="I227" i="20"/>
  <c r="H227" i="20"/>
  <c r="G227" i="20"/>
  <c r="F227" i="20"/>
  <c r="F266" i="20" s="1"/>
  <c r="E227" i="20"/>
  <c r="D227" i="20"/>
  <c r="V226" i="20"/>
  <c r="U226" i="20"/>
  <c r="T226" i="20"/>
  <c r="S226" i="20"/>
  <c r="R226" i="20"/>
  <c r="Q226" i="20"/>
  <c r="P226" i="20"/>
  <c r="P265" i="20" s="1"/>
  <c r="O226" i="20"/>
  <c r="N226" i="20"/>
  <c r="M226" i="20"/>
  <c r="L226" i="20"/>
  <c r="K226" i="20"/>
  <c r="J226" i="20"/>
  <c r="I226" i="20"/>
  <c r="I265" i="20" s="1"/>
  <c r="H226" i="20"/>
  <c r="G226" i="20"/>
  <c r="F226" i="20"/>
  <c r="E226" i="20"/>
  <c r="D226" i="20"/>
  <c r="V225" i="20"/>
  <c r="U225" i="20"/>
  <c r="T225" i="20"/>
  <c r="S225" i="20"/>
  <c r="S264" i="20" s="1"/>
  <c r="R225" i="20"/>
  <c r="Q225" i="20"/>
  <c r="P225" i="20"/>
  <c r="O225" i="20"/>
  <c r="N225" i="20"/>
  <c r="M225" i="20"/>
  <c r="L225" i="20"/>
  <c r="L264" i="20" s="1"/>
  <c r="K225" i="20"/>
  <c r="J225" i="20"/>
  <c r="I225" i="20"/>
  <c r="H225" i="20"/>
  <c r="G225" i="20"/>
  <c r="F225" i="20"/>
  <c r="E225" i="20"/>
  <c r="D225" i="20"/>
  <c r="V224" i="20"/>
  <c r="V263" i="20" s="1"/>
  <c r="U224" i="20"/>
  <c r="T224" i="20"/>
  <c r="S224" i="20"/>
  <c r="R224" i="20"/>
  <c r="Q224" i="20"/>
  <c r="P224" i="20"/>
  <c r="O224" i="20"/>
  <c r="O263" i="20" s="1"/>
  <c r="N224" i="20"/>
  <c r="M224" i="20"/>
  <c r="L224" i="20"/>
  <c r="K224" i="20"/>
  <c r="J224" i="20"/>
  <c r="I224" i="20"/>
  <c r="H224" i="20"/>
  <c r="G224" i="20"/>
  <c r="F224" i="20"/>
  <c r="F263" i="20" s="1"/>
  <c r="E224" i="20"/>
  <c r="D224" i="20"/>
  <c r="V223" i="20"/>
  <c r="U223" i="20"/>
  <c r="U262" i="20" s="1"/>
  <c r="T223" i="20"/>
  <c r="T262" i="20" s="1"/>
  <c r="S223" i="20"/>
  <c r="S262" i="20" s="1"/>
  <c r="R223" i="20"/>
  <c r="R262" i="20" s="1"/>
  <c r="Q223" i="20"/>
  <c r="P223" i="20"/>
  <c r="O223" i="20"/>
  <c r="N223" i="20"/>
  <c r="M223" i="20"/>
  <c r="L223" i="20"/>
  <c r="K223" i="20"/>
  <c r="J223" i="20"/>
  <c r="I223" i="20"/>
  <c r="I262" i="20" s="1"/>
  <c r="H223" i="20"/>
  <c r="G223" i="20"/>
  <c r="F223" i="20"/>
  <c r="E223" i="20"/>
  <c r="D223" i="20"/>
  <c r="V222" i="20"/>
  <c r="U222" i="20"/>
  <c r="U261" i="20" s="1"/>
  <c r="T222" i="20"/>
  <c r="S222" i="20"/>
  <c r="R222" i="20"/>
  <c r="Q222" i="20"/>
  <c r="P222" i="20"/>
  <c r="O222" i="20"/>
  <c r="N222" i="20"/>
  <c r="M222" i="20"/>
  <c r="L222" i="20"/>
  <c r="L261" i="20" s="1"/>
  <c r="K222" i="20"/>
  <c r="J222" i="20"/>
  <c r="I222" i="20"/>
  <c r="H222" i="20"/>
  <c r="G222" i="20"/>
  <c r="F222" i="20"/>
  <c r="E222" i="20"/>
  <c r="E261" i="20" s="1"/>
  <c r="D222" i="20"/>
  <c r="V221" i="20"/>
  <c r="U221" i="20"/>
  <c r="T221" i="20"/>
  <c r="S221" i="20"/>
  <c r="R221" i="20"/>
  <c r="Q221" i="20"/>
  <c r="P221" i="20"/>
  <c r="O221" i="20"/>
  <c r="O260" i="20" s="1"/>
  <c r="N221" i="20"/>
  <c r="M221" i="20"/>
  <c r="L221" i="20"/>
  <c r="K221" i="20"/>
  <c r="J221" i="20"/>
  <c r="I221" i="20"/>
  <c r="H221" i="20"/>
  <c r="H260" i="20" s="1"/>
  <c r="G221" i="20"/>
  <c r="F221" i="20"/>
  <c r="E221" i="20"/>
  <c r="D221" i="20"/>
  <c r="R220" i="20"/>
  <c r="R259" i="20" s="1"/>
  <c r="V219" i="20"/>
  <c r="U219" i="20"/>
  <c r="T219" i="20"/>
  <c r="S219" i="20"/>
  <c r="R219" i="20"/>
  <c r="Q219" i="20"/>
  <c r="P219" i="20"/>
  <c r="O219" i="20"/>
  <c r="N219" i="20"/>
  <c r="M219" i="20"/>
  <c r="L219" i="20"/>
  <c r="K219" i="20"/>
  <c r="J219" i="20"/>
  <c r="I219" i="20"/>
  <c r="H219" i="20"/>
  <c r="G219" i="20"/>
  <c r="F219" i="20"/>
  <c r="E219" i="20"/>
  <c r="D219" i="20"/>
  <c r="V218" i="20"/>
  <c r="U218" i="20"/>
  <c r="T218" i="20"/>
  <c r="S218" i="20"/>
  <c r="R218" i="20"/>
  <c r="Q218" i="20"/>
  <c r="P218" i="20"/>
  <c r="O218" i="20"/>
  <c r="N218" i="20"/>
  <c r="M218" i="20"/>
  <c r="L218" i="20"/>
  <c r="K218" i="20"/>
  <c r="J218" i="20"/>
  <c r="I218" i="20"/>
  <c r="H218" i="20"/>
  <c r="G218" i="20"/>
  <c r="F218" i="20"/>
  <c r="E218" i="20"/>
  <c r="D218" i="20"/>
  <c r="V217" i="20"/>
  <c r="U217" i="20"/>
  <c r="T217" i="20"/>
  <c r="S217" i="20"/>
  <c r="R217" i="20"/>
  <c r="Q217" i="20"/>
  <c r="P217" i="20"/>
  <c r="O217" i="20"/>
  <c r="N217" i="20"/>
  <c r="M217" i="20"/>
  <c r="L217" i="20"/>
  <c r="K217" i="20"/>
  <c r="J217" i="20"/>
  <c r="I217" i="20"/>
  <c r="H217" i="20"/>
  <c r="G217" i="20"/>
  <c r="F217" i="20"/>
  <c r="E217" i="20"/>
  <c r="D217" i="20"/>
  <c r="V216" i="20"/>
  <c r="U216" i="20"/>
  <c r="T216" i="20"/>
  <c r="S216" i="20"/>
  <c r="R216" i="20"/>
  <c r="Q216" i="20"/>
  <c r="P216" i="20"/>
  <c r="O216" i="20"/>
  <c r="N216" i="20"/>
  <c r="M216" i="20"/>
  <c r="L216" i="20"/>
  <c r="K216" i="20"/>
  <c r="J216" i="20"/>
  <c r="I216" i="20"/>
  <c r="H216" i="20"/>
  <c r="G216" i="20"/>
  <c r="F216" i="20"/>
  <c r="E216" i="20"/>
  <c r="D216" i="20"/>
  <c r="V215" i="20"/>
  <c r="U215" i="20"/>
  <c r="T215" i="20"/>
  <c r="T254" i="20" s="1"/>
  <c r="S215" i="20"/>
  <c r="R215" i="20"/>
  <c r="Q215" i="20"/>
  <c r="Q254" i="20" s="1"/>
  <c r="P215" i="20"/>
  <c r="O215" i="20"/>
  <c r="N215" i="20"/>
  <c r="M215" i="20"/>
  <c r="L215" i="20"/>
  <c r="K215" i="20"/>
  <c r="J215" i="20"/>
  <c r="I215" i="20"/>
  <c r="H215" i="20"/>
  <c r="G215" i="20"/>
  <c r="F215" i="20"/>
  <c r="E215" i="20"/>
  <c r="D215" i="20"/>
  <c r="V214" i="20"/>
  <c r="U214" i="20"/>
  <c r="T214" i="20"/>
  <c r="S214" i="20"/>
  <c r="R214" i="20"/>
  <c r="Q214" i="20"/>
  <c r="P214" i="20"/>
  <c r="O214" i="20"/>
  <c r="N214" i="20"/>
  <c r="M214" i="20"/>
  <c r="L214" i="20"/>
  <c r="K214" i="20"/>
  <c r="J214" i="20"/>
  <c r="I214" i="20"/>
  <c r="H214" i="20"/>
  <c r="G214" i="20"/>
  <c r="F214" i="20"/>
  <c r="E214" i="20"/>
  <c r="D214" i="20"/>
  <c r="V213" i="20"/>
  <c r="U213" i="20"/>
  <c r="T213" i="20"/>
  <c r="S213" i="20"/>
  <c r="R213" i="20"/>
  <c r="Q213" i="20"/>
  <c r="P213" i="20"/>
  <c r="O213" i="20"/>
  <c r="N213" i="20"/>
  <c r="M213" i="20"/>
  <c r="L213" i="20"/>
  <c r="K213" i="20"/>
  <c r="J213" i="20"/>
  <c r="I213" i="20"/>
  <c r="H213" i="20"/>
  <c r="G213" i="20"/>
  <c r="F213" i="20"/>
  <c r="E213" i="20"/>
  <c r="D213" i="20"/>
  <c r="V212" i="20"/>
  <c r="V251" i="20" s="1"/>
  <c r="U212" i="20"/>
  <c r="T212" i="20"/>
  <c r="T251" i="20" s="1"/>
  <c r="S212" i="20"/>
  <c r="S251" i="20" s="1"/>
  <c r="R212" i="20"/>
  <c r="R251" i="20" s="1"/>
  <c r="Q212" i="20"/>
  <c r="Q251" i="20" s="1"/>
  <c r="P212" i="20"/>
  <c r="O212" i="20"/>
  <c r="N212" i="20"/>
  <c r="M212" i="20"/>
  <c r="M251" i="20" s="1"/>
  <c r="L212" i="20"/>
  <c r="K212" i="20"/>
  <c r="J212" i="20"/>
  <c r="J251" i="20" s="1"/>
  <c r="I212" i="20"/>
  <c r="H212" i="20"/>
  <c r="H251" i="20" s="1"/>
  <c r="G212" i="20"/>
  <c r="G251" i="20" s="1"/>
  <c r="F212" i="20"/>
  <c r="F251" i="20" s="1"/>
  <c r="E212" i="20"/>
  <c r="D212" i="20"/>
  <c r="D251" i="20" s="1"/>
  <c r="V211" i="20"/>
  <c r="U211" i="20"/>
  <c r="T211" i="20"/>
  <c r="S211" i="20"/>
  <c r="R211" i="20"/>
  <c r="Q211" i="20"/>
  <c r="P211" i="20"/>
  <c r="O211" i="20"/>
  <c r="N211" i="20"/>
  <c r="M211" i="20"/>
  <c r="L211" i="20"/>
  <c r="K211" i="20"/>
  <c r="J211" i="20"/>
  <c r="I211" i="20"/>
  <c r="H211" i="20"/>
  <c r="G211" i="20"/>
  <c r="F211" i="20"/>
  <c r="E211" i="20"/>
  <c r="D211" i="20"/>
  <c r="V210" i="20"/>
  <c r="U210" i="20"/>
  <c r="T210" i="20"/>
  <c r="S210" i="20"/>
  <c r="S249" i="20" s="1"/>
  <c r="R210" i="20"/>
  <c r="Q210" i="20"/>
  <c r="P210" i="20"/>
  <c r="P249" i="20" s="1"/>
  <c r="O210" i="20"/>
  <c r="N210" i="20"/>
  <c r="N249" i="20" s="1"/>
  <c r="M210" i="20"/>
  <c r="L210" i="20"/>
  <c r="K210" i="20"/>
  <c r="J210" i="20"/>
  <c r="I210" i="20"/>
  <c r="H210" i="20"/>
  <c r="G210" i="20"/>
  <c r="F210" i="20"/>
  <c r="E210" i="20"/>
  <c r="D210" i="20"/>
  <c r="V209" i="20"/>
  <c r="U209" i="20"/>
  <c r="T209" i="20"/>
  <c r="S209" i="20"/>
  <c r="R209" i="20"/>
  <c r="Q209" i="20"/>
  <c r="P209" i="20"/>
  <c r="O209" i="20"/>
  <c r="O248" i="20" s="1"/>
  <c r="N209" i="20"/>
  <c r="M209" i="20"/>
  <c r="M248" i="20" s="1"/>
  <c r="L209" i="20"/>
  <c r="L248" i="20" s="1"/>
  <c r="K209" i="20"/>
  <c r="K248" i="20" s="1"/>
  <c r="J209" i="20"/>
  <c r="I209" i="20"/>
  <c r="H209" i="20"/>
  <c r="G209" i="20"/>
  <c r="F209" i="20"/>
  <c r="F248" i="20" s="1"/>
  <c r="E209" i="20"/>
  <c r="D209" i="20"/>
  <c r="V208" i="20"/>
  <c r="V237" i="20" s="1"/>
  <c r="U208" i="20"/>
  <c r="T208" i="20"/>
  <c r="S208" i="20"/>
  <c r="R208" i="20"/>
  <c r="Q208" i="20"/>
  <c r="P208" i="20"/>
  <c r="O208" i="20"/>
  <c r="N208" i="20"/>
  <c r="M208" i="20"/>
  <c r="L208" i="20"/>
  <c r="K208" i="20"/>
  <c r="J208" i="20"/>
  <c r="I208" i="20"/>
  <c r="H208" i="20"/>
  <c r="G208" i="20"/>
  <c r="F208" i="20"/>
  <c r="F237" i="20" s="1"/>
  <c r="E208" i="20"/>
  <c r="D208" i="20"/>
  <c r="Q198" i="20"/>
  <c r="L198" i="20"/>
  <c r="O196" i="20"/>
  <c r="L196" i="20"/>
  <c r="U195" i="20"/>
  <c r="S195" i="20"/>
  <c r="J195" i="20"/>
  <c r="E195" i="20"/>
  <c r="E194" i="20"/>
  <c r="I193" i="20"/>
  <c r="V191" i="20"/>
  <c r="Q191" i="20"/>
  <c r="O191" i="20"/>
  <c r="N191" i="20"/>
  <c r="F191" i="20"/>
  <c r="T190" i="20"/>
  <c r="R190" i="20"/>
  <c r="I190" i="20"/>
  <c r="D190" i="20"/>
  <c r="V187" i="20"/>
  <c r="G187" i="20"/>
  <c r="U185" i="20"/>
  <c r="S185" i="20"/>
  <c r="K185" i="20"/>
  <c r="P184" i="20"/>
  <c r="H183" i="20"/>
  <c r="V182" i="20"/>
  <c r="U182" i="20"/>
  <c r="T182" i="20"/>
  <c r="S182" i="20"/>
  <c r="Q182" i="20"/>
  <c r="P182" i="20"/>
  <c r="O182" i="20"/>
  <c r="N182" i="20"/>
  <c r="M182" i="20"/>
  <c r="L182" i="20"/>
  <c r="K182" i="20"/>
  <c r="J182" i="20"/>
  <c r="I182" i="20"/>
  <c r="H182" i="20"/>
  <c r="G182" i="20"/>
  <c r="F182" i="20"/>
  <c r="E182" i="20"/>
  <c r="D182" i="20"/>
  <c r="K181" i="20"/>
  <c r="N180" i="20"/>
  <c r="K180" i="20"/>
  <c r="I180" i="20"/>
  <c r="T179" i="20"/>
  <c r="Q179" i="20"/>
  <c r="L179" i="20"/>
  <c r="T178" i="20"/>
  <c r="D178" i="20"/>
  <c r="T177" i="20"/>
  <c r="G177" i="20"/>
  <c r="U176" i="20"/>
  <c r="M176" i="20"/>
  <c r="J176" i="20"/>
  <c r="E176" i="20"/>
  <c r="M175" i="20"/>
  <c r="T174" i="20"/>
  <c r="R174" i="20"/>
  <c r="P174" i="20"/>
  <c r="M174" i="20"/>
  <c r="I174" i="20"/>
  <c r="G174" i="20"/>
  <c r="S173" i="20"/>
  <c r="N173" i="20"/>
  <c r="F173" i="20"/>
  <c r="V172" i="20"/>
  <c r="S172" i="20"/>
  <c r="Q172" i="20"/>
  <c r="F172" i="20"/>
  <c r="M171" i="20"/>
  <c r="K171" i="20"/>
  <c r="I171" i="20"/>
  <c r="F171" i="20"/>
  <c r="L170" i="20"/>
  <c r="G170" i="20"/>
  <c r="V160" i="20"/>
  <c r="R160" i="20"/>
  <c r="V159" i="20"/>
  <c r="V198" i="20" s="1"/>
  <c r="U159" i="20"/>
  <c r="U198" i="20" s="1"/>
  <c r="T159" i="20"/>
  <c r="T198" i="20" s="1"/>
  <c r="S159" i="20"/>
  <c r="S198" i="20" s="1"/>
  <c r="R159" i="20"/>
  <c r="R198" i="20" s="1"/>
  <c r="Q159" i="20"/>
  <c r="P159" i="20"/>
  <c r="P198" i="20" s="1"/>
  <c r="O159" i="20"/>
  <c r="O198" i="20" s="1"/>
  <c r="N159" i="20"/>
  <c r="N198" i="20" s="1"/>
  <c r="M159" i="20"/>
  <c r="M198" i="20" s="1"/>
  <c r="L159" i="20"/>
  <c r="K159" i="20"/>
  <c r="K198" i="20" s="1"/>
  <c r="J159" i="20"/>
  <c r="I159" i="20"/>
  <c r="I198" i="20" s="1"/>
  <c r="H159" i="20"/>
  <c r="H198" i="20" s="1"/>
  <c r="G159" i="20"/>
  <c r="F159" i="20"/>
  <c r="F198" i="20" s="1"/>
  <c r="E159" i="20"/>
  <c r="D159" i="20"/>
  <c r="D198" i="20" s="1"/>
  <c r="V158" i="20"/>
  <c r="U158" i="20"/>
  <c r="T158" i="20"/>
  <c r="S158" i="20"/>
  <c r="R158" i="20"/>
  <c r="Q158" i="20"/>
  <c r="P158" i="20"/>
  <c r="O158" i="20"/>
  <c r="N158" i="20"/>
  <c r="N197" i="20" s="1"/>
  <c r="M158" i="20"/>
  <c r="L158" i="20"/>
  <c r="L197" i="20" s="1"/>
  <c r="K158" i="20"/>
  <c r="K197" i="20" s="1"/>
  <c r="J158" i="20"/>
  <c r="I158" i="20"/>
  <c r="I197" i="20" s="1"/>
  <c r="H158" i="20"/>
  <c r="G158" i="20"/>
  <c r="G197" i="20" s="1"/>
  <c r="F158" i="20"/>
  <c r="E158" i="20"/>
  <c r="D158" i="20"/>
  <c r="V157" i="20"/>
  <c r="U157" i="20"/>
  <c r="T157" i="20"/>
  <c r="S157" i="20"/>
  <c r="R157" i="20"/>
  <c r="Q157" i="20"/>
  <c r="Q196" i="20" s="1"/>
  <c r="P157" i="20"/>
  <c r="O157" i="20"/>
  <c r="N157" i="20"/>
  <c r="M157" i="20"/>
  <c r="L157" i="20"/>
  <c r="K157" i="20"/>
  <c r="J157" i="20"/>
  <c r="J196" i="20" s="1"/>
  <c r="I157" i="20"/>
  <c r="H157" i="20"/>
  <c r="G157" i="20"/>
  <c r="F157" i="20"/>
  <c r="E157" i="20"/>
  <c r="D157" i="20"/>
  <c r="V156" i="20"/>
  <c r="V195" i="20" s="1"/>
  <c r="U156" i="20"/>
  <c r="T156" i="20"/>
  <c r="T195" i="20" s="1"/>
  <c r="S156" i="20"/>
  <c r="R156" i="20"/>
  <c r="R195" i="20" s="1"/>
  <c r="Q156" i="20"/>
  <c r="Q195" i="20" s="1"/>
  <c r="P156" i="20"/>
  <c r="P195" i="20" s="1"/>
  <c r="O156" i="20"/>
  <c r="O195" i="20" s="1"/>
  <c r="N156" i="20"/>
  <c r="N195" i="20" s="1"/>
  <c r="M156" i="20"/>
  <c r="M195" i="20" s="1"/>
  <c r="L156" i="20"/>
  <c r="L195" i="20" s="1"/>
  <c r="K156" i="20"/>
  <c r="K195" i="20" s="1"/>
  <c r="J156" i="20"/>
  <c r="I156" i="20"/>
  <c r="I195" i="20" s="1"/>
  <c r="H156" i="20"/>
  <c r="H195" i="20" s="1"/>
  <c r="G156" i="20"/>
  <c r="G195" i="20" s="1"/>
  <c r="F156" i="20"/>
  <c r="F195" i="20" s="1"/>
  <c r="E156" i="20"/>
  <c r="D156" i="20"/>
  <c r="D195" i="20" s="1"/>
  <c r="V155" i="20"/>
  <c r="U155" i="20"/>
  <c r="U194" i="20" s="1"/>
  <c r="T155" i="20"/>
  <c r="S155" i="20"/>
  <c r="R155" i="20"/>
  <c r="R194" i="20" s="1"/>
  <c r="Q155" i="20"/>
  <c r="P155" i="20"/>
  <c r="P194" i="20" s="1"/>
  <c r="O155" i="20"/>
  <c r="N155" i="20"/>
  <c r="M155" i="20"/>
  <c r="L155" i="20"/>
  <c r="K155" i="20"/>
  <c r="J155" i="20"/>
  <c r="I155" i="20"/>
  <c r="H155" i="20"/>
  <c r="G155" i="20"/>
  <c r="G194" i="20" s="1"/>
  <c r="F155" i="20"/>
  <c r="E155" i="20"/>
  <c r="D155" i="20"/>
  <c r="V154" i="20"/>
  <c r="U154" i="20"/>
  <c r="U193" i="20" s="1"/>
  <c r="T154" i="20"/>
  <c r="S154" i="20"/>
  <c r="S193" i="20" s="1"/>
  <c r="R154" i="20"/>
  <c r="Q154" i="20"/>
  <c r="P154" i="20"/>
  <c r="O154" i="20"/>
  <c r="N154" i="20"/>
  <c r="M154" i="20"/>
  <c r="L154" i="20"/>
  <c r="K154" i="20"/>
  <c r="J154" i="20"/>
  <c r="J193" i="20" s="1"/>
  <c r="I154" i="20"/>
  <c r="H154" i="20"/>
  <c r="H193" i="20" s="1"/>
  <c r="G154" i="20"/>
  <c r="G193" i="20" s="1"/>
  <c r="F154" i="20"/>
  <c r="E154" i="20"/>
  <c r="E193" i="20" s="1"/>
  <c r="D154" i="20"/>
  <c r="V153" i="20"/>
  <c r="V192" i="20" s="1"/>
  <c r="U153" i="20"/>
  <c r="T153" i="20"/>
  <c r="S153" i="20"/>
  <c r="R153" i="20"/>
  <c r="Q153" i="20"/>
  <c r="P153" i="20"/>
  <c r="O153" i="20"/>
  <c r="N153" i="20"/>
  <c r="M153" i="20"/>
  <c r="M192" i="20" s="1"/>
  <c r="L153" i="20"/>
  <c r="K153" i="20"/>
  <c r="J153" i="20"/>
  <c r="I153" i="20"/>
  <c r="H153" i="20"/>
  <c r="H192" i="20" s="1"/>
  <c r="G153" i="20"/>
  <c r="F153" i="20"/>
  <c r="F192" i="20" s="1"/>
  <c r="E153" i="20"/>
  <c r="D153" i="20"/>
  <c r="V152" i="20"/>
  <c r="U152" i="20"/>
  <c r="U191" i="20" s="1"/>
  <c r="T152" i="20"/>
  <c r="T191" i="20" s="1"/>
  <c r="S152" i="20"/>
  <c r="S191" i="20" s="1"/>
  <c r="R152" i="20"/>
  <c r="R191" i="20" s="1"/>
  <c r="Q152" i="20"/>
  <c r="P152" i="20"/>
  <c r="P191" i="20" s="1"/>
  <c r="O152" i="20"/>
  <c r="N152" i="20"/>
  <c r="M152" i="20"/>
  <c r="M191" i="20" s="1"/>
  <c r="L152" i="20"/>
  <c r="L191" i="20" s="1"/>
  <c r="K152" i="20"/>
  <c r="K191" i="20" s="1"/>
  <c r="J152" i="20"/>
  <c r="J191" i="20" s="1"/>
  <c r="I152" i="20"/>
  <c r="I191" i="20" s="1"/>
  <c r="H152" i="20"/>
  <c r="H191" i="20" s="1"/>
  <c r="G152" i="20"/>
  <c r="G191" i="20" s="1"/>
  <c r="F152" i="20"/>
  <c r="E152" i="20"/>
  <c r="E191" i="20" s="1"/>
  <c r="D152" i="20"/>
  <c r="D191" i="20" s="1"/>
  <c r="V151" i="20"/>
  <c r="V190" i="20" s="1"/>
  <c r="U151" i="20"/>
  <c r="U190" i="20" s="1"/>
  <c r="T151" i="20"/>
  <c r="S151" i="20"/>
  <c r="S190" i="20" s="1"/>
  <c r="R151" i="20"/>
  <c r="Q151" i="20"/>
  <c r="Q190" i="20" s="1"/>
  <c r="P151" i="20"/>
  <c r="P190" i="20" s="1"/>
  <c r="O151" i="20"/>
  <c r="O190" i="20" s="1"/>
  <c r="N151" i="20"/>
  <c r="N190" i="20" s="1"/>
  <c r="M151" i="20"/>
  <c r="M190" i="20" s="1"/>
  <c r="L151" i="20"/>
  <c r="L190" i="20" s="1"/>
  <c r="K151" i="20"/>
  <c r="K190" i="20" s="1"/>
  <c r="J151" i="20"/>
  <c r="J190" i="20" s="1"/>
  <c r="I151" i="20"/>
  <c r="H151" i="20"/>
  <c r="H190" i="20" s="1"/>
  <c r="G151" i="20"/>
  <c r="G190" i="20" s="1"/>
  <c r="F151" i="20"/>
  <c r="F190" i="20" s="1"/>
  <c r="E151" i="20"/>
  <c r="E190" i="20" s="1"/>
  <c r="D151" i="20"/>
  <c r="V150" i="20"/>
  <c r="V189" i="20" s="1"/>
  <c r="U150" i="20"/>
  <c r="T150" i="20"/>
  <c r="S150" i="20"/>
  <c r="R150" i="20"/>
  <c r="Q150" i="20"/>
  <c r="Q189" i="20" s="1"/>
  <c r="P150" i="20"/>
  <c r="O150" i="20"/>
  <c r="O189" i="20" s="1"/>
  <c r="N150" i="20"/>
  <c r="M150" i="20"/>
  <c r="L150" i="20"/>
  <c r="K150" i="20"/>
  <c r="J150" i="20"/>
  <c r="I150" i="20"/>
  <c r="I189" i="20" s="1"/>
  <c r="H150" i="20"/>
  <c r="G150" i="20"/>
  <c r="F150" i="20"/>
  <c r="F189" i="20" s="1"/>
  <c r="E150" i="20"/>
  <c r="D150" i="20"/>
  <c r="D189" i="20" s="1"/>
  <c r="V149" i="20"/>
  <c r="U149" i="20"/>
  <c r="T149" i="20"/>
  <c r="T188" i="20" s="1"/>
  <c r="S149" i="20"/>
  <c r="R149" i="20"/>
  <c r="R188" i="20" s="1"/>
  <c r="Q149" i="20"/>
  <c r="P149" i="20"/>
  <c r="O149" i="20"/>
  <c r="N149" i="20"/>
  <c r="M149" i="20"/>
  <c r="L149" i="20"/>
  <c r="K149" i="20"/>
  <c r="J149" i="20"/>
  <c r="I149" i="20"/>
  <c r="I188" i="20" s="1"/>
  <c r="H149" i="20"/>
  <c r="G149" i="20"/>
  <c r="F149" i="20"/>
  <c r="E149" i="20"/>
  <c r="D149" i="20"/>
  <c r="D188" i="20" s="1"/>
  <c r="V148" i="20"/>
  <c r="U148" i="20"/>
  <c r="U187" i="20" s="1"/>
  <c r="T148" i="20"/>
  <c r="S148" i="20"/>
  <c r="R148" i="20"/>
  <c r="Q148" i="20"/>
  <c r="P148" i="20"/>
  <c r="O148" i="20"/>
  <c r="O187" i="20" s="1"/>
  <c r="N148" i="20"/>
  <c r="M148" i="20"/>
  <c r="L148" i="20"/>
  <c r="L187" i="20" s="1"/>
  <c r="K148" i="20"/>
  <c r="J148" i="20"/>
  <c r="I148" i="20"/>
  <c r="H148" i="20"/>
  <c r="G148" i="20"/>
  <c r="F148" i="20"/>
  <c r="E148" i="20"/>
  <c r="E187" i="20" s="1"/>
  <c r="D148" i="20"/>
  <c r="V147" i="20"/>
  <c r="U147" i="20"/>
  <c r="T147" i="20"/>
  <c r="S147" i="20"/>
  <c r="R147" i="20"/>
  <c r="R186" i="20" s="1"/>
  <c r="Q147" i="20"/>
  <c r="P147" i="20"/>
  <c r="O147" i="20"/>
  <c r="O186" i="20" s="1"/>
  <c r="N147" i="20"/>
  <c r="M147" i="20"/>
  <c r="M186" i="20" s="1"/>
  <c r="L147" i="20"/>
  <c r="K147" i="20"/>
  <c r="J147" i="20"/>
  <c r="J186" i="20" s="1"/>
  <c r="I147" i="20"/>
  <c r="H147" i="20"/>
  <c r="H186" i="20" s="1"/>
  <c r="G147" i="20"/>
  <c r="F147" i="20"/>
  <c r="E147" i="20"/>
  <c r="D147" i="20"/>
  <c r="V146" i="20"/>
  <c r="V185" i="20" s="1"/>
  <c r="U146" i="20"/>
  <c r="T146" i="20"/>
  <c r="T185" i="20" s="1"/>
  <c r="S146" i="20"/>
  <c r="R146" i="20"/>
  <c r="R185" i="20" s="1"/>
  <c r="Q146" i="20"/>
  <c r="P146" i="20"/>
  <c r="P185" i="20" s="1"/>
  <c r="O146" i="20"/>
  <c r="N146" i="20"/>
  <c r="M146" i="20"/>
  <c r="M185" i="20" s="1"/>
  <c r="L146" i="20"/>
  <c r="K146" i="20"/>
  <c r="J146" i="20"/>
  <c r="I146" i="20"/>
  <c r="H146" i="20"/>
  <c r="G146" i="20"/>
  <c r="F146" i="20"/>
  <c r="E146" i="20"/>
  <c r="E185" i="20" s="1"/>
  <c r="D146" i="20"/>
  <c r="V145" i="20"/>
  <c r="U145" i="20"/>
  <c r="U184" i="20" s="1"/>
  <c r="T145" i="20"/>
  <c r="S145" i="20"/>
  <c r="R145" i="20"/>
  <c r="Q145" i="20"/>
  <c r="P145" i="20"/>
  <c r="O145" i="20"/>
  <c r="N145" i="20"/>
  <c r="N184" i="20" s="1"/>
  <c r="M145" i="20"/>
  <c r="L145" i="20"/>
  <c r="K145" i="20"/>
  <c r="J145" i="20"/>
  <c r="I145" i="20"/>
  <c r="H145" i="20"/>
  <c r="H184" i="20" s="1"/>
  <c r="G145" i="20"/>
  <c r="F145" i="20"/>
  <c r="E145" i="20"/>
  <c r="E184" i="20" s="1"/>
  <c r="D145" i="20"/>
  <c r="V144" i="20"/>
  <c r="V183" i="20" s="1"/>
  <c r="U144" i="20"/>
  <c r="T144" i="20"/>
  <c r="S144" i="20"/>
  <c r="S183" i="20" s="1"/>
  <c r="R144" i="20"/>
  <c r="Q144" i="20"/>
  <c r="Q183" i="20" s="1"/>
  <c r="P144" i="20"/>
  <c r="O144" i="20"/>
  <c r="N144" i="20"/>
  <c r="M144" i="20"/>
  <c r="L144" i="20"/>
  <c r="K144" i="20"/>
  <c r="J144" i="20"/>
  <c r="I144" i="20"/>
  <c r="H144" i="20"/>
  <c r="G144" i="20"/>
  <c r="F144" i="20"/>
  <c r="F183" i="20" s="1"/>
  <c r="E144" i="20"/>
  <c r="E183" i="20" s="1"/>
  <c r="D144" i="20"/>
  <c r="R143" i="20"/>
  <c r="R182" i="20" s="1"/>
  <c r="V142" i="20"/>
  <c r="V181" i="20" s="1"/>
  <c r="U142" i="20"/>
  <c r="T142" i="20"/>
  <c r="T181" i="20" s="1"/>
  <c r="S142" i="20"/>
  <c r="R142" i="20"/>
  <c r="Q142" i="20"/>
  <c r="Q181" i="20" s="1"/>
  <c r="P142" i="20"/>
  <c r="O142" i="20"/>
  <c r="N142" i="20"/>
  <c r="N181" i="20" s="1"/>
  <c r="M142" i="20"/>
  <c r="L142" i="20"/>
  <c r="K142" i="20"/>
  <c r="J142" i="20"/>
  <c r="I142" i="20"/>
  <c r="H142" i="20"/>
  <c r="G142" i="20"/>
  <c r="F142" i="20"/>
  <c r="F181" i="20" s="1"/>
  <c r="E142" i="20"/>
  <c r="D142" i="20"/>
  <c r="D181" i="20" s="1"/>
  <c r="V141" i="20"/>
  <c r="U141" i="20"/>
  <c r="T141" i="20"/>
  <c r="T180" i="20" s="1"/>
  <c r="S141" i="20"/>
  <c r="R141" i="20"/>
  <c r="Q141" i="20"/>
  <c r="Q180" i="20" s="1"/>
  <c r="P141" i="20"/>
  <c r="O141" i="20"/>
  <c r="N141" i="20"/>
  <c r="M141" i="20"/>
  <c r="L141" i="20"/>
  <c r="K141" i="20"/>
  <c r="J141" i="20"/>
  <c r="I141" i="20"/>
  <c r="H141" i="20"/>
  <c r="G141" i="20"/>
  <c r="G180" i="20" s="1"/>
  <c r="F141" i="20"/>
  <c r="E141" i="20"/>
  <c r="D141" i="20"/>
  <c r="D180" i="20" s="1"/>
  <c r="V140" i="20"/>
  <c r="U140" i="20"/>
  <c r="T140" i="20"/>
  <c r="S140" i="20"/>
  <c r="R140" i="20"/>
  <c r="Q140" i="20"/>
  <c r="P140" i="20"/>
  <c r="O140" i="20"/>
  <c r="N140" i="20"/>
  <c r="M140" i="20"/>
  <c r="L140" i="20"/>
  <c r="K140" i="20"/>
  <c r="J140" i="20"/>
  <c r="J179" i="20" s="1"/>
  <c r="I140" i="20"/>
  <c r="H140" i="20"/>
  <c r="G140" i="20"/>
  <c r="F140" i="20"/>
  <c r="E140" i="20"/>
  <c r="D140" i="20"/>
  <c r="D179" i="20" s="1"/>
  <c r="V139" i="20"/>
  <c r="U139" i="20"/>
  <c r="T139" i="20"/>
  <c r="S139" i="20"/>
  <c r="R139" i="20"/>
  <c r="R178" i="20" s="1"/>
  <c r="Q139" i="20"/>
  <c r="P139" i="20"/>
  <c r="O139" i="20"/>
  <c r="O178" i="20" s="1"/>
  <c r="N139" i="20"/>
  <c r="M139" i="20"/>
  <c r="M178" i="20" s="1"/>
  <c r="L139" i="20"/>
  <c r="K139" i="20"/>
  <c r="J139" i="20"/>
  <c r="J178" i="20" s="1"/>
  <c r="I139" i="20"/>
  <c r="H139" i="20"/>
  <c r="G139" i="20"/>
  <c r="G178" i="20" s="1"/>
  <c r="F139" i="20"/>
  <c r="E139" i="20"/>
  <c r="D139" i="20"/>
  <c r="V138" i="20"/>
  <c r="V177" i="20" s="1"/>
  <c r="U138" i="20"/>
  <c r="U177" i="20" s="1"/>
  <c r="T138" i="20"/>
  <c r="S138" i="20"/>
  <c r="S177" i="20" s="1"/>
  <c r="R138" i="20"/>
  <c r="R177" i="20" s="1"/>
  <c r="Q138" i="20"/>
  <c r="Q177" i="20" s="1"/>
  <c r="P138" i="20"/>
  <c r="P177" i="20" s="1"/>
  <c r="O138" i="20"/>
  <c r="N138" i="20"/>
  <c r="M138" i="20"/>
  <c r="M177" i="20" s="1"/>
  <c r="L138" i="20"/>
  <c r="K138" i="20"/>
  <c r="J138" i="20"/>
  <c r="J177" i="20" s="1"/>
  <c r="I138" i="20"/>
  <c r="H138" i="20"/>
  <c r="G138" i="20"/>
  <c r="F138" i="20"/>
  <c r="E138" i="20"/>
  <c r="D138" i="20"/>
  <c r="V137" i="20"/>
  <c r="U137" i="20"/>
  <c r="T137" i="20"/>
  <c r="S137" i="20"/>
  <c r="S176" i="20" s="1"/>
  <c r="R137" i="20"/>
  <c r="Q137" i="20"/>
  <c r="P137" i="20"/>
  <c r="P176" i="20" s="1"/>
  <c r="O137" i="20"/>
  <c r="N137" i="20"/>
  <c r="M137" i="20"/>
  <c r="L137" i="20"/>
  <c r="K137" i="20"/>
  <c r="J137" i="20"/>
  <c r="I137" i="20"/>
  <c r="H137" i="20"/>
  <c r="G137" i="20"/>
  <c r="F137" i="20"/>
  <c r="E137" i="20"/>
  <c r="D137" i="20"/>
  <c r="V136" i="20"/>
  <c r="V175" i="20" s="1"/>
  <c r="U136" i="20"/>
  <c r="T136" i="20"/>
  <c r="S136" i="20"/>
  <c r="R136" i="20"/>
  <c r="Q136" i="20"/>
  <c r="P136" i="20"/>
  <c r="P175" i="20" s="1"/>
  <c r="O136" i="20"/>
  <c r="N136" i="20"/>
  <c r="M136" i="20"/>
  <c r="L136" i="20"/>
  <c r="K136" i="20"/>
  <c r="K175" i="20" s="1"/>
  <c r="J136" i="20"/>
  <c r="I136" i="20"/>
  <c r="H136" i="20"/>
  <c r="H175" i="20" s="1"/>
  <c r="G136" i="20"/>
  <c r="F136" i="20"/>
  <c r="F175" i="20" s="1"/>
  <c r="E136" i="20"/>
  <c r="D136" i="20"/>
  <c r="V135" i="20"/>
  <c r="V174" i="20" s="1"/>
  <c r="U135" i="20"/>
  <c r="U174" i="20" s="1"/>
  <c r="T135" i="20"/>
  <c r="S135" i="20"/>
  <c r="S174" i="20" s="1"/>
  <c r="R135" i="20"/>
  <c r="Q135" i="20"/>
  <c r="Q174" i="20" s="1"/>
  <c r="P135" i="20"/>
  <c r="O135" i="20"/>
  <c r="O174" i="20" s="1"/>
  <c r="N135" i="20"/>
  <c r="N174" i="20" s="1"/>
  <c r="M135" i="20"/>
  <c r="L135" i="20"/>
  <c r="L174" i="20" s="1"/>
  <c r="K135" i="20"/>
  <c r="K174" i="20" s="1"/>
  <c r="J135" i="20"/>
  <c r="J174" i="20" s="1"/>
  <c r="I135" i="20"/>
  <c r="H135" i="20"/>
  <c r="H174" i="20" s="1"/>
  <c r="G135" i="20"/>
  <c r="F135" i="20"/>
  <c r="F174" i="20" s="1"/>
  <c r="E135" i="20"/>
  <c r="E174" i="20" s="1"/>
  <c r="D135" i="20"/>
  <c r="D174" i="20" s="1"/>
  <c r="V134" i="20"/>
  <c r="V173" i="20" s="1"/>
  <c r="U134" i="20"/>
  <c r="T134" i="20"/>
  <c r="S134" i="20"/>
  <c r="R134" i="20"/>
  <c r="Q134" i="20"/>
  <c r="P134" i="20"/>
  <c r="O134" i="20"/>
  <c r="N134" i="20"/>
  <c r="M134" i="20"/>
  <c r="L134" i="20"/>
  <c r="L173" i="20" s="1"/>
  <c r="K134" i="20"/>
  <c r="J134" i="20"/>
  <c r="I134" i="20"/>
  <c r="I173" i="20" s="1"/>
  <c r="H134" i="20"/>
  <c r="G134" i="20"/>
  <c r="F134" i="20"/>
  <c r="E134" i="20"/>
  <c r="D134" i="20"/>
  <c r="V133" i="20"/>
  <c r="U133" i="20"/>
  <c r="U172" i="20" s="1"/>
  <c r="T133" i="20"/>
  <c r="T172" i="20" s="1"/>
  <c r="S133" i="20"/>
  <c r="R133" i="20"/>
  <c r="R172" i="20" s="1"/>
  <c r="Q133" i="20"/>
  <c r="P133" i="20"/>
  <c r="P172" i="20" s="1"/>
  <c r="O133" i="20"/>
  <c r="O172" i="20" s="1"/>
  <c r="N133" i="20"/>
  <c r="N172" i="20" s="1"/>
  <c r="M133" i="20"/>
  <c r="L133" i="20"/>
  <c r="K133" i="20"/>
  <c r="J133" i="20"/>
  <c r="I133" i="20"/>
  <c r="I172" i="20" s="1"/>
  <c r="H133" i="20"/>
  <c r="G133" i="20"/>
  <c r="F133" i="20"/>
  <c r="E133" i="20"/>
  <c r="D133" i="20"/>
  <c r="D172" i="20" s="1"/>
  <c r="V132" i="20"/>
  <c r="U132" i="20"/>
  <c r="T132" i="20"/>
  <c r="T171" i="20" s="1"/>
  <c r="S132" i="20"/>
  <c r="R132" i="20"/>
  <c r="R171" i="20" s="1"/>
  <c r="Q132" i="20"/>
  <c r="P132" i="20"/>
  <c r="O132" i="20"/>
  <c r="O171" i="20" s="1"/>
  <c r="N132" i="20"/>
  <c r="N171" i="20" s="1"/>
  <c r="M132" i="20"/>
  <c r="L132" i="20"/>
  <c r="L171" i="20" s="1"/>
  <c r="K132" i="20"/>
  <c r="J132" i="20"/>
  <c r="J171" i="20" s="1"/>
  <c r="I132" i="20"/>
  <c r="H132" i="20"/>
  <c r="H171" i="20" s="1"/>
  <c r="G132" i="20"/>
  <c r="G171" i="20" s="1"/>
  <c r="F132" i="20"/>
  <c r="E132" i="20"/>
  <c r="E171" i="20" s="1"/>
  <c r="D132" i="20"/>
  <c r="D171" i="20" s="1"/>
  <c r="V131" i="20"/>
  <c r="U131" i="20"/>
  <c r="U160" i="20" s="1"/>
  <c r="T131" i="20"/>
  <c r="S131" i="20"/>
  <c r="R131" i="20"/>
  <c r="R170" i="20" s="1"/>
  <c r="Q131" i="20"/>
  <c r="P131" i="20"/>
  <c r="O131" i="20"/>
  <c r="N131" i="20"/>
  <c r="M131" i="20"/>
  <c r="L131" i="20"/>
  <c r="K131" i="20"/>
  <c r="K160" i="20" s="1"/>
  <c r="J131" i="20"/>
  <c r="I131" i="20"/>
  <c r="H131" i="20"/>
  <c r="G131" i="20"/>
  <c r="F131" i="20"/>
  <c r="E131" i="20"/>
  <c r="D131" i="20"/>
  <c r="V120" i="20"/>
  <c r="S120" i="20"/>
  <c r="N120" i="20"/>
  <c r="L120" i="20"/>
  <c r="Q119" i="20"/>
  <c r="N119" i="20"/>
  <c r="H119" i="20"/>
  <c r="T118" i="20"/>
  <c r="Q118" i="20"/>
  <c r="D118" i="20"/>
  <c r="U117" i="20"/>
  <c r="T117" i="20"/>
  <c r="S117" i="20"/>
  <c r="P117" i="20"/>
  <c r="O117" i="20"/>
  <c r="L117" i="20"/>
  <c r="G117" i="20"/>
  <c r="E117" i="20"/>
  <c r="V116" i="20"/>
  <c r="S116" i="20"/>
  <c r="J116" i="20"/>
  <c r="G116" i="20"/>
  <c r="T115" i="20"/>
  <c r="M115" i="20"/>
  <c r="J115" i="20"/>
  <c r="P114" i="20"/>
  <c r="M114" i="20"/>
  <c r="L114" i="20"/>
  <c r="H114" i="20"/>
  <c r="S113" i="20"/>
  <c r="Q113" i="20"/>
  <c r="P113" i="20"/>
  <c r="M113" i="20"/>
  <c r="K113" i="20"/>
  <c r="H113" i="20"/>
  <c r="V112" i="20"/>
  <c r="U112" i="20"/>
  <c r="T112" i="20"/>
  <c r="O112" i="20"/>
  <c r="M112" i="20"/>
  <c r="K112" i="20"/>
  <c r="F112" i="20"/>
  <c r="E112" i="20"/>
  <c r="D112" i="20"/>
  <c r="I111" i="20"/>
  <c r="F111" i="20"/>
  <c r="M110" i="20"/>
  <c r="I110" i="20"/>
  <c r="F110" i="20"/>
  <c r="F109" i="20"/>
  <c r="R108" i="20"/>
  <c r="J108" i="20"/>
  <c r="U107" i="20"/>
  <c r="T107" i="20"/>
  <c r="S107" i="20"/>
  <c r="R107" i="20"/>
  <c r="U106" i="20"/>
  <c r="H106" i="20"/>
  <c r="S105" i="20"/>
  <c r="H105" i="20"/>
  <c r="V104" i="20"/>
  <c r="U104" i="20"/>
  <c r="T104" i="20"/>
  <c r="S104" i="20"/>
  <c r="Q104" i="20"/>
  <c r="P104" i="20"/>
  <c r="O104" i="20"/>
  <c r="N104" i="20"/>
  <c r="M104" i="20"/>
  <c r="L104" i="20"/>
  <c r="K104" i="20"/>
  <c r="J104" i="20"/>
  <c r="I104" i="20"/>
  <c r="H104" i="20"/>
  <c r="G104" i="20"/>
  <c r="F104" i="20"/>
  <c r="E104" i="20"/>
  <c r="D104" i="20"/>
  <c r="T103" i="20"/>
  <c r="J103" i="20"/>
  <c r="D103" i="20"/>
  <c r="I102" i="20"/>
  <c r="G102" i="20"/>
  <c r="T101" i="20"/>
  <c r="Q101" i="20"/>
  <c r="J101" i="20"/>
  <c r="F101" i="20"/>
  <c r="D101" i="20"/>
  <c r="T100" i="20"/>
  <c r="M100" i="20"/>
  <c r="H100" i="20"/>
  <c r="G100" i="20"/>
  <c r="V99" i="20"/>
  <c r="P99" i="20"/>
  <c r="J99" i="20"/>
  <c r="G99" i="20"/>
  <c r="E99" i="20"/>
  <c r="U98" i="20"/>
  <c r="S98" i="20"/>
  <c r="V97" i="20"/>
  <c r="R97" i="20"/>
  <c r="F97" i="20"/>
  <c r="T96" i="20"/>
  <c r="S96" i="20"/>
  <c r="R96" i="20"/>
  <c r="P96" i="20"/>
  <c r="I96" i="20"/>
  <c r="E96" i="20"/>
  <c r="D96" i="20"/>
  <c r="V95" i="20"/>
  <c r="S95" i="20"/>
  <c r="R95" i="20"/>
  <c r="L95" i="20"/>
  <c r="V94" i="20"/>
  <c r="U94" i="20"/>
  <c r="O94" i="20"/>
  <c r="F94" i="20"/>
  <c r="T93" i="20"/>
  <c r="R93" i="20"/>
  <c r="M93" i="20"/>
  <c r="L93" i="20"/>
  <c r="K93" i="20"/>
  <c r="U92" i="20"/>
  <c r="P92" i="20"/>
  <c r="O92" i="20"/>
  <c r="N92" i="20"/>
  <c r="E92" i="20"/>
  <c r="V81" i="20"/>
  <c r="U81" i="20"/>
  <c r="U120" i="20" s="1"/>
  <c r="T81" i="20"/>
  <c r="T120" i="20" s="1"/>
  <c r="S81" i="20"/>
  <c r="R81" i="20"/>
  <c r="R120" i="20" s="1"/>
  <c r="Q81" i="20"/>
  <c r="Q120" i="20" s="1"/>
  <c r="P81" i="20"/>
  <c r="P120" i="20" s="1"/>
  <c r="O81" i="20"/>
  <c r="O120" i="20" s="1"/>
  <c r="N81" i="20"/>
  <c r="M81" i="20"/>
  <c r="M120" i="20" s="1"/>
  <c r="L81" i="20"/>
  <c r="K81" i="20"/>
  <c r="K120" i="20" s="1"/>
  <c r="J81" i="20"/>
  <c r="I81" i="20"/>
  <c r="H81" i="20"/>
  <c r="G81" i="20"/>
  <c r="G120" i="20" s="1"/>
  <c r="F81" i="20"/>
  <c r="F120" i="20" s="1"/>
  <c r="E81" i="20"/>
  <c r="D81" i="20"/>
  <c r="D120" i="20" s="1"/>
  <c r="V80" i="20"/>
  <c r="U80" i="20"/>
  <c r="T80" i="20"/>
  <c r="T119" i="20" s="1"/>
  <c r="S80" i="20"/>
  <c r="S119" i="20" s="1"/>
  <c r="R80" i="20"/>
  <c r="R119" i="20" s="1"/>
  <c r="Q80" i="20"/>
  <c r="P80" i="20"/>
  <c r="O80" i="20"/>
  <c r="N80" i="20"/>
  <c r="M80" i="20"/>
  <c r="M119" i="20" s="1"/>
  <c r="L80" i="20"/>
  <c r="K80" i="20"/>
  <c r="J80" i="20"/>
  <c r="I80" i="20"/>
  <c r="I119" i="20" s="1"/>
  <c r="H80" i="20"/>
  <c r="G80" i="20"/>
  <c r="G119" i="20" s="1"/>
  <c r="F80" i="20"/>
  <c r="E80" i="20"/>
  <c r="D80" i="20"/>
  <c r="D119" i="20" s="1"/>
  <c r="V79" i="20"/>
  <c r="V118" i="20" s="1"/>
  <c r="U79" i="20"/>
  <c r="U118" i="20" s="1"/>
  <c r="T79" i="20"/>
  <c r="S79" i="20"/>
  <c r="R79" i="20"/>
  <c r="Q79" i="20"/>
  <c r="P79" i="20"/>
  <c r="O79" i="20"/>
  <c r="N79" i="20"/>
  <c r="M79" i="20"/>
  <c r="L79" i="20"/>
  <c r="L118" i="20" s="1"/>
  <c r="K79" i="20"/>
  <c r="J79" i="20"/>
  <c r="J118" i="20" s="1"/>
  <c r="I79" i="20"/>
  <c r="H79" i="20"/>
  <c r="G79" i="20"/>
  <c r="G118" i="20" s="1"/>
  <c r="F79" i="20"/>
  <c r="F118" i="20" s="1"/>
  <c r="E79" i="20"/>
  <c r="E118" i="20" s="1"/>
  <c r="D79" i="20"/>
  <c r="V78" i="20"/>
  <c r="V117" i="20" s="1"/>
  <c r="U78" i="20"/>
  <c r="T78" i="20"/>
  <c r="S78" i="20"/>
  <c r="R78" i="20"/>
  <c r="R117" i="20" s="1"/>
  <c r="Q78" i="20"/>
  <c r="Q117" i="20" s="1"/>
  <c r="P78" i="20"/>
  <c r="O78" i="20"/>
  <c r="N78" i="20"/>
  <c r="N117" i="20" s="1"/>
  <c r="M78" i="20"/>
  <c r="M117" i="20" s="1"/>
  <c r="L78" i="20"/>
  <c r="K78" i="20"/>
  <c r="K117" i="20" s="1"/>
  <c r="J78" i="20"/>
  <c r="J117" i="20" s="1"/>
  <c r="I78" i="20"/>
  <c r="I117" i="20" s="1"/>
  <c r="H78" i="20"/>
  <c r="H117" i="20" s="1"/>
  <c r="G78" i="20"/>
  <c r="F78" i="20"/>
  <c r="F117" i="20" s="1"/>
  <c r="E78" i="20"/>
  <c r="D78" i="20"/>
  <c r="D117" i="20" s="1"/>
  <c r="V77" i="20"/>
  <c r="U77" i="20"/>
  <c r="T77" i="20"/>
  <c r="S77" i="20"/>
  <c r="R77" i="20"/>
  <c r="R116" i="20" s="1"/>
  <c r="Q77" i="20"/>
  <c r="Q116" i="20" s="1"/>
  <c r="P77" i="20"/>
  <c r="P116" i="20" s="1"/>
  <c r="O77" i="20"/>
  <c r="N77" i="20"/>
  <c r="M77" i="20"/>
  <c r="M116" i="20" s="1"/>
  <c r="L77" i="20"/>
  <c r="L116" i="20" s="1"/>
  <c r="K77" i="20"/>
  <c r="K116" i="20" s="1"/>
  <c r="J77" i="20"/>
  <c r="I77" i="20"/>
  <c r="H77" i="20"/>
  <c r="G77" i="20"/>
  <c r="F77" i="20"/>
  <c r="F116" i="20" s="1"/>
  <c r="E77" i="20"/>
  <c r="D77" i="20"/>
  <c r="V76" i="20"/>
  <c r="U76" i="20"/>
  <c r="U115" i="20" s="1"/>
  <c r="T76" i="20"/>
  <c r="S76" i="20"/>
  <c r="S115" i="20" s="1"/>
  <c r="R76" i="20"/>
  <c r="Q76" i="20"/>
  <c r="P76" i="20"/>
  <c r="P115" i="20" s="1"/>
  <c r="O76" i="20"/>
  <c r="O115" i="20" s="1"/>
  <c r="N76" i="20"/>
  <c r="N115" i="20" s="1"/>
  <c r="M76" i="20"/>
  <c r="L76" i="20"/>
  <c r="K76" i="20"/>
  <c r="J76" i="20"/>
  <c r="I76" i="20"/>
  <c r="H76" i="20"/>
  <c r="G76" i="20"/>
  <c r="F76" i="20"/>
  <c r="E76" i="20"/>
  <c r="E115" i="20" s="1"/>
  <c r="D76" i="20"/>
  <c r="V75" i="20"/>
  <c r="V114" i="20" s="1"/>
  <c r="U75" i="20"/>
  <c r="T75" i="20"/>
  <c r="S75" i="20"/>
  <c r="S114" i="20" s="1"/>
  <c r="R75" i="20"/>
  <c r="R114" i="20" s="1"/>
  <c r="Q75" i="20"/>
  <c r="Q114" i="20" s="1"/>
  <c r="P75" i="20"/>
  <c r="O75" i="20"/>
  <c r="N75" i="20"/>
  <c r="M75" i="20"/>
  <c r="L75" i="20"/>
  <c r="K75" i="20"/>
  <c r="J75" i="20"/>
  <c r="I75" i="20"/>
  <c r="I114" i="20" s="1"/>
  <c r="H75" i="20"/>
  <c r="G75" i="20"/>
  <c r="F75" i="20"/>
  <c r="F114" i="20" s="1"/>
  <c r="E75" i="20"/>
  <c r="D75" i="20"/>
  <c r="V74" i="20"/>
  <c r="V113" i="20" s="1"/>
  <c r="U74" i="20"/>
  <c r="U113" i="20" s="1"/>
  <c r="T74" i="20"/>
  <c r="T113" i="20" s="1"/>
  <c r="S74" i="20"/>
  <c r="R74" i="20"/>
  <c r="R113" i="20" s="1"/>
  <c r="Q74" i="20"/>
  <c r="P74" i="20"/>
  <c r="O74" i="20"/>
  <c r="O113" i="20" s="1"/>
  <c r="N74" i="20"/>
  <c r="N113" i="20" s="1"/>
  <c r="M74" i="20"/>
  <c r="L74" i="20"/>
  <c r="L113" i="20" s="1"/>
  <c r="K74" i="20"/>
  <c r="J74" i="20"/>
  <c r="J113" i="20" s="1"/>
  <c r="I74" i="20"/>
  <c r="I113" i="20" s="1"/>
  <c r="H74" i="20"/>
  <c r="G74" i="20"/>
  <c r="G113" i="20" s="1"/>
  <c r="F74" i="20"/>
  <c r="F113" i="20" s="1"/>
  <c r="E74" i="20"/>
  <c r="E113" i="20" s="1"/>
  <c r="D74" i="20"/>
  <c r="D113" i="20" s="1"/>
  <c r="V73" i="20"/>
  <c r="U73" i="20"/>
  <c r="T73" i="20"/>
  <c r="S73" i="20"/>
  <c r="S112" i="20" s="1"/>
  <c r="R73" i="20"/>
  <c r="R112" i="20" s="1"/>
  <c r="Q73" i="20"/>
  <c r="Q112" i="20" s="1"/>
  <c r="P73" i="20"/>
  <c r="P112" i="20" s="1"/>
  <c r="O73" i="20"/>
  <c r="N73" i="20"/>
  <c r="N112" i="20" s="1"/>
  <c r="M73" i="20"/>
  <c r="L73" i="20"/>
  <c r="L112" i="20" s="1"/>
  <c r="K73" i="20"/>
  <c r="J73" i="20"/>
  <c r="J112" i="20" s="1"/>
  <c r="I73" i="20"/>
  <c r="I112" i="20" s="1"/>
  <c r="H73" i="20"/>
  <c r="H112" i="20" s="1"/>
  <c r="G73" i="20"/>
  <c r="G112" i="20" s="1"/>
  <c r="F73" i="20"/>
  <c r="E73" i="20"/>
  <c r="D73" i="20"/>
  <c r="V72" i="20"/>
  <c r="V111" i="20" s="1"/>
  <c r="U72" i="20"/>
  <c r="T72" i="20"/>
  <c r="S72" i="20"/>
  <c r="R72" i="20"/>
  <c r="Q72" i="20"/>
  <c r="Q111" i="20" s="1"/>
  <c r="P72" i="20"/>
  <c r="O72" i="20"/>
  <c r="O111" i="20" s="1"/>
  <c r="N72" i="20"/>
  <c r="M72" i="20"/>
  <c r="L72" i="20"/>
  <c r="L111" i="20" s="1"/>
  <c r="K72" i="20"/>
  <c r="K111" i="20" s="1"/>
  <c r="J72" i="20"/>
  <c r="J111" i="20" s="1"/>
  <c r="I72" i="20"/>
  <c r="H72" i="20"/>
  <c r="G72" i="20"/>
  <c r="F72" i="20"/>
  <c r="E72" i="20"/>
  <c r="D72" i="20"/>
  <c r="V71" i="20"/>
  <c r="U71" i="20"/>
  <c r="T71" i="20"/>
  <c r="T110" i="20" s="1"/>
  <c r="S71" i="20"/>
  <c r="R71" i="20"/>
  <c r="R110" i="20" s="1"/>
  <c r="Q71" i="20"/>
  <c r="P71" i="20"/>
  <c r="O71" i="20"/>
  <c r="O110" i="20" s="1"/>
  <c r="N71" i="20"/>
  <c r="N110" i="20" s="1"/>
  <c r="M71" i="20"/>
  <c r="L71" i="20"/>
  <c r="K71" i="20"/>
  <c r="J71" i="20"/>
  <c r="I71" i="20"/>
  <c r="H71" i="20"/>
  <c r="H110" i="20" s="1"/>
  <c r="G71" i="20"/>
  <c r="F71" i="20"/>
  <c r="E71" i="20"/>
  <c r="E110" i="20" s="1"/>
  <c r="D71" i="20"/>
  <c r="D110" i="20" s="1"/>
  <c r="V70" i="20"/>
  <c r="V109" i="20" s="1"/>
  <c r="U70" i="20"/>
  <c r="U109" i="20" s="1"/>
  <c r="T70" i="20"/>
  <c r="S70" i="20"/>
  <c r="R70" i="20"/>
  <c r="R109" i="20" s="1"/>
  <c r="Q70" i="20"/>
  <c r="Q109" i="20" s="1"/>
  <c r="P70" i="20"/>
  <c r="P109" i="20" s="1"/>
  <c r="O70" i="20"/>
  <c r="N70" i="20"/>
  <c r="M70" i="20"/>
  <c r="L70" i="20"/>
  <c r="L109" i="20" s="1"/>
  <c r="K70" i="20"/>
  <c r="J70" i="20"/>
  <c r="I70" i="20"/>
  <c r="H70" i="20"/>
  <c r="H109" i="20" s="1"/>
  <c r="G70" i="20"/>
  <c r="G109" i="20" s="1"/>
  <c r="F70" i="20"/>
  <c r="E70" i="20"/>
  <c r="E109" i="20" s="1"/>
  <c r="D70" i="20"/>
  <c r="V69" i="20"/>
  <c r="U69" i="20"/>
  <c r="U108" i="20" s="1"/>
  <c r="T69" i="20"/>
  <c r="T108" i="20" s="1"/>
  <c r="S69" i="20"/>
  <c r="S108" i="20" s="1"/>
  <c r="R69" i="20"/>
  <c r="Q69" i="20"/>
  <c r="P69" i="20"/>
  <c r="O69" i="20"/>
  <c r="O108" i="20" s="1"/>
  <c r="N69" i="20"/>
  <c r="N108" i="20" s="1"/>
  <c r="M69" i="20"/>
  <c r="L69" i="20"/>
  <c r="K69" i="20"/>
  <c r="J69" i="20"/>
  <c r="I69" i="20"/>
  <c r="H69" i="20"/>
  <c r="H108" i="20" s="1"/>
  <c r="G69" i="20"/>
  <c r="F69" i="20"/>
  <c r="E69" i="20"/>
  <c r="E108" i="20" s="1"/>
  <c r="D69" i="20"/>
  <c r="D108" i="20" s="1"/>
  <c r="V68" i="20"/>
  <c r="V107" i="20" s="1"/>
  <c r="U68" i="20"/>
  <c r="T68" i="20"/>
  <c r="S68" i="20"/>
  <c r="R68" i="20"/>
  <c r="Q68" i="20"/>
  <c r="Q107" i="20" s="1"/>
  <c r="P68" i="20"/>
  <c r="O68" i="20"/>
  <c r="N68" i="20"/>
  <c r="M68" i="20"/>
  <c r="M107" i="20" s="1"/>
  <c r="L68" i="20"/>
  <c r="L107" i="20" s="1"/>
  <c r="K68" i="20"/>
  <c r="K107" i="20" s="1"/>
  <c r="J68" i="20"/>
  <c r="I68" i="20"/>
  <c r="H68" i="20"/>
  <c r="H107" i="20" s="1"/>
  <c r="G68" i="20"/>
  <c r="G107" i="20" s="1"/>
  <c r="F68" i="20"/>
  <c r="F107" i="20" s="1"/>
  <c r="E68" i="20"/>
  <c r="D68" i="20"/>
  <c r="V67" i="20"/>
  <c r="U67" i="20"/>
  <c r="T67" i="20"/>
  <c r="S67" i="20"/>
  <c r="R67" i="20"/>
  <c r="Q67" i="20"/>
  <c r="P67" i="20"/>
  <c r="P106" i="20" s="1"/>
  <c r="O67" i="20"/>
  <c r="N67" i="20"/>
  <c r="N106" i="20" s="1"/>
  <c r="M67" i="20"/>
  <c r="L67" i="20"/>
  <c r="K67" i="20"/>
  <c r="K106" i="20" s="1"/>
  <c r="J67" i="20"/>
  <c r="J106" i="20" s="1"/>
  <c r="I67" i="20"/>
  <c r="I106" i="20" s="1"/>
  <c r="H67" i="20"/>
  <c r="G67" i="20"/>
  <c r="F67" i="20"/>
  <c r="E67" i="20"/>
  <c r="E106" i="20" s="1"/>
  <c r="D67" i="20"/>
  <c r="V66" i="20"/>
  <c r="U66" i="20"/>
  <c r="U105" i="20" s="1"/>
  <c r="T66" i="20"/>
  <c r="S66" i="20"/>
  <c r="R66" i="20"/>
  <c r="Q66" i="20"/>
  <c r="Q105" i="20" s="1"/>
  <c r="P66" i="20"/>
  <c r="O66" i="20"/>
  <c r="N66" i="20"/>
  <c r="N105" i="20" s="1"/>
  <c r="M66" i="20"/>
  <c r="M105" i="20" s="1"/>
  <c r="L66" i="20"/>
  <c r="L105" i="20" s="1"/>
  <c r="K66" i="20"/>
  <c r="J66" i="20"/>
  <c r="I66" i="20"/>
  <c r="H66" i="20"/>
  <c r="G66" i="20"/>
  <c r="F66" i="20"/>
  <c r="E66" i="20"/>
  <c r="E105" i="20" s="1"/>
  <c r="D66" i="20"/>
  <c r="R65" i="20"/>
  <c r="R104" i="20" s="1"/>
  <c r="V64" i="20"/>
  <c r="V103" i="20" s="1"/>
  <c r="U64" i="20"/>
  <c r="U103" i="20" s="1"/>
  <c r="T64" i="20"/>
  <c r="S64" i="20"/>
  <c r="R64" i="20"/>
  <c r="R103" i="20" s="1"/>
  <c r="Q64" i="20"/>
  <c r="Q103" i="20" s="1"/>
  <c r="P64" i="20"/>
  <c r="P103" i="20" s="1"/>
  <c r="O64" i="20"/>
  <c r="N64" i="20"/>
  <c r="N103" i="20" s="1"/>
  <c r="M64" i="20"/>
  <c r="L64" i="20"/>
  <c r="K64" i="20"/>
  <c r="K103" i="20" s="1"/>
  <c r="J64" i="20"/>
  <c r="I64" i="20"/>
  <c r="H64" i="20"/>
  <c r="H103" i="20" s="1"/>
  <c r="G64" i="20"/>
  <c r="F64" i="20"/>
  <c r="F103" i="20" s="1"/>
  <c r="E64" i="20"/>
  <c r="E103" i="20" s="1"/>
  <c r="D64" i="20"/>
  <c r="V63" i="20"/>
  <c r="U63" i="20"/>
  <c r="U102" i="20" s="1"/>
  <c r="T63" i="20"/>
  <c r="T102" i="20" s="1"/>
  <c r="S63" i="20"/>
  <c r="S102" i="20" s="1"/>
  <c r="R63" i="20"/>
  <c r="Q63" i="20"/>
  <c r="Q102" i="20" s="1"/>
  <c r="P63" i="20"/>
  <c r="O63" i="20"/>
  <c r="N63" i="20"/>
  <c r="N102" i="20" s="1"/>
  <c r="M63" i="20"/>
  <c r="L63" i="20"/>
  <c r="K63" i="20"/>
  <c r="J63" i="20"/>
  <c r="I63" i="20"/>
  <c r="H63" i="20"/>
  <c r="H102" i="20" s="1"/>
  <c r="G63" i="20"/>
  <c r="F63" i="20"/>
  <c r="E63" i="20"/>
  <c r="E102" i="20" s="1"/>
  <c r="D63" i="20"/>
  <c r="D102" i="20" s="1"/>
  <c r="V62" i="20"/>
  <c r="V101" i="20" s="1"/>
  <c r="U62" i="20"/>
  <c r="T62" i="20"/>
  <c r="S62" i="20"/>
  <c r="R62" i="20"/>
  <c r="Q62" i="20"/>
  <c r="P62" i="20"/>
  <c r="O62" i="20"/>
  <c r="N62" i="20"/>
  <c r="M62" i="20"/>
  <c r="L62" i="20"/>
  <c r="L101" i="20" s="1"/>
  <c r="K62" i="20"/>
  <c r="K101" i="20" s="1"/>
  <c r="J62" i="20"/>
  <c r="I62" i="20"/>
  <c r="H62" i="20"/>
  <c r="H101" i="20" s="1"/>
  <c r="G62" i="20"/>
  <c r="G101" i="20" s="1"/>
  <c r="F62" i="20"/>
  <c r="E62" i="20"/>
  <c r="D62" i="20"/>
  <c r="V61" i="20"/>
  <c r="U61" i="20"/>
  <c r="T61" i="20"/>
  <c r="S61" i="20"/>
  <c r="R61" i="20"/>
  <c r="Q61" i="20"/>
  <c r="P61" i="20"/>
  <c r="O61" i="20"/>
  <c r="O100" i="20" s="1"/>
  <c r="N61" i="20"/>
  <c r="N100" i="20" s="1"/>
  <c r="M61" i="20"/>
  <c r="L61" i="20"/>
  <c r="K61" i="20"/>
  <c r="K100" i="20" s="1"/>
  <c r="J61" i="20"/>
  <c r="J100" i="20" s="1"/>
  <c r="I61" i="20"/>
  <c r="H61" i="20"/>
  <c r="G61" i="20"/>
  <c r="F61" i="20"/>
  <c r="E61" i="20"/>
  <c r="D61" i="20"/>
  <c r="D100" i="20" s="1"/>
  <c r="V60" i="20"/>
  <c r="U60" i="20"/>
  <c r="U99" i="20" s="1"/>
  <c r="T60" i="20"/>
  <c r="T99" i="20" s="1"/>
  <c r="S60" i="20"/>
  <c r="S99" i="20" s="1"/>
  <c r="R60" i="20"/>
  <c r="R99" i="20" s="1"/>
  <c r="Q60" i="20"/>
  <c r="Q99" i="20" s="1"/>
  <c r="P60" i="20"/>
  <c r="O60" i="20"/>
  <c r="N60" i="20"/>
  <c r="N99" i="20" s="1"/>
  <c r="M60" i="20"/>
  <c r="M99" i="20" s="1"/>
  <c r="L60" i="20"/>
  <c r="K60" i="20"/>
  <c r="J60" i="20"/>
  <c r="I60" i="20"/>
  <c r="H60" i="20"/>
  <c r="G60" i="20"/>
  <c r="F60" i="20"/>
  <c r="E60" i="20"/>
  <c r="D60" i="20"/>
  <c r="V59" i="20"/>
  <c r="U59" i="20"/>
  <c r="T59" i="20"/>
  <c r="T98" i="20" s="1"/>
  <c r="S59" i="20"/>
  <c r="R59" i="20"/>
  <c r="Q59" i="20"/>
  <c r="Q98" i="20" s="1"/>
  <c r="P59" i="20"/>
  <c r="P98" i="20" s="1"/>
  <c r="O59" i="20"/>
  <c r="N59" i="20"/>
  <c r="M59" i="20"/>
  <c r="M98" i="20" s="1"/>
  <c r="L59" i="20"/>
  <c r="K59" i="20"/>
  <c r="J59" i="20"/>
  <c r="J98" i="20" s="1"/>
  <c r="I59" i="20"/>
  <c r="H59" i="20"/>
  <c r="G59" i="20"/>
  <c r="G98" i="20" s="1"/>
  <c r="F59" i="20"/>
  <c r="E59" i="20"/>
  <c r="E98" i="20" s="1"/>
  <c r="D59" i="20"/>
  <c r="D98" i="20" s="1"/>
  <c r="V58" i="20"/>
  <c r="U58" i="20"/>
  <c r="T58" i="20"/>
  <c r="T97" i="20" s="1"/>
  <c r="S58" i="20"/>
  <c r="S97" i="20" s="1"/>
  <c r="R58" i="20"/>
  <c r="Q58" i="20"/>
  <c r="P58" i="20"/>
  <c r="P97" i="20" s="1"/>
  <c r="O58" i="20"/>
  <c r="N58" i="20"/>
  <c r="M58" i="20"/>
  <c r="M97" i="20" s="1"/>
  <c r="L58" i="20"/>
  <c r="K58" i="20"/>
  <c r="J58" i="20"/>
  <c r="I58" i="20"/>
  <c r="H58" i="20"/>
  <c r="H97" i="20" s="1"/>
  <c r="G58" i="20"/>
  <c r="G97" i="20" s="1"/>
  <c r="F58" i="20"/>
  <c r="E58" i="20"/>
  <c r="D58" i="20"/>
  <c r="D97" i="20" s="1"/>
  <c r="V57" i="20"/>
  <c r="V96" i="20" s="1"/>
  <c r="U57" i="20"/>
  <c r="U96" i="20" s="1"/>
  <c r="T57" i="20"/>
  <c r="S57" i="20"/>
  <c r="R57" i="20"/>
  <c r="Q57" i="20"/>
  <c r="Q96" i="20" s="1"/>
  <c r="P57" i="20"/>
  <c r="O57" i="20"/>
  <c r="O96" i="20" s="1"/>
  <c r="N57" i="20"/>
  <c r="N96" i="20" s="1"/>
  <c r="M57" i="20"/>
  <c r="M96" i="20" s="1"/>
  <c r="L57" i="20"/>
  <c r="L96" i="20" s="1"/>
  <c r="K57" i="20"/>
  <c r="K96" i="20" s="1"/>
  <c r="J57" i="20"/>
  <c r="J96" i="20" s="1"/>
  <c r="I57" i="20"/>
  <c r="H57" i="20"/>
  <c r="H96" i="20" s="1"/>
  <c r="G57" i="20"/>
  <c r="G96" i="20" s="1"/>
  <c r="F57" i="20"/>
  <c r="F96" i="20" s="1"/>
  <c r="E57" i="20"/>
  <c r="D57" i="20"/>
  <c r="V56" i="20"/>
  <c r="U56" i="20"/>
  <c r="T56" i="20"/>
  <c r="S56" i="20"/>
  <c r="R56" i="20"/>
  <c r="Q56" i="20"/>
  <c r="Q95" i="20" s="1"/>
  <c r="P56" i="20"/>
  <c r="P95" i="20" s="1"/>
  <c r="O56" i="20"/>
  <c r="N56" i="20"/>
  <c r="N95" i="20" s="1"/>
  <c r="M56" i="20"/>
  <c r="M95" i="20" s="1"/>
  <c r="L56" i="20"/>
  <c r="K56" i="20"/>
  <c r="J56" i="20"/>
  <c r="J95" i="20" s="1"/>
  <c r="I56" i="20"/>
  <c r="I95" i="20" s="1"/>
  <c r="H56" i="20"/>
  <c r="G56" i="20"/>
  <c r="F56" i="20"/>
  <c r="F95" i="20" s="1"/>
  <c r="E56" i="20"/>
  <c r="D56" i="20"/>
  <c r="V55" i="20"/>
  <c r="U55" i="20"/>
  <c r="T55" i="20"/>
  <c r="T94" i="20" s="1"/>
  <c r="S55" i="20"/>
  <c r="S94" i="20" s="1"/>
  <c r="R55" i="20"/>
  <c r="R94" i="20" s="1"/>
  <c r="Q55" i="20"/>
  <c r="Q94" i="20" s="1"/>
  <c r="P55" i="20"/>
  <c r="P94" i="20" s="1"/>
  <c r="O55" i="20"/>
  <c r="N55" i="20"/>
  <c r="N94" i="20" s="1"/>
  <c r="M55" i="20"/>
  <c r="L55" i="20"/>
  <c r="L94" i="20" s="1"/>
  <c r="K55" i="20"/>
  <c r="J55" i="20"/>
  <c r="I55" i="20"/>
  <c r="I94" i="20" s="1"/>
  <c r="H55" i="20"/>
  <c r="G55" i="20"/>
  <c r="F55" i="20"/>
  <c r="E55" i="20"/>
  <c r="D55" i="20"/>
  <c r="D94" i="20" s="1"/>
  <c r="V54" i="20"/>
  <c r="V93" i="20" s="1"/>
  <c r="U54" i="20"/>
  <c r="T54" i="20"/>
  <c r="S54" i="20"/>
  <c r="S93" i="20" s="1"/>
  <c r="R54" i="20"/>
  <c r="Q54" i="20"/>
  <c r="P54" i="20"/>
  <c r="P93" i="20" s="1"/>
  <c r="O54" i="20"/>
  <c r="O93" i="20" s="1"/>
  <c r="N54" i="20"/>
  <c r="N93" i="20" s="1"/>
  <c r="M54" i="20"/>
  <c r="L54" i="20"/>
  <c r="K54" i="20"/>
  <c r="J54" i="20"/>
  <c r="J93" i="20" s="1"/>
  <c r="I54" i="20"/>
  <c r="I93" i="20" s="1"/>
  <c r="H54" i="20"/>
  <c r="H93" i="20" s="1"/>
  <c r="G54" i="20"/>
  <c r="G93" i="20" s="1"/>
  <c r="F54" i="20"/>
  <c r="F93" i="20" s="1"/>
  <c r="E54" i="20"/>
  <c r="D54" i="20"/>
  <c r="D93" i="20" s="1"/>
  <c r="V53" i="20"/>
  <c r="U53" i="20"/>
  <c r="T53" i="20"/>
  <c r="S53" i="20"/>
  <c r="R53" i="20"/>
  <c r="Q53" i="20"/>
  <c r="Q92" i="20" s="1"/>
  <c r="P53" i="20"/>
  <c r="O53" i="20"/>
  <c r="N53" i="20"/>
  <c r="M53" i="20"/>
  <c r="L53" i="20"/>
  <c r="L92" i="20" s="1"/>
  <c r="K53" i="20"/>
  <c r="J53" i="20"/>
  <c r="I53" i="20"/>
  <c r="H53" i="20"/>
  <c r="G53" i="20"/>
  <c r="F53" i="20"/>
  <c r="E53" i="20"/>
  <c r="D53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H275" i="20" s="1"/>
  <c r="G41" i="20"/>
  <c r="G275" i="20" s="1"/>
  <c r="F41" i="20"/>
  <c r="E41" i="20"/>
  <c r="E198" i="20" s="1"/>
  <c r="D41" i="20"/>
  <c r="V40" i="20"/>
  <c r="U40" i="20"/>
  <c r="T40" i="20"/>
  <c r="T197" i="20" s="1"/>
  <c r="S40" i="20"/>
  <c r="R40" i="20"/>
  <c r="R274" i="20" s="1"/>
  <c r="Q40" i="20"/>
  <c r="P40" i="20"/>
  <c r="P119" i="20" s="1"/>
  <c r="O40" i="20"/>
  <c r="N40" i="20"/>
  <c r="M40" i="20"/>
  <c r="L40" i="20"/>
  <c r="K40" i="20"/>
  <c r="K274" i="20" s="1"/>
  <c r="J40" i="20"/>
  <c r="J274" i="20" s="1"/>
  <c r="I40" i="20"/>
  <c r="H40" i="20"/>
  <c r="G40" i="20"/>
  <c r="F40" i="20"/>
  <c r="F119" i="20" s="1"/>
  <c r="E40" i="20"/>
  <c r="D40" i="20"/>
  <c r="D197" i="20" s="1"/>
  <c r="V39" i="20"/>
  <c r="U39" i="20"/>
  <c r="U273" i="20" s="1"/>
  <c r="T39" i="20"/>
  <c r="S39" i="20"/>
  <c r="R39" i="20"/>
  <c r="Q39" i="20"/>
  <c r="P39" i="20"/>
  <c r="O39" i="20"/>
  <c r="N39" i="20"/>
  <c r="N273" i="20" s="1"/>
  <c r="M39" i="20"/>
  <c r="M273" i="20" s="1"/>
  <c r="L39" i="20"/>
  <c r="K39" i="20"/>
  <c r="K196" i="20" s="1"/>
  <c r="J39" i="20"/>
  <c r="I39" i="20"/>
  <c r="I118" i="20" s="1"/>
  <c r="H39" i="20"/>
  <c r="G39" i="20"/>
  <c r="G196" i="20" s="1"/>
  <c r="F39" i="20"/>
  <c r="E39" i="20"/>
  <c r="E273" i="20" s="1"/>
  <c r="D39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V37" i="20"/>
  <c r="V271" i="20" s="1"/>
  <c r="U37" i="20"/>
  <c r="T37" i="20"/>
  <c r="T271" i="20" s="1"/>
  <c r="S37" i="20"/>
  <c r="S271" i="20" s="1"/>
  <c r="R37" i="20"/>
  <c r="Q37" i="20"/>
  <c r="Q194" i="20" s="1"/>
  <c r="P37" i="20"/>
  <c r="O37" i="20"/>
  <c r="O116" i="20" s="1"/>
  <c r="N37" i="20"/>
  <c r="M37" i="20"/>
  <c r="M194" i="20" s="1"/>
  <c r="L37" i="20"/>
  <c r="K37" i="20"/>
  <c r="K271" i="20" s="1"/>
  <c r="J37" i="20"/>
  <c r="I37" i="20"/>
  <c r="I116" i="20" s="1"/>
  <c r="H37" i="20"/>
  <c r="G37" i="20"/>
  <c r="F37" i="20"/>
  <c r="E37" i="20"/>
  <c r="D37" i="20"/>
  <c r="D271" i="20" s="1"/>
  <c r="V36" i="20"/>
  <c r="V270" i="20" s="1"/>
  <c r="U36" i="20"/>
  <c r="T36" i="20"/>
  <c r="S36" i="20"/>
  <c r="R36" i="20"/>
  <c r="R115" i="20" s="1"/>
  <c r="Q36" i="20"/>
  <c r="P36" i="20"/>
  <c r="P193" i="20" s="1"/>
  <c r="O36" i="20"/>
  <c r="N36" i="20"/>
  <c r="N270" i="20" s="1"/>
  <c r="M36" i="20"/>
  <c r="L36" i="20"/>
  <c r="K36" i="20"/>
  <c r="J36" i="20"/>
  <c r="I36" i="20"/>
  <c r="H36" i="20"/>
  <c r="G36" i="20"/>
  <c r="G270" i="20" s="1"/>
  <c r="F36" i="20"/>
  <c r="F270" i="20" s="1"/>
  <c r="E36" i="20"/>
  <c r="D36" i="20"/>
  <c r="D193" i="20" s="1"/>
  <c r="V35" i="20"/>
  <c r="U35" i="20"/>
  <c r="U114" i="20" s="1"/>
  <c r="T35" i="20"/>
  <c r="S35" i="20"/>
  <c r="S192" i="20" s="1"/>
  <c r="R35" i="20"/>
  <c r="Q35" i="20"/>
  <c r="Q269" i="20" s="1"/>
  <c r="P35" i="20"/>
  <c r="O35" i="20"/>
  <c r="N35" i="20"/>
  <c r="M35" i="20"/>
  <c r="L35" i="20"/>
  <c r="K35" i="20"/>
  <c r="K192" i="20" s="1"/>
  <c r="J35" i="20"/>
  <c r="J269" i="20" s="1"/>
  <c r="I35" i="20"/>
  <c r="I269" i="20" s="1"/>
  <c r="H35" i="20"/>
  <c r="G35" i="20"/>
  <c r="F35" i="20"/>
  <c r="E35" i="20"/>
  <c r="E114" i="20" s="1"/>
  <c r="D35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V32" i="20"/>
  <c r="U32" i="20"/>
  <c r="T32" i="20"/>
  <c r="T189" i="20" s="1"/>
  <c r="S32" i="20"/>
  <c r="S266" i="20" s="1"/>
  <c r="R32" i="20"/>
  <c r="R266" i="20" s="1"/>
  <c r="Q32" i="20"/>
  <c r="P32" i="20"/>
  <c r="O32" i="20"/>
  <c r="N32" i="20"/>
  <c r="N111" i="20" s="1"/>
  <c r="M32" i="20"/>
  <c r="L32" i="20"/>
  <c r="L189" i="20" s="1"/>
  <c r="K32" i="20"/>
  <c r="J32" i="20"/>
  <c r="J266" i="20" s="1"/>
  <c r="I32" i="20"/>
  <c r="H32" i="20"/>
  <c r="G32" i="20"/>
  <c r="F32" i="20"/>
  <c r="E32" i="20"/>
  <c r="D32" i="20"/>
  <c r="V31" i="20"/>
  <c r="V265" i="20" s="1"/>
  <c r="U31" i="20"/>
  <c r="U265" i="20" s="1"/>
  <c r="T31" i="20"/>
  <c r="S31" i="20"/>
  <c r="S188" i="20" s="1"/>
  <c r="R31" i="20"/>
  <c r="Q31" i="20"/>
  <c r="P31" i="20"/>
  <c r="O31" i="20"/>
  <c r="O188" i="20" s="1"/>
  <c r="N31" i="20"/>
  <c r="M31" i="20"/>
  <c r="M265" i="20" s="1"/>
  <c r="L31" i="20"/>
  <c r="L110" i="20" s="1"/>
  <c r="K31" i="20"/>
  <c r="K110" i="20" s="1"/>
  <c r="J31" i="20"/>
  <c r="I31" i="20"/>
  <c r="H31" i="20"/>
  <c r="G31" i="20"/>
  <c r="G188" i="20" s="1"/>
  <c r="F31" i="20"/>
  <c r="F265" i="20" s="1"/>
  <c r="E31" i="20"/>
  <c r="E265" i="20" s="1"/>
  <c r="D31" i="20"/>
  <c r="V30" i="20"/>
  <c r="U30" i="20"/>
  <c r="T30" i="20"/>
  <c r="T109" i="20" s="1"/>
  <c r="S30" i="20"/>
  <c r="R30" i="20"/>
  <c r="R187" i="20" s="1"/>
  <c r="Q30" i="20"/>
  <c r="P30" i="20"/>
  <c r="P264" i="20" s="1"/>
  <c r="O30" i="20"/>
  <c r="O109" i="20" s="1"/>
  <c r="N30" i="20"/>
  <c r="M30" i="20"/>
  <c r="L30" i="20"/>
  <c r="K30" i="20"/>
  <c r="K109" i="20" s="1"/>
  <c r="J30" i="20"/>
  <c r="J187" i="20" s="1"/>
  <c r="I30" i="20"/>
  <c r="I264" i="20" s="1"/>
  <c r="H30" i="20"/>
  <c r="H264" i="20" s="1"/>
  <c r="G30" i="20"/>
  <c r="F30" i="20"/>
  <c r="F187" i="20" s="1"/>
  <c r="E30" i="20"/>
  <c r="D30" i="20"/>
  <c r="D109" i="20" s="1"/>
  <c r="V29" i="20"/>
  <c r="U29" i="20"/>
  <c r="U186" i="20" s="1"/>
  <c r="T29" i="20"/>
  <c r="S29" i="20"/>
  <c r="S263" i="20" s="1"/>
  <c r="R29" i="20"/>
  <c r="Q29" i="20"/>
  <c r="P29" i="20"/>
  <c r="O29" i="20"/>
  <c r="N29" i="20"/>
  <c r="N263" i="20" s="1"/>
  <c r="M29" i="20"/>
  <c r="L29" i="20"/>
  <c r="L263" i="20" s="1"/>
  <c r="K29" i="20"/>
  <c r="K263" i="20" s="1"/>
  <c r="J29" i="20"/>
  <c r="I29" i="20"/>
  <c r="H29" i="20"/>
  <c r="G29" i="20"/>
  <c r="G108" i="20" s="1"/>
  <c r="F29" i="20"/>
  <c r="E29" i="20"/>
  <c r="E186" i="20" s="1"/>
  <c r="D29" i="20"/>
  <c r="V28" i="20"/>
  <c r="U28" i="20"/>
  <c r="T28" i="20"/>
  <c r="S28" i="20"/>
  <c r="R28" i="20"/>
  <c r="Q28" i="20"/>
  <c r="P28" i="20"/>
  <c r="O28" i="20"/>
  <c r="O262" i="20" s="1"/>
  <c r="N28" i="20"/>
  <c r="N262" i="20" s="1"/>
  <c r="M28" i="20"/>
  <c r="L28" i="20"/>
  <c r="K28" i="20"/>
  <c r="J28" i="20"/>
  <c r="J107" i="20" s="1"/>
  <c r="I28" i="20"/>
  <c r="H28" i="20"/>
  <c r="H185" i="20" s="1"/>
  <c r="G28" i="20"/>
  <c r="F28" i="20"/>
  <c r="F262" i="20" s="1"/>
  <c r="E28" i="20"/>
  <c r="E107" i="20" s="1"/>
  <c r="D28" i="20"/>
  <c r="D107" i="20" s="1"/>
  <c r="V27" i="20"/>
  <c r="U27" i="20"/>
  <c r="T27" i="20"/>
  <c r="S27" i="20"/>
  <c r="S184" i="20" s="1"/>
  <c r="R27" i="20"/>
  <c r="R261" i="20" s="1"/>
  <c r="Q27" i="20"/>
  <c r="Q261" i="20" s="1"/>
  <c r="P27" i="20"/>
  <c r="O27" i="20"/>
  <c r="O184" i="20" s="1"/>
  <c r="N27" i="20"/>
  <c r="M27" i="20"/>
  <c r="M106" i="20" s="1"/>
  <c r="L27" i="20"/>
  <c r="K27" i="20"/>
  <c r="K184" i="20" s="1"/>
  <c r="J27" i="20"/>
  <c r="I27" i="20"/>
  <c r="I261" i="20" s="1"/>
  <c r="H27" i="20"/>
  <c r="G27" i="20"/>
  <c r="G106" i="20" s="1"/>
  <c r="F27" i="20"/>
  <c r="E27" i="20"/>
  <c r="D27" i="20"/>
  <c r="D106" i="20" s="1"/>
  <c r="V26" i="20"/>
  <c r="U26" i="20"/>
  <c r="U260" i="20" s="1"/>
  <c r="T26" i="20"/>
  <c r="T260" i="20" s="1"/>
  <c r="S26" i="20"/>
  <c r="R26" i="20"/>
  <c r="Q26" i="20"/>
  <c r="P26" i="20"/>
  <c r="P105" i="20" s="1"/>
  <c r="O26" i="20"/>
  <c r="N26" i="20"/>
  <c r="N183" i="20" s="1"/>
  <c r="M26" i="20"/>
  <c r="L26" i="20"/>
  <c r="L260" i="20" s="1"/>
  <c r="K26" i="20"/>
  <c r="K183" i="20" s="1"/>
  <c r="J26" i="20"/>
  <c r="J105" i="20" s="1"/>
  <c r="I26" i="20"/>
  <c r="H26" i="20"/>
  <c r="G26" i="20"/>
  <c r="F26" i="20"/>
  <c r="E26" i="20"/>
  <c r="E260" i="20" s="1"/>
  <c r="D26" i="20"/>
  <c r="D260" i="20" s="1"/>
  <c r="V24" i="20"/>
  <c r="V258" i="20" s="1"/>
  <c r="U24" i="20"/>
  <c r="T24" i="20"/>
  <c r="S24" i="20"/>
  <c r="R24" i="20"/>
  <c r="R181" i="20" s="1"/>
  <c r="Q24" i="20"/>
  <c r="P24" i="20"/>
  <c r="P258" i="20" s="1"/>
  <c r="O24" i="20"/>
  <c r="O103" i="20" s="1"/>
  <c r="N24" i="20"/>
  <c r="M24" i="20"/>
  <c r="M181" i="20" s="1"/>
  <c r="L24" i="20"/>
  <c r="K24" i="20"/>
  <c r="K258" i="20" s="1"/>
  <c r="J24" i="20"/>
  <c r="J258" i="20" s="1"/>
  <c r="I24" i="20"/>
  <c r="I258" i="20" s="1"/>
  <c r="H24" i="20"/>
  <c r="H181" i="20" s="1"/>
  <c r="G24" i="20"/>
  <c r="G258" i="20" s="1"/>
  <c r="F24" i="20"/>
  <c r="F258" i="20" s="1"/>
  <c r="E24" i="20"/>
  <c r="D24" i="20"/>
  <c r="V23" i="20"/>
  <c r="U23" i="20"/>
  <c r="U180" i="20" s="1"/>
  <c r="T23" i="20"/>
  <c r="S23" i="20"/>
  <c r="S257" i="20" s="1"/>
  <c r="R23" i="20"/>
  <c r="R102" i="20" s="1"/>
  <c r="Q23" i="20"/>
  <c r="P23" i="20"/>
  <c r="O23" i="20"/>
  <c r="N23" i="20"/>
  <c r="N257" i="20" s="1"/>
  <c r="M23" i="20"/>
  <c r="L23" i="20"/>
  <c r="L102" i="20" s="1"/>
  <c r="K23" i="20"/>
  <c r="J23" i="20"/>
  <c r="J257" i="20" s="1"/>
  <c r="I23" i="20"/>
  <c r="I257" i="20" s="1"/>
  <c r="H23" i="20"/>
  <c r="G23" i="20"/>
  <c r="F23" i="20"/>
  <c r="F102" i="20" s="1"/>
  <c r="E23" i="20"/>
  <c r="E180" i="20" s="1"/>
  <c r="D23" i="20"/>
  <c r="V22" i="20"/>
  <c r="V256" i="20" s="1"/>
  <c r="U22" i="20"/>
  <c r="U101" i="20" s="1"/>
  <c r="T22" i="20"/>
  <c r="S22" i="20"/>
  <c r="R22" i="20"/>
  <c r="Q22" i="20"/>
  <c r="Q256" i="20" s="1"/>
  <c r="P22" i="20"/>
  <c r="O22" i="20"/>
  <c r="O256" i="20" s="1"/>
  <c r="N22" i="20"/>
  <c r="N179" i="20" s="1"/>
  <c r="M22" i="20"/>
  <c r="M256" i="20" s="1"/>
  <c r="L22" i="20"/>
  <c r="L256" i="20" s="1"/>
  <c r="K22" i="20"/>
  <c r="J22" i="20"/>
  <c r="I22" i="20"/>
  <c r="H22" i="20"/>
  <c r="H179" i="20" s="1"/>
  <c r="G22" i="20"/>
  <c r="G179" i="20" s="1"/>
  <c r="F22" i="20"/>
  <c r="F256" i="20" s="1"/>
  <c r="E22" i="20"/>
  <c r="D22" i="20"/>
  <c r="V21" i="20"/>
  <c r="U21" i="20"/>
  <c r="T21" i="20"/>
  <c r="T255" i="20" s="1"/>
  <c r="S21" i="20"/>
  <c r="S255" i="20" s="1"/>
  <c r="R21" i="20"/>
  <c r="R255" i="20" s="1"/>
  <c r="Q21" i="20"/>
  <c r="Q178" i="20" s="1"/>
  <c r="P21" i="20"/>
  <c r="P255" i="20" s="1"/>
  <c r="O21" i="20"/>
  <c r="O255" i="20" s="1"/>
  <c r="N21" i="20"/>
  <c r="M21" i="20"/>
  <c r="L21" i="20"/>
  <c r="K21" i="20"/>
  <c r="K178" i="20" s="1"/>
  <c r="J21" i="20"/>
  <c r="I21" i="20"/>
  <c r="I255" i="20" s="1"/>
  <c r="H21" i="20"/>
  <c r="H178" i="20" s="1"/>
  <c r="G21" i="20"/>
  <c r="F21" i="20"/>
  <c r="F100" i="20" s="1"/>
  <c r="E21" i="20"/>
  <c r="D21" i="20"/>
  <c r="D255" i="20" s="1"/>
  <c r="V20" i="20"/>
  <c r="U20" i="20"/>
  <c r="T20" i="20"/>
  <c r="S20" i="20"/>
  <c r="R20" i="20"/>
  <c r="Q20" i="20"/>
  <c r="P20" i="20"/>
  <c r="O20" i="20"/>
  <c r="N20" i="20"/>
  <c r="N177" i="20" s="1"/>
  <c r="M20" i="20"/>
  <c r="L20" i="20"/>
  <c r="L254" i="20" s="1"/>
  <c r="K20" i="20"/>
  <c r="K99" i="20" s="1"/>
  <c r="J20" i="20"/>
  <c r="I20" i="20"/>
  <c r="H20" i="20"/>
  <c r="G20" i="20"/>
  <c r="G254" i="20" s="1"/>
  <c r="F20" i="20"/>
  <c r="E20" i="20"/>
  <c r="E254" i="20" s="1"/>
  <c r="D20" i="20"/>
  <c r="D177" i="20" s="1"/>
  <c r="V19" i="20"/>
  <c r="V253" i="20" s="1"/>
  <c r="U19" i="20"/>
  <c r="U253" i="20" s="1"/>
  <c r="T19" i="20"/>
  <c r="S19" i="20"/>
  <c r="R19" i="20"/>
  <c r="Q19" i="20"/>
  <c r="Q176" i="20" s="1"/>
  <c r="P19" i="20"/>
  <c r="O19" i="20"/>
  <c r="O253" i="20" s="1"/>
  <c r="N19" i="20"/>
  <c r="N98" i="20" s="1"/>
  <c r="M19" i="20"/>
  <c r="L19" i="20"/>
  <c r="K19" i="20"/>
  <c r="J19" i="20"/>
  <c r="J253" i="20" s="1"/>
  <c r="I19" i="20"/>
  <c r="I253" i="20" s="1"/>
  <c r="H19" i="20"/>
  <c r="G19" i="20"/>
  <c r="G176" i="20" s="1"/>
  <c r="F19" i="20"/>
  <c r="F253" i="20" s="1"/>
  <c r="E19" i="20"/>
  <c r="E253" i="20" s="1"/>
  <c r="D19" i="20"/>
  <c r="V18" i="20"/>
  <c r="U18" i="20"/>
  <c r="U42" i="20" s="1"/>
  <c r="T18" i="20"/>
  <c r="T175" i="20" s="1"/>
  <c r="S18" i="20"/>
  <c r="S175" i="20" s="1"/>
  <c r="R18" i="20"/>
  <c r="R252" i="20" s="1"/>
  <c r="Q18" i="20"/>
  <c r="Q175" i="20" s="1"/>
  <c r="P18" i="20"/>
  <c r="O18" i="20"/>
  <c r="N18" i="20"/>
  <c r="M18" i="20"/>
  <c r="M252" i="20" s="1"/>
  <c r="L18" i="20"/>
  <c r="K18" i="20"/>
  <c r="K252" i="20" s="1"/>
  <c r="J18" i="20"/>
  <c r="J175" i="20" s="1"/>
  <c r="I18" i="20"/>
  <c r="I252" i="20" s="1"/>
  <c r="H18" i="20"/>
  <c r="H252" i="20" s="1"/>
  <c r="G18" i="20"/>
  <c r="F18" i="20"/>
  <c r="E18" i="20"/>
  <c r="D18" i="20"/>
  <c r="D175" i="20" s="1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V16" i="20"/>
  <c r="U16" i="20"/>
  <c r="T16" i="20"/>
  <c r="S16" i="20"/>
  <c r="S250" i="20" s="1"/>
  <c r="R16" i="20"/>
  <c r="R250" i="20" s="1"/>
  <c r="Q16" i="20"/>
  <c r="Q250" i="20" s="1"/>
  <c r="P16" i="20"/>
  <c r="P173" i="20" s="1"/>
  <c r="O16" i="20"/>
  <c r="O250" i="20" s="1"/>
  <c r="N16" i="20"/>
  <c r="N250" i="20" s="1"/>
  <c r="M16" i="20"/>
  <c r="L16" i="20"/>
  <c r="K16" i="20"/>
  <c r="J16" i="20"/>
  <c r="J173" i="20" s="1"/>
  <c r="I16" i="20"/>
  <c r="H16" i="20"/>
  <c r="H250" i="20" s="1"/>
  <c r="G16" i="20"/>
  <c r="G95" i="20" s="1"/>
  <c r="F16" i="20"/>
  <c r="E16" i="20"/>
  <c r="D16" i="20"/>
  <c r="V15" i="20"/>
  <c r="U15" i="20"/>
  <c r="T15" i="20"/>
  <c r="S15" i="20"/>
  <c r="R15" i="20"/>
  <c r="Q15" i="20"/>
  <c r="P15" i="20"/>
  <c r="O15" i="20"/>
  <c r="N15" i="20"/>
  <c r="M15" i="20"/>
  <c r="M172" i="20" s="1"/>
  <c r="L15" i="20"/>
  <c r="L172" i="20" s="1"/>
  <c r="K15" i="20"/>
  <c r="K249" i="20" s="1"/>
  <c r="J15" i="20"/>
  <c r="I15" i="20"/>
  <c r="H15" i="20"/>
  <c r="G15" i="20"/>
  <c r="F15" i="20"/>
  <c r="F249" i="20" s="1"/>
  <c r="E15" i="20"/>
  <c r="D15" i="20"/>
  <c r="D249" i="20" s="1"/>
  <c r="V14" i="20"/>
  <c r="V171" i="20" s="1"/>
  <c r="U14" i="20"/>
  <c r="U248" i="20" s="1"/>
  <c r="T14" i="20"/>
  <c r="T248" i="20" s="1"/>
  <c r="S14" i="20"/>
  <c r="R14" i="20"/>
  <c r="Q14" i="20"/>
  <c r="P14" i="20"/>
  <c r="P171" i="20" s="1"/>
  <c r="O14" i="20"/>
  <c r="N14" i="20"/>
  <c r="M14" i="20"/>
  <c r="L14" i="20"/>
  <c r="K14" i="20"/>
  <c r="J14" i="20"/>
  <c r="J42" i="20" s="1"/>
  <c r="I14" i="20"/>
  <c r="H14" i="20"/>
  <c r="G14" i="20"/>
  <c r="F14" i="20"/>
  <c r="E14" i="20"/>
  <c r="D14" i="20"/>
  <c r="V13" i="20"/>
  <c r="U13" i="20"/>
  <c r="T13" i="20"/>
  <c r="T42" i="20" s="1"/>
  <c r="S13" i="20"/>
  <c r="R13" i="20"/>
  <c r="Q13" i="20"/>
  <c r="P13" i="20"/>
  <c r="O13" i="20"/>
  <c r="N13" i="20"/>
  <c r="M13" i="20"/>
  <c r="L13" i="20"/>
  <c r="L247" i="20" s="1"/>
  <c r="K13" i="20"/>
  <c r="J13" i="20"/>
  <c r="J247" i="20" s="1"/>
  <c r="I13" i="20"/>
  <c r="H13" i="20"/>
  <c r="G13" i="20"/>
  <c r="G247" i="20" s="1"/>
  <c r="F13" i="20"/>
  <c r="E13" i="20"/>
  <c r="D13" i="20"/>
  <c r="D42" i="20" s="1"/>
  <c r="C297" i="19"/>
  <c r="G293" i="19"/>
  <c r="K290" i="19"/>
  <c r="G289" i="19"/>
  <c r="G283" i="19"/>
  <c r="H278" i="19"/>
  <c r="J277" i="19"/>
  <c r="E275" i="19"/>
  <c r="D275" i="19"/>
  <c r="G273" i="19"/>
  <c r="G271" i="19"/>
  <c r="G269" i="19"/>
  <c r="G267" i="19"/>
  <c r="G265" i="19"/>
  <c r="C255" i="19"/>
  <c r="K253" i="19"/>
  <c r="K295" i="19" s="1"/>
  <c r="J253" i="19"/>
  <c r="I253" i="19"/>
  <c r="H253" i="19"/>
  <c r="G253" i="19"/>
  <c r="F253" i="19"/>
  <c r="F295" i="19" s="1"/>
  <c r="E253" i="19"/>
  <c r="E295" i="19" s="1"/>
  <c r="D253" i="19"/>
  <c r="K252" i="19"/>
  <c r="K294" i="19" s="1"/>
  <c r="J252" i="19"/>
  <c r="I252" i="19"/>
  <c r="H252" i="19"/>
  <c r="G252" i="19"/>
  <c r="F252" i="19"/>
  <c r="E252" i="19"/>
  <c r="D252" i="19"/>
  <c r="K251" i="19"/>
  <c r="K293" i="19" s="1"/>
  <c r="J251" i="19"/>
  <c r="I251" i="19"/>
  <c r="H251" i="19"/>
  <c r="G251" i="19"/>
  <c r="F251" i="19"/>
  <c r="F293" i="19" s="1"/>
  <c r="E251" i="19"/>
  <c r="E293" i="19" s="1"/>
  <c r="D251" i="19"/>
  <c r="K250" i="19"/>
  <c r="K292" i="19" s="1"/>
  <c r="J250" i="19"/>
  <c r="J292" i="19" s="1"/>
  <c r="I250" i="19"/>
  <c r="H250" i="19"/>
  <c r="G250" i="19"/>
  <c r="F250" i="19"/>
  <c r="E250" i="19"/>
  <c r="D250" i="19"/>
  <c r="K249" i="19"/>
  <c r="K291" i="19" s="1"/>
  <c r="J249" i="19"/>
  <c r="I249" i="19"/>
  <c r="H249" i="19"/>
  <c r="G249" i="19"/>
  <c r="G291" i="19" s="1"/>
  <c r="F249" i="19"/>
  <c r="F291" i="19" s="1"/>
  <c r="E249" i="19"/>
  <c r="E291" i="19" s="1"/>
  <c r="D249" i="19"/>
  <c r="K248" i="19"/>
  <c r="J248" i="19"/>
  <c r="I248" i="19"/>
  <c r="H248" i="19"/>
  <c r="G248" i="19"/>
  <c r="F248" i="19"/>
  <c r="E248" i="19"/>
  <c r="D248" i="19"/>
  <c r="K247" i="19"/>
  <c r="K289" i="19" s="1"/>
  <c r="J247" i="19"/>
  <c r="I247" i="19"/>
  <c r="H247" i="19"/>
  <c r="G247" i="19"/>
  <c r="F247" i="19"/>
  <c r="E247" i="19"/>
  <c r="E289" i="19" s="1"/>
  <c r="D247" i="19"/>
  <c r="K246" i="19"/>
  <c r="K288" i="19" s="1"/>
  <c r="J246" i="19"/>
  <c r="J288" i="19" s="1"/>
  <c r="I246" i="19"/>
  <c r="H246" i="19"/>
  <c r="G246" i="19"/>
  <c r="F246" i="19"/>
  <c r="E246" i="19"/>
  <c r="D246" i="19"/>
  <c r="K245" i="19"/>
  <c r="J245" i="19"/>
  <c r="I245" i="19"/>
  <c r="H245" i="19"/>
  <c r="G245" i="19"/>
  <c r="G287" i="19" s="1"/>
  <c r="F245" i="19"/>
  <c r="E245" i="19"/>
  <c r="E287" i="19" s="1"/>
  <c r="D245" i="19"/>
  <c r="K244" i="19"/>
  <c r="J244" i="19"/>
  <c r="J286" i="19" s="1"/>
  <c r="I244" i="19"/>
  <c r="H244" i="19"/>
  <c r="G244" i="19"/>
  <c r="F244" i="19"/>
  <c r="E244" i="19"/>
  <c r="D244" i="19"/>
  <c r="D286" i="19" s="1"/>
  <c r="K243" i="19"/>
  <c r="J243" i="19"/>
  <c r="I243" i="19"/>
  <c r="H243" i="19"/>
  <c r="G243" i="19"/>
  <c r="F243" i="19"/>
  <c r="E243" i="19"/>
  <c r="E285" i="19" s="1"/>
  <c r="D243" i="19"/>
  <c r="K242" i="19"/>
  <c r="K284" i="19" s="1"/>
  <c r="J242" i="19"/>
  <c r="J284" i="19" s="1"/>
  <c r="I242" i="19"/>
  <c r="H242" i="19"/>
  <c r="G242" i="19"/>
  <c r="F242" i="19"/>
  <c r="E242" i="19"/>
  <c r="D242" i="19"/>
  <c r="K241" i="19"/>
  <c r="K283" i="19" s="1"/>
  <c r="J241" i="19"/>
  <c r="I241" i="19"/>
  <c r="H241" i="19"/>
  <c r="G241" i="19"/>
  <c r="F241" i="19"/>
  <c r="E241" i="19"/>
  <c r="E283" i="19" s="1"/>
  <c r="D241" i="19"/>
  <c r="K240" i="19"/>
  <c r="K282" i="19" s="1"/>
  <c r="J240" i="19"/>
  <c r="J282" i="19" s="1"/>
  <c r="I240" i="19"/>
  <c r="H240" i="19"/>
  <c r="G240" i="19"/>
  <c r="F240" i="19"/>
  <c r="E240" i="19"/>
  <c r="D240" i="19"/>
  <c r="K239" i="19"/>
  <c r="K281" i="19" s="1"/>
  <c r="J239" i="19"/>
  <c r="I239" i="19"/>
  <c r="H239" i="19"/>
  <c r="G239" i="19"/>
  <c r="G281" i="19" s="1"/>
  <c r="F239" i="19"/>
  <c r="E239" i="19"/>
  <c r="E281" i="19" s="1"/>
  <c r="D239" i="19"/>
  <c r="K238" i="19"/>
  <c r="J238" i="19"/>
  <c r="J280" i="19" s="1"/>
  <c r="I238" i="19"/>
  <c r="H238" i="19"/>
  <c r="G238" i="19"/>
  <c r="F238" i="19"/>
  <c r="E238" i="19"/>
  <c r="D238" i="19"/>
  <c r="K237" i="19"/>
  <c r="K279" i="19" s="1"/>
  <c r="J237" i="19"/>
  <c r="I237" i="19"/>
  <c r="H237" i="19"/>
  <c r="G237" i="19"/>
  <c r="F237" i="19"/>
  <c r="E237" i="19"/>
  <c r="E279" i="19" s="1"/>
  <c r="D237" i="19"/>
  <c r="K236" i="19"/>
  <c r="K278" i="19" s="1"/>
  <c r="J236" i="19"/>
  <c r="J278" i="19" s="1"/>
  <c r="I236" i="19"/>
  <c r="H236" i="19"/>
  <c r="G236" i="19"/>
  <c r="F236" i="19"/>
  <c r="E236" i="19"/>
  <c r="D236" i="19"/>
  <c r="K235" i="19"/>
  <c r="K277" i="19" s="1"/>
  <c r="J235" i="19"/>
  <c r="I235" i="19"/>
  <c r="H235" i="19"/>
  <c r="G235" i="19"/>
  <c r="G277" i="19" s="1"/>
  <c r="F235" i="19"/>
  <c r="F277" i="19" s="1"/>
  <c r="E235" i="19"/>
  <c r="E277" i="19" s="1"/>
  <c r="D235" i="19"/>
  <c r="D277" i="19" s="1"/>
  <c r="K234" i="19"/>
  <c r="K276" i="19" s="1"/>
  <c r="J234" i="19"/>
  <c r="J276" i="19" s="1"/>
  <c r="I234" i="19"/>
  <c r="H234" i="19"/>
  <c r="G234" i="19"/>
  <c r="F234" i="19"/>
  <c r="E234" i="19"/>
  <c r="D234" i="19"/>
  <c r="K233" i="19"/>
  <c r="J233" i="19"/>
  <c r="I233" i="19"/>
  <c r="H233" i="19"/>
  <c r="G233" i="19"/>
  <c r="G275" i="19" s="1"/>
  <c r="F233" i="19"/>
  <c r="E233" i="19"/>
  <c r="D233" i="19"/>
  <c r="K232" i="19"/>
  <c r="K274" i="19" s="1"/>
  <c r="J232" i="19"/>
  <c r="J274" i="19" s="1"/>
  <c r="I232" i="19"/>
  <c r="H232" i="19"/>
  <c r="G232" i="19"/>
  <c r="F232" i="19"/>
  <c r="E232" i="19"/>
  <c r="D232" i="19"/>
  <c r="K231" i="19"/>
  <c r="K273" i="19" s="1"/>
  <c r="J231" i="19"/>
  <c r="I231" i="19"/>
  <c r="H231" i="19"/>
  <c r="G231" i="19"/>
  <c r="F231" i="19"/>
  <c r="E231" i="19"/>
  <c r="E273" i="19" s="1"/>
  <c r="D231" i="19"/>
  <c r="K230" i="19"/>
  <c r="J230" i="19"/>
  <c r="J272" i="19" s="1"/>
  <c r="I230" i="19"/>
  <c r="H230" i="19"/>
  <c r="G230" i="19"/>
  <c r="F230" i="19"/>
  <c r="E230" i="19"/>
  <c r="D230" i="19"/>
  <c r="D272" i="19" s="1"/>
  <c r="K229" i="19"/>
  <c r="K271" i="19" s="1"/>
  <c r="J229" i="19"/>
  <c r="I229" i="19"/>
  <c r="H229" i="19"/>
  <c r="G229" i="19"/>
  <c r="F229" i="19"/>
  <c r="E229" i="19"/>
  <c r="E271" i="19" s="1"/>
  <c r="D229" i="19"/>
  <c r="K228" i="19"/>
  <c r="J228" i="19"/>
  <c r="J270" i="19" s="1"/>
  <c r="I228" i="19"/>
  <c r="H228" i="19"/>
  <c r="G228" i="19"/>
  <c r="F228" i="19"/>
  <c r="E228" i="19"/>
  <c r="D228" i="19"/>
  <c r="D270" i="19" s="1"/>
  <c r="K227" i="19"/>
  <c r="K269" i="19" s="1"/>
  <c r="J227" i="19"/>
  <c r="I227" i="19"/>
  <c r="H227" i="19"/>
  <c r="G227" i="19"/>
  <c r="F227" i="19"/>
  <c r="E227" i="19"/>
  <c r="E269" i="19" s="1"/>
  <c r="D227" i="19"/>
  <c r="K226" i="19"/>
  <c r="J226" i="19"/>
  <c r="J268" i="19" s="1"/>
  <c r="I226" i="19"/>
  <c r="H226" i="19"/>
  <c r="G226" i="19"/>
  <c r="F226" i="19"/>
  <c r="E226" i="19"/>
  <c r="D226" i="19"/>
  <c r="D268" i="19" s="1"/>
  <c r="K225" i="19"/>
  <c r="K267" i="19" s="1"/>
  <c r="J225" i="19"/>
  <c r="I225" i="19"/>
  <c r="H225" i="19"/>
  <c r="G225" i="19"/>
  <c r="F225" i="19"/>
  <c r="E225" i="19"/>
  <c r="E267" i="19" s="1"/>
  <c r="D225" i="19"/>
  <c r="K224" i="19"/>
  <c r="K254" i="19" s="1"/>
  <c r="J224" i="19"/>
  <c r="J254" i="19" s="1"/>
  <c r="I224" i="19"/>
  <c r="I254" i="19" s="1"/>
  <c r="H224" i="19"/>
  <c r="H254" i="19" s="1"/>
  <c r="G224" i="19"/>
  <c r="F224" i="19"/>
  <c r="E224" i="19"/>
  <c r="D224" i="19"/>
  <c r="D266" i="19" s="1"/>
  <c r="K223" i="19"/>
  <c r="K265" i="19" s="1"/>
  <c r="J223" i="19"/>
  <c r="I223" i="19"/>
  <c r="H223" i="19"/>
  <c r="G223" i="19"/>
  <c r="G254" i="19" s="1"/>
  <c r="F223" i="19"/>
  <c r="E223" i="19"/>
  <c r="E265" i="19" s="1"/>
  <c r="D223" i="19"/>
  <c r="C214" i="19"/>
  <c r="F211" i="19"/>
  <c r="F210" i="19"/>
  <c r="G208" i="19"/>
  <c r="F208" i="19"/>
  <c r="F203" i="19"/>
  <c r="E203" i="19"/>
  <c r="F201" i="19"/>
  <c r="G200" i="19"/>
  <c r="I199" i="19"/>
  <c r="K197" i="19"/>
  <c r="F196" i="19"/>
  <c r="K195" i="19"/>
  <c r="D194" i="19"/>
  <c r="I193" i="19"/>
  <c r="F193" i="19"/>
  <c r="K191" i="19"/>
  <c r="F191" i="19"/>
  <c r="G188" i="19"/>
  <c r="F187" i="19"/>
  <c r="G186" i="19"/>
  <c r="F184" i="19"/>
  <c r="C172" i="19"/>
  <c r="K170" i="19"/>
  <c r="J170" i="19"/>
  <c r="I170" i="19"/>
  <c r="H170" i="19"/>
  <c r="G170" i="19"/>
  <c r="G212" i="19" s="1"/>
  <c r="F170" i="19"/>
  <c r="F212" i="19" s="1"/>
  <c r="E170" i="19"/>
  <c r="E212" i="19" s="1"/>
  <c r="D170" i="19"/>
  <c r="K169" i="19"/>
  <c r="J169" i="19"/>
  <c r="I169" i="19"/>
  <c r="H169" i="19"/>
  <c r="G169" i="19"/>
  <c r="F169" i="19"/>
  <c r="E169" i="19"/>
  <c r="D169" i="19"/>
  <c r="D211" i="19" s="1"/>
  <c r="K168" i="19"/>
  <c r="J168" i="19"/>
  <c r="I168" i="19"/>
  <c r="H168" i="19"/>
  <c r="G168" i="19"/>
  <c r="G210" i="19" s="1"/>
  <c r="F168" i="19"/>
  <c r="E168" i="19"/>
  <c r="E210" i="19" s="1"/>
  <c r="D168" i="19"/>
  <c r="K167" i="19"/>
  <c r="J167" i="19"/>
  <c r="I167" i="19"/>
  <c r="H167" i="19"/>
  <c r="G167" i="19"/>
  <c r="F167" i="19"/>
  <c r="E167" i="19"/>
  <c r="D167" i="19"/>
  <c r="D209" i="19" s="1"/>
  <c r="K166" i="19"/>
  <c r="J166" i="19"/>
  <c r="I166" i="19"/>
  <c r="H166" i="19"/>
  <c r="G166" i="19"/>
  <c r="F166" i="19"/>
  <c r="E166" i="19"/>
  <c r="E208" i="19" s="1"/>
  <c r="D166" i="19"/>
  <c r="K165" i="19"/>
  <c r="J165" i="19"/>
  <c r="I165" i="19"/>
  <c r="H165" i="19"/>
  <c r="G165" i="19"/>
  <c r="F165" i="19"/>
  <c r="E165" i="19"/>
  <c r="D165" i="19"/>
  <c r="D207" i="19" s="1"/>
  <c r="K164" i="19"/>
  <c r="J164" i="19"/>
  <c r="I164" i="19"/>
  <c r="H164" i="19"/>
  <c r="G164" i="19"/>
  <c r="G206" i="19" s="1"/>
  <c r="F164" i="19"/>
  <c r="F206" i="19" s="1"/>
  <c r="E164" i="19"/>
  <c r="E206" i="19" s="1"/>
  <c r="D164" i="19"/>
  <c r="K163" i="19"/>
  <c r="J163" i="19"/>
  <c r="I163" i="19"/>
  <c r="H163" i="19"/>
  <c r="G163" i="19"/>
  <c r="F163" i="19"/>
  <c r="E163" i="19"/>
  <c r="D163" i="19"/>
  <c r="D205" i="19" s="1"/>
  <c r="K162" i="19"/>
  <c r="J162" i="19"/>
  <c r="I162" i="19"/>
  <c r="H162" i="19"/>
  <c r="G162" i="19"/>
  <c r="G204" i="19" s="1"/>
  <c r="F162" i="19"/>
  <c r="F204" i="19" s="1"/>
  <c r="E162" i="19"/>
  <c r="E204" i="19" s="1"/>
  <c r="D162" i="19"/>
  <c r="K161" i="19"/>
  <c r="J161" i="19"/>
  <c r="I161" i="19"/>
  <c r="H161" i="19"/>
  <c r="G161" i="19"/>
  <c r="F161" i="19"/>
  <c r="E161" i="19"/>
  <c r="D161" i="19"/>
  <c r="D203" i="19" s="1"/>
  <c r="K160" i="19"/>
  <c r="J160" i="19"/>
  <c r="I160" i="19"/>
  <c r="H160" i="19"/>
  <c r="G160" i="19"/>
  <c r="G202" i="19" s="1"/>
  <c r="F160" i="19"/>
  <c r="F202" i="19" s="1"/>
  <c r="E160" i="19"/>
  <c r="E202" i="19" s="1"/>
  <c r="D160" i="19"/>
  <c r="K159" i="19"/>
  <c r="J159" i="19"/>
  <c r="I159" i="19"/>
  <c r="H159" i="19"/>
  <c r="G159" i="19"/>
  <c r="F159" i="19"/>
  <c r="E159" i="19"/>
  <c r="D159" i="19"/>
  <c r="D201" i="19" s="1"/>
  <c r="K158" i="19"/>
  <c r="J158" i="19"/>
  <c r="I158" i="19"/>
  <c r="H158" i="19"/>
  <c r="G158" i="19"/>
  <c r="F158" i="19"/>
  <c r="F200" i="19" s="1"/>
  <c r="E158" i="19"/>
  <c r="E200" i="19" s="1"/>
  <c r="D158" i="19"/>
  <c r="K157" i="19"/>
  <c r="J157" i="19"/>
  <c r="I157" i="19"/>
  <c r="H157" i="19"/>
  <c r="G157" i="19"/>
  <c r="F157" i="19"/>
  <c r="E157" i="19"/>
  <c r="D157" i="19"/>
  <c r="D199" i="19" s="1"/>
  <c r="K156" i="19"/>
  <c r="J156" i="19"/>
  <c r="I156" i="19"/>
  <c r="H156" i="19"/>
  <c r="G156" i="19"/>
  <c r="G198" i="19" s="1"/>
  <c r="F156" i="19"/>
  <c r="F198" i="19" s="1"/>
  <c r="E156" i="19"/>
  <c r="E198" i="19" s="1"/>
  <c r="D156" i="19"/>
  <c r="K155" i="19"/>
  <c r="J155" i="19"/>
  <c r="I155" i="19"/>
  <c r="H155" i="19"/>
  <c r="G155" i="19"/>
  <c r="F155" i="19"/>
  <c r="E155" i="19"/>
  <c r="D155" i="19"/>
  <c r="D197" i="19" s="1"/>
  <c r="K154" i="19"/>
  <c r="J154" i="19"/>
  <c r="I154" i="19"/>
  <c r="H154" i="19"/>
  <c r="G154" i="19"/>
  <c r="G196" i="19" s="1"/>
  <c r="F154" i="19"/>
  <c r="E154" i="19"/>
  <c r="E196" i="19" s="1"/>
  <c r="D154" i="19"/>
  <c r="K153" i="19"/>
  <c r="J153" i="19"/>
  <c r="I153" i="19"/>
  <c r="H153" i="19"/>
  <c r="G153" i="19"/>
  <c r="F153" i="19"/>
  <c r="E153" i="19"/>
  <c r="D153" i="19"/>
  <c r="D195" i="19" s="1"/>
  <c r="K152" i="19"/>
  <c r="J152" i="19"/>
  <c r="I152" i="19"/>
  <c r="H152" i="19"/>
  <c r="G152" i="19"/>
  <c r="G194" i="19" s="1"/>
  <c r="F152" i="19"/>
  <c r="F194" i="19" s="1"/>
  <c r="E152" i="19"/>
  <c r="E194" i="19" s="1"/>
  <c r="D152" i="19"/>
  <c r="K151" i="19"/>
  <c r="J151" i="19"/>
  <c r="I151" i="19"/>
  <c r="H151" i="19"/>
  <c r="G151" i="19"/>
  <c r="F151" i="19"/>
  <c r="E151" i="19"/>
  <c r="D151" i="19"/>
  <c r="D193" i="19" s="1"/>
  <c r="K150" i="19"/>
  <c r="J150" i="19"/>
  <c r="I150" i="19"/>
  <c r="H150" i="19"/>
  <c r="G150" i="19"/>
  <c r="G192" i="19" s="1"/>
  <c r="F150" i="19"/>
  <c r="F192" i="19" s="1"/>
  <c r="E150" i="19"/>
  <c r="E192" i="19" s="1"/>
  <c r="D150" i="19"/>
  <c r="K149" i="19"/>
  <c r="J149" i="19"/>
  <c r="I149" i="19"/>
  <c r="H149" i="19"/>
  <c r="G149" i="19"/>
  <c r="F149" i="19"/>
  <c r="E149" i="19"/>
  <c r="D149" i="19"/>
  <c r="D191" i="19" s="1"/>
  <c r="K148" i="19"/>
  <c r="J148" i="19"/>
  <c r="I148" i="19"/>
  <c r="H148" i="19"/>
  <c r="G148" i="19"/>
  <c r="G190" i="19" s="1"/>
  <c r="F148" i="19"/>
  <c r="F190" i="19" s="1"/>
  <c r="E148" i="19"/>
  <c r="E190" i="19" s="1"/>
  <c r="D148" i="19"/>
  <c r="K147" i="19"/>
  <c r="J147" i="19"/>
  <c r="I147" i="19"/>
  <c r="H147" i="19"/>
  <c r="G147" i="19"/>
  <c r="F147" i="19"/>
  <c r="E147" i="19"/>
  <c r="D147" i="19"/>
  <c r="D189" i="19" s="1"/>
  <c r="K146" i="19"/>
  <c r="J146" i="19"/>
  <c r="I146" i="19"/>
  <c r="H146" i="19"/>
  <c r="G146" i="19"/>
  <c r="F146" i="19"/>
  <c r="F188" i="19" s="1"/>
  <c r="E146" i="19"/>
  <c r="E188" i="19" s="1"/>
  <c r="D146" i="19"/>
  <c r="K145" i="19"/>
  <c r="J145" i="19"/>
  <c r="I145" i="19"/>
  <c r="H145" i="19"/>
  <c r="G145" i="19"/>
  <c r="F145" i="19"/>
  <c r="E145" i="19"/>
  <c r="D145" i="19"/>
  <c r="D187" i="19" s="1"/>
  <c r="K144" i="19"/>
  <c r="J144" i="19"/>
  <c r="I144" i="19"/>
  <c r="H144" i="19"/>
  <c r="G144" i="19"/>
  <c r="F144" i="19"/>
  <c r="F186" i="19" s="1"/>
  <c r="E144" i="19"/>
  <c r="E186" i="19" s="1"/>
  <c r="D144" i="19"/>
  <c r="K143" i="19"/>
  <c r="J143" i="19"/>
  <c r="I143" i="19"/>
  <c r="H143" i="19"/>
  <c r="G143" i="19"/>
  <c r="F143" i="19"/>
  <c r="E143" i="19"/>
  <c r="D143" i="19"/>
  <c r="D185" i="19" s="1"/>
  <c r="K142" i="19"/>
  <c r="J142" i="19"/>
  <c r="I142" i="19"/>
  <c r="H142" i="19"/>
  <c r="G142" i="19"/>
  <c r="G184" i="19" s="1"/>
  <c r="F142" i="19"/>
  <c r="E142" i="19"/>
  <c r="E184" i="19" s="1"/>
  <c r="D142" i="19"/>
  <c r="K141" i="19"/>
  <c r="J141" i="19"/>
  <c r="I141" i="19"/>
  <c r="H141" i="19"/>
  <c r="H171" i="19" s="1"/>
  <c r="G141" i="19"/>
  <c r="F141" i="19"/>
  <c r="E141" i="19"/>
  <c r="E171" i="19" s="1"/>
  <c r="D141" i="19"/>
  <c r="D183" i="19" s="1"/>
  <c r="K140" i="19"/>
  <c r="J140" i="19"/>
  <c r="I140" i="19"/>
  <c r="H140" i="19"/>
  <c r="G140" i="19"/>
  <c r="G171" i="19" s="1"/>
  <c r="F140" i="19"/>
  <c r="F171" i="19" s="1"/>
  <c r="E140" i="19"/>
  <c r="E182" i="19" s="1"/>
  <c r="D140" i="19"/>
  <c r="C130" i="19"/>
  <c r="K128" i="19"/>
  <c r="H128" i="19"/>
  <c r="D127" i="19"/>
  <c r="K126" i="19"/>
  <c r="K124" i="19"/>
  <c r="H124" i="19"/>
  <c r="D123" i="19"/>
  <c r="K122" i="19"/>
  <c r="K120" i="19"/>
  <c r="H120" i="19"/>
  <c r="D119" i="19"/>
  <c r="K118" i="19"/>
  <c r="K116" i="19"/>
  <c r="H116" i="19"/>
  <c r="D115" i="19"/>
  <c r="K114" i="19"/>
  <c r="K112" i="19"/>
  <c r="H112" i="19"/>
  <c r="D111" i="19"/>
  <c r="K110" i="19"/>
  <c r="K108" i="19"/>
  <c r="H108" i="19"/>
  <c r="D107" i="19"/>
  <c r="K106" i="19"/>
  <c r="K104" i="19"/>
  <c r="H104" i="19"/>
  <c r="D103" i="19"/>
  <c r="K102" i="19"/>
  <c r="K100" i="19"/>
  <c r="H100" i="19"/>
  <c r="D99" i="19"/>
  <c r="K98" i="19"/>
  <c r="C88" i="19"/>
  <c r="I87" i="19"/>
  <c r="K86" i="19"/>
  <c r="J86" i="19"/>
  <c r="I86" i="19"/>
  <c r="I128" i="19" s="1"/>
  <c r="H86" i="19"/>
  <c r="G86" i="19"/>
  <c r="G128" i="19" s="1"/>
  <c r="F86" i="19"/>
  <c r="F128" i="19" s="1"/>
  <c r="E86" i="19"/>
  <c r="E128" i="19" s="1"/>
  <c r="D86" i="19"/>
  <c r="K85" i="19"/>
  <c r="J85" i="19"/>
  <c r="I85" i="19"/>
  <c r="I127" i="19" s="1"/>
  <c r="H85" i="19"/>
  <c r="H127" i="19" s="1"/>
  <c r="G85" i="19"/>
  <c r="G127" i="19" s="1"/>
  <c r="F85" i="19"/>
  <c r="E85" i="19"/>
  <c r="D85" i="19"/>
  <c r="K84" i="19"/>
  <c r="J84" i="19"/>
  <c r="I84" i="19"/>
  <c r="I126" i="19" s="1"/>
  <c r="H84" i="19"/>
  <c r="G84" i="19"/>
  <c r="G126" i="19" s="1"/>
  <c r="F84" i="19"/>
  <c r="F126" i="19" s="1"/>
  <c r="E84" i="19"/>
  <c r="E126" i="19" s="1"/>
  <c r="D84" i="19"/>
  <c r="K83" i="19"/>
  <c r="J83" i="19"/>
  <c r="I83" i="19"/>
  <c r="I125" i="19" s="1"/>
  <c r="H83" i="19"/>
  <c r="H125" i="19" s="1"/>
  <c r="G83" i="19"/>
  <c r="G125" i="19" s="1"/>
  <c r="F83" i="19"/>
  <c r="E83" i="19"/>
  <c r="D83" i="19"/>
  <c r="K82" i="19"/>
  <c r="J82" i="19"/>
  <c r="I82" i="19"/>
  <c r="I124" i="19" s="1"/>
  <c r="H82" i="19"/>
  <c r="G82" i="19"/>
  <c r="G124" i="19" s="1"/>
  <c r="F82" i="19"/>
  <c r="F124" i="19" s="1"/>
  <c r="E82" i="19"/>
  <c r="E124" i="19" s="1"/>
  <c r="D82" i="19"/>
  <c r="K81" i="19"/>
  <c r="J81" i="19"/>
  <c r="I81" i="19"/>
  <c r="I123" i="19" s="1"/>
  <c r="H81" i="19"/>
  <c r="H123" i="19" s="1"/>
  <c r="G81" i="19"/>
  <c r="G123" i="19" s="1"/>
  <c r="F81" i="19"/>
  <c r="E81" i="19"/>
  <c r="D81" i="19"/>
  <c r="K80" i="19"/>
  <c r="J80" i="19"/>
  <c r="I80" i="19"/>
  <c r="I122" i="19" s="1"/>
  <c r="H80" i="19"/>
  <c r="H122" i="19" s="1"/>
  <c r="G80" i="19"/>
  <c r="G122" i="19" s="1"/>
  <c r="F80" i="19"/>
  <c r="E80" i="19"/>
  <c r="E122" i="19" s="1"/>
  <c r="D80" i="19"/>
  <c r="K79" i="19"/>
  <c r="J79" i="19"/>
  <c r="I79" i="19"/>
  <c r="I121" i="19" s="1"/>
  <c r="H79" i="19"/>
  <c r="H121" i="19" s="1"/>
  <c r="G79" i="19"/>
  <c r="G121" i="19" s="1"/>
  <c r="F79" i="19"/>
  <c r="E79" i="19"/>
  <c r="D79" i="19"/>
  <c r="K78" i="19"/>
  <c r="J78" i="19"/>
  <c r="I78" i="19"/>
  <c r="I120" i="19" s="1"/>
  <c r="H78" i="19"/>
  <c r="G78" i="19"/>
  <c r="G120" i="19" s="1"/>
  <c r="F78" i="19"/>
  <c r="E78" i="19"/>
  <c r="E120" i="19" s="1"/>
  <c r="D78" i="19"/>
  <c r="K77" i="19"/>
  <c r="J77" i="19"/>
  <c r="I77" i="19"/>
  <c r="I119" i="19" s="1"/>
  <c r="H77" i="19"/>
  <c r="H119" i="19" s="1"/>
  <c r="G77" i="19"/>
  <c r="G119" i="19" s="1"/>
  <c r="F77" i="19"/>
  <c r="E77" i="19"/>
  <c r="D77" i="19"/>
  <c r="K76" i="19"/>
  <c r="J76" i="19"/>
  <c r="I76" i="19"/>
  <c r="I118" i="19" s="1"/>
  <c r="H76" i="19"/>
  <c r="H118" i="19" s="1"/>
  <c r="G76" i="19"/>
  <c r="G118" i="19" s="1"/>
  <c r="F76" i="19"/>
  <c r="E76" i="19"/>
  <c r="E118" i="19" s="1"/>
  <c r="D76" i="19"/>
  <c r="K75" i="19"/>
  <c r="J75" i="19"/>
  <c r="I75" i="19"/>
  <c r="I117" i="19" s="1"/>
  <c r="H75" i="19"/>
  <c r="H117" i="19" s="1"/>
  <c r="G75" i="19"/>
  <c r="G117" i="19" s="1"/>
  <c r="F75" i="19"/>
  <c r="E75" i="19"/>
  <c r="D75" i="19"/>
  <c r="K74" i="19"/>
  <c r="J74" i="19"/>
  <c r="I74" i="19"/>
  <c r="I116" i="19" s="1"/>
  <c r="H74" i="19"/>
  <c r="G74" i="19"/>
  <c r="G116" i="19" s="1"/>
  <c r="F74" i="19"/>
  <c r="E74" i="19"/>
  <c r="E116" i="19" s="1"/>
  <c r="D74" i="19"/>
  <c r="K73" i="19"/>
  <c r="J73" i="19"/>
  <c r="I73" i="19"/>
  <c r="I115" i="19" s="1"/>
  <c r="H73" i="19"/>
  <c r="H115" i="19" s="1"/>
  <c r="G73" i="19"/>
  <c r="G115" i="19" s="1"/>
  <c r="F73" i="19"/>
  <c r="E73" i="19"/>
  <c r="D73" i="19"/>
  <c r="K72" i="19"/>
  <c r="J72" i="19"/>
  <c r="I72" i="19"/>
  <c r="I114" i="19" s="1"/>
  <c r="H72" i="19"/>
  <c r="H114" i="19" s="1"/>
  <c r="G72" i="19"/>
  <c r="G114" i="19" s="1"/>
  <c r="F72" i="19"/>
  <c r="E72" i="19"/>
  <c r="E114" i="19" s="1"/>
  <c r="D72" i="19"/>
  <c r="K71" i="19"/>
  <c r="J71" i="19"/>
  <c r="I71" i="19"/>
  <c r="I113" i="19" s="1"/>
  <c r="H71" i="19"/>
  <c r="H113" i="19" s="1"/>
  <c r="G71" i="19"/>
  <c r="G113" i="19" s="1"/>
  <c r="F71" i="19"/>
  <c r="E71" i="19"/>
  <c r="D71" i="19"/>
  <c r="K70" i="19"/>
  <c r="J70" i="19"/>
  <c r="I70" i="19"/>
  <c r="I112" i="19" s="1"/>
  <c r="H70" i="19"/>
  <c r="G70" i="19"/>
  <c r="G112" i="19" s="1"/>
  <c r="F70" i="19"/>
  <c r="E70" i="19"/>
  <c r="E112" i="19" s="1"/>
  <c r="D70" i="19"/>
  <c r="K69" i="19"/>
  <c r="J69" i="19"/>
  <c r="I69" i="19"/>
  <c r="I111" i="19" s="1"/>
  <c r="H69" i="19"/>
  <c r="H111" i="19" s="1"/>
  <c r="G69" i="19"/>
  <c r="G111" i="19" s="1"/>
  <c r="F69" i="19"/>
  <c r="E69" i="19"/>
  <c r="D69" i="19"/>
  <c r="K68" i="19"/>
  <c r="J68" i="19"/>
  <c r="I68" i="19"/>
  <c r="I110" i="19" s="1"/>
  <c r="H68" i="19"/>
  <c r="H110" i="19" s="1"/>
  <c r="G68" i="19"/>
  <c r="G110" i="19" s="1"/>
  <c r="F68" i="19"/>
  <c r="F110" i="19" s="1"/>
  <c r="E68" i="19"/>
  <c r="E110" i="19" s="1"/>
  <c r="D68" i="19"/>
  <c r="D110" i="19" s="1"/>
  <c r="K67" i="19"/>
  <c r="J67" i="19"/>
  <c r="I67" i="19"/>
  <c r="I109" i="19" s="1"/>
  <c r="H67" i="19"/>
  <c r="H109" i="19" s="1"/>
  <c r="G67" i="19"/>
  <c r="G109" i="19" s="1"/>
  <c r="F67" i="19"/>
  <c r="E67" i="19"/>
  <c r="D67" i="19"/>
  <c r="K66" i="19"/>
  <c r="J66" i="19"/>
  <c r="I66" i="19"/>
  <c r="I108" i="19" s="1"/>
  <c r="H66" i="19"/>
  <c r="G66" i="19"/>
  <c r="G108" i="19" s="1"/>
  <c r="F66" i="19"/>
  <c r="E66" i="19"/>
  <c r="E108" i="19" s="1"/>
  <c r="D66" i="19"/>
  <c r="K65" i="19"/>
  <c r="J65" i="19"/>
  <c r="I65" i="19"/>
  <c r="I107" i="19" s="1"/>
  <c r="H65" i="19"/>
  <c r="H107" i="19" s="1"/>
  <c r="G65" i="19"/>
  <c r="G107" i="19" s="1"/>
  <c r="F65" i="19"/>
  <c r="E65" i="19"/>
  <c r="D65" i="19"/>
  <c r="K64" i="19"/>
  <c r="J64" i="19"/>
  <c r="I64" i="19"/>
  <c r="I106" i="19" s="1"/>
  <c r="H64" i="19"/>
  <c r="H106" i="19" s="1"/>
  <c r="G64" i="19"/>
  <c r="G106" i="19" s="1"/>
  <c r="F64" i="19"/>
  <c r="E64" i="19"/>
  <c r="E106" i="19" s="1"/>
  <c r="D64" i="19"/>
  <c r="K63" i="19"/>
  <c r="J63" i="19"/>
  <c r="I63" i="19"/>
  <c r="I105" i="19" s="1"/>
  <c r="H63" i="19"/>
  <c r="H105" i="19" s="1"/>
  <c r="G63" i="19"/>
  <c r="G105" i="19" s="1"/>
  <c r="F63" i="19"/>
  <c r="E63" i="19"/>
  <c r="D63" i="19"/>
  <c r="K62" i="19"/>
  <c r="J62" i="19"/>
  <c r="I62" i="19"/>
  <c r="I104" i="19" s="1"/>
  <c r="H62" i="19"/>
  <c r="G62" i="19"/>
  <c r="G104" i="19" s="1"/>
  <c r="F62" i="19"/>
  <c r="E62" i="19"/>
  <c r="E104" i="19" s="1"/>
  <c r="D62" i="19"/>
  <c r="K61" i="19"/>
  <c r="J61" i="19"/>
  <c r="I61" i="19"/>
  <c r="I103" i="19" s="1"/>
  <c r="H61" i="19"/>
  <c r="H103" i="19" s="1"/>
  <c r="G61" i="19"/>
  <c r="G103" i="19" s="1"/>
  <c r="F61" i="19"/>
  <c r="E61" i="19"/>
  <c r="D61" i="19"/>
  <c r="K60" i="19"/>
  <c r="J60" i="19"/>
  <c r="I60" i="19"/>
  <c r="I102" i="19" s="1"/>
  <c r="H60" i="19"/>
  <c r="H102" i="19" s="1"/>
  <c r="G60" i="19"/>
  <c r="G102" i="19" s="1"/>
  <c r="F60" i="19"/>
  <c r="E60" i="19"/>
  <c r="E102" i="19" s="1"/>
  <c r="D60" i="19"/>
  <c r="K59" i="19"/>
  <c r="J59" i="19"/>
  <c r="I59" i="19"/>
  <c r="I101" i="19" s="1"/>
  <c r="H59" i="19"/>
  <c r="H101" i="19" s="1"/>
  <c r="G59" i="19"/>
  <c r="G101" i="19" s="1"/>
  <c r="F59" i="19"/>
  <c r="E59" i="19"/>
  <c r="D59" i="19"/>
  <c r="K58" i="19"/>
  <c r="J58" i="19"/>
  <c r="I58" i="19"/>
  <c r="I100" i="19" s="1"/>
  <c r="H58" i="19"/>
  <c r="G58" i="19"/>
  <c r="G100" i="19" s="1"/>
  <c r="F58" i="19"/>
  <c r="E58" i="19"/>
  <c r="E100" i="19" s="1"/>
  <c r="D58" i="19"/>
  <c r="K57" i="19"/>
  <c r="J57" i="19"/>
  <c r="I57" i="19"/>
  <c r="I99" i="19" s="1"/>
  <c r="H57" i="19"/>
  <c r="H99" i="19" s="1"/>
  <c r="G57" i="19"/>
  <c r="G99" i="19" s="1"/>
  <c r="F57" i="19"/>
  <c r="E57" i="19"/>
  <c r="D57" i="19"/>
  <c r="K56" i="19"/>
  <c r="J56" i="19"/>
  <c r="I56" i="19"/>
  <c r="I98" i="19" s="1"/>
  <c r="H56" i="19"/>
  <c r="H98" i="19" s="1"/>
  <c r="G56" i="19"/>
  <c r="F56" i="19"/>
  <c r="E56" i="19"/>
  <c r="D56" i="19"/>
  <c r="C46" i="19"/>
  <c r="K44" i="19"/>
  <c r="J44" i="19"/>
  <c r="J295" i="19" s="1"/>
  <c r="I44" i="19"/>
  <c r="I295" i="19" s="1"/>
  <c r="H44" i="19"/>
  <c r="G44" i="19"/>
  <c r="G295" i="19" s="1"/>
  <c r="F44" i="19"/>
  <c r="E44" i="19"/>
  <c r="D44" i="19"/>
  <c r="D212" i="19" s="1"/>
  <c r="K43" i="19"/>
  <c r="K211" i="19" s="1"/>
  <c r="J43" i="19"/>
  <c r="J211" i="19" s="1"/>
  <c r="I43" i="19"/>
  <c r="I294" i="19" s="1"/>
  <c r="H43" i="19"/>
  <c r="G43" i="19"/>
  <c r="F43" i="19"/>
  <c r="F127" i="19" s="1"/>
  <c r="E43" i="19"/>
  <c r="E127" i="19" s="1"/>
  <c r="D43" i="19"/>
  <c r="K42" i="19"/>
  <c r="J42" i="19"/>
  <c r="I42" i="19"/>
  <c r="I293" i="19" s="1"/>
  <c r="H42" i="19"/>
  <c r="H126" i="19" s="1"/>
  <c r="G42" i="19"/>
  <c r="F42" i="19"/>
  <c r="E42" i="19"/>
  <c r="D42" i="19"/>
  <c r="K41" i="19"/>
  <c r="K209" i="19" s="1"/>
  <c r="J41" i="19"/>
  <c r="J209" i="19" s="1"/>
  <c r="I41" i="19"/>
  <c r="I292" i="19" s="1"/>
  <c r="H41" i="19"/>
  <c r="G41" i="19"/>
  <c r="G292" i="19" s="1"/>
  <c r="F41" i="19"/>
  <c r="F292" i="19" s="1"/>
  <c r="E41" i="19"/>
  <c r="E125" i="19" s="1"/>
  <c r="D41" i="19"/>
  <c r="D292" i="19" s="1"/>
  <c r="K40" i="19"/>
  <c r="J40" i="19"/>
  <c r="I40" i="19"/>
  <c r="H40" i="19"/>
  <c r="G40" i="19"/>
  <c r="F40" i="19"/>
  <c r="E40" i="19"/>
  <c r="D40" i="19"/>
  <c r="D208" i="19" s="1"/>
  <c r="K39" i="19"/>
  <c r="K207" i="19" s="1"/>
  <c r="J39" i="19"/>
  <c r="J207" i="19" s="1"/>
  <c r="I39" i="19"/>
  <c r="I207" i="19" s="1"/>
  <c r="H39" i="19"/>
  <c r="G39" i="19"/>
  <c r="G290" i="19" s="1"/>
  <c r="F39" i="19"/>
  <c r="F290" i="19" s="1"/>
  <c r="E39" i="19"/>
  <c r="E123" i="19" s="1"/>
  <c r="D39" i="19"/>
  <c r="K38" i="19"/>
  <c r="J38" i="19"/>
  <c r="J289" i="19" s="1"/>
  <c r="I38" i="19"/>
  <c r="I289" i="19" s="1"/>
  <c r="H38" i="19"/>
  <c r="G38" i="19"/>
  <c r="F38" i="19"/>
  <c r="E38" i="19"/>
  <c r="D38" i="19"/>
  <c r="D206" i="19" s="1"/>
  <c r="K37" i="19"/>
  <c r="K205" i="19" s="1"/>
  <c r="J37" i="19"/>
  <c r="J205" i="19" s="1"/>
  <c r="I37" i="19"/>
  <c r="I205" i="19" s="1"/>
  <c r="H37" i="19"/>
  <c r="H288" i="19" s="1"/>
  <c r="G37" i="19"/>
  <c r="G288" i="19" s="1"/>
  <c r="F37" i="19"/>
  <c r="F205" i="19" s="1"/>
  <c r="E37" i="19"/>
  <c r="E121" i="19" s="1"/>
  <c r="D37" i="19"/>
  <c r="D121" i="19" s="1"/>
  <c r="K36" i="19"/>
  <c r="K287" i="19" s="1"/>
  <c r="J36" i="19"/>
  <c r="J287" i="19" s="1"/>
  <c r="I36" i="19"/>
  <c r="I287" i="19" s="1"/>
  <c r="H36" i="19"/>
  <c r="G36" i="19"/>
  <c r="F36" i="19"/>
  <c r="E36" i="19"/>
  <c r="D36" i="19"/>
  <c r="D204" i="19" s="1"/>
  <c r="K35" i="19"/>
  <c r="K203" i="19" s="1"/>
  <c r="J35" i="19"/>
  <c r="J203" i="19" s="1"/>
  <c r="I35" i="19"/>
  <c r="I203" i="19" s="1"/>
  <c r="H35" i="19"/>
  <c r="G35" i="19"/>
  <c r="F35" i="19"/>
  <c r="F119" i="19" s="1"/>
  <c r="E35" i="19"/>
  <c r="E119" i="19" s="1"/>
  <c r="D35" i="19"/>
  <c r="K34" i="19"/>
  <c r="K285" i="19" s="1"/>
  <c r="J34" i="19"/>
  <c r="J285" i="19" s="1"/>
  <c r="I34" i="19"/>
  <c r="I285" i="19" s="1"/>
  <c r="H34" i="19"/>
  <c r="G34" i="19"/>
  <c r="G285" i="19" s="1"/>
  <c r="F34" i="19"/>
  <c r="E34" i="19"/>
  <c r="D34" i="19"/>
  <c r="K33" i="19"/>
  <c r="K201" i="19" s="1"/>
  <c r="J33" i="19"/>
  <c r="J201" i="19" s="1"/>
  <c r="I33" i="19"/>
  <c r="I284" i="19" s="1"/>
  <c r="H33" i="19"/>
  <c r="H284" i="19" s="1"/>
  <c r="G33" i="19"/>
  <c r="G284" i="19" s="1"/>
  <c r="F33" i="19"/>
  <c r="F117" i="19" s="1"/>
  <c r="E33" i="19"/>
  <c r="E117" i="19" s="1"/>
  <c r="D33" i="19"/>
  <c r="D117" i="19" s="1"/>
  <c r="K32" i="19"/>
  <c r="J32" i="19"/>
  <c r="I32" i="19"/>
  <c r="I283" i="19" s="1"/>
  <c r="H32" i="19"/>
  <c r="G32" i="19"/>
  <c r="F32" i="19"/>
  <c r="E32" i="19"/>
  <c r="D32" i="19"/>
  <c r="K31" i="19"/>
  <c r="K199" i="19" s="1"/>
  <c r="J31" i="19"/>
  <c r="J199" i="19" s="1"/>
  <c r="I31" i="19"/>
  <c r="I282" i="19" s="1"/>
  <c r="H31" i="19"/>
  <c r="G31" i="19"/>
  <c r="G282" i="19" s="1"/>
  <c r="F31" i="19"/>
  <c r="F282" i="19" s="1"/>
  <c r="E31" i="19"/>
  <c r="E115" i="19" s="1"/>
  <c r="D31" i="19"/>
  <c r="D282" i="19" s="1"/>
  <c r="K30" i="19"/>
  <c r="J30" i="19"/>
  <c r="I30" i="19"/>
  <c r="H30" i="19"/>
  <c r="G30" i="19"/>
  <c r="F30" i="19"/>
  <c r="E30" i="19"/>
  <c r="D30" i="19"/>
  <c r="K29" i="19"/>
  <c r="K280" i="19" s="1"/>
  <c r="J29" i="19"/>
  <c r="J197" i="19" s="1"/>
  <c r="I29" i="19"/>
  <c r="I197" i="19" s="1"/>
  <c r="H29" i="19"/>
  <c r="G29" i="19"/>
  <c r="G280" i="19" s="1"/>
  <c r="F29" i="19"/>
  <c r="F280" i="19" s="1"/>
  <c r="E29" i="19"/>
  <c r="E113" i="19" s="1"/>
  <c r="D29" i="19"/>
  <c r="D113" i="19" s="1"/>
  <c r="K28" i="19"/>
  <c r="J28" i="19"/>
  <c r="J279" i="19" s="1"/>
  <c r="I28" i="19"/>
  <c r="I279" i="19" s="1"/>
  <c r="H28" i="19"/>
  <c r="G28" i="19"/>
  <c r="G279" i="19" s="1"/>
  <c r="F28" i="19"/>
  <c r="E28" i="19"/>
  <c r="D28" i="19"/>
  <c r="D196" i="19" s="1"/>
  <c r="K27" i="19"/>
  <c r="J27" i="19"/>
  <c r="J195" i="19" s="1"/>
  <c r="I27" i="19"/>
  <c r="I195" i="19" s="1"/>
  <c r="H27" i="19"/>
  <c r="G27" i="19"/>
  <c r="G278" i="19" s="1"/>
  <c r="F27" i="19"/>
  <c r="F278" i="19" s="1"/>
  <c r="E27" i="19"/>
  <c r="E111" i="19" s="1"/>
  <c r="D27" i="19"/>
  <c r="K26" i="19"/>
  <c r="J26" i="19"/>
  <c r="I26" i="19"/>
  <c r="H26" i="19"/>
  <c r="G26" i="19"/>
  <c r="F26" i="19"/>
  <c r="E26" i="19"/>
  <c r="D26" i="19"/>
  <c r="K25" i="19"/>
  <c r="K193" i="19" s="1"/>
  <c r="J25" i="19"/>
  <c r="J193" i="19" s="1"/>
  <c r="I25" i="19"/>
  <c r="H25" i="19"/>
  <c r="G25" i="19"/>
  <c r="G276" i="19" s="1"/>
  <c r="F25" i="19"/>
  <c r="F109" i="19" s="1"/>
  <c r="E25" i="19"/>
  <c r="E109" i="19" s="1"/>
  <c r="D25" i="19"/>
  <c r="D109" i="19" s="1"/>
  <c r="K24" i="19"/>
  <c r="K275" i="19" s="1"/>
  <c r="J24" i="19"/>
  <c r="J275" i="19" s="1"/>
  <c r="I24" i="19"/>
  <c r="I275" i="19" s="1"/>
  <c r="H24" i="19"/>
  <c r="H275" i="19" s="1"/>
  <c r="G24" i="19"/>
  <c r="F24" i="19"/>
  <c r="E24" i="19"/>
  <c r="D24" i="19"/>
  <c r="D192" i="19" s="1"/>
  <c r="K23" i="19"/>
  <c r="J23" i="19"/>
  <c r="J191" i="19" s="1"/>
  <c r="I23" i="19"/>
  <c r="I191" i="19" s="1"/>
  <c r="H23" i="19"/>
  <c r="G23" i="19"/>
  <c r="F23" i="19"/>
  <c r="F274" i="19" s="1"/>
  <c r="E23" i="19"/>
  <c r="E107" i="19" s="1"/>
  <c r="D23" i="19"/>
  <c r="D274" i="19" s="1"/>
  <c r="K22" i="19"/>
  <c r="J22" i="19"/>
  <c r="J273" i="19" s="1"/>
  <c r="I22" i="19"/>
  <c r="I273" i="19" s="1"/>
  <c r="H22" i="19"/>
  <c r="H273" i="19" s="1"/>
  <c r="G22" i="19"/>
  <c r="F22" i="19"/>
  <c r="E22" i="19"/>
  <c r="D22" i="19"/>
  <c r="K21" i="19"/>
  <c r="K272" i="19" s="1"/>
  <c r="J21" i="19"/>
  <c r="J189" i="19" s="1"/>
  <c r="I21" i="19"/>
  <c r="I189" i="19" s="1"/>
  <c r="H21" i="19"/>
  <c r="G21" i="19"/>
  <c r="F21" i="19"/>
  <c r="F105" i="19" s="1"/>
  <c r="E21" i="19"/>
  <c r="E105" i="19" s="1"/>
  <c r="D21" i="19"/>
  <c r="D105" i="19" s="1"/>
  <c r="K20" i="19"/>
  <c r="J20" i="19"/>
  <c r="J271" i="19" s="1"/>
  <c r="I20" i="19"/>
  <c r="I271" i="19" s="1"/>
  <c r="H20" i="19"/>
  <c r="H271" i="19" s="1"/>
  <c r="G20" i="19"/>
  <c r="F20" i="19"/>
  <c r="E20" i="19"/>
  <c r="D20" i="19"/>
  <c r="D188" i="19" s="1"/>
  <c r="K19" i="19"/>
  <c r="K270" i="19" s="1"/>
  <c r="J19" i="19"/>
  <c r="J187" i="19" s="1"/>
  <c r="I19" i="19"/>
  <c r="I187" i="19" s="1"/>
  <c r="H19" i="19"/>
  <c r="G19" i="19"/>
  <c r="F19" i="19"/>
  <c r="F103" i="19" s="1"/>
  <c r="E19" i="19"/>
  <c r="E103" i="19" s="1"/>
  <c r="D19" i="19"/>
  <c r="K18" i="19"/>
  <c r="J18" i="19"/>
  <c r="J269" i="19" s="1"/>
  <c r="I18" i="19"/>
  <c r="I269" i="19" s="1"/>
  <c r="H18" i="19"/>
  <c r="H269" i="19" s="1"/>
  <c r="G18" i="19"/>
  <c r="F18" i="19"/>
  <c r="E18" i="19"/>
  <c r="D18" i="19"/>
  <c r="K17" i="19"/>
  <c r="K185" i="19" s="1"/>
  <c r="J17" i="19"/>
  <c r="J185" i="19" s="1"/>
  <c r="I17" i="19"/>
  <c r="I185" i="19" s="1"/>
  <c r="H17" i="19"/>
  <c r="G17" i="19"/>
  <c r="F17" i="19"/>
  <c r="F185" i="19" s="1"/>
  <c r="E17" i="19"/>
  <c r="E101" i="19" s="1"/>
  <c r="D17" i="19"/>
  <c r="D101" i="19" s="1"/>
  <c r="K16" i="19"/>
  <c r="J16" i="19"/>
  <c r="J267" i="19" s="1"/>
  <c r="I16" i="19"/>
  <c r="I267" i="19" s="1"/>
  <c r="H16" i="19"/>
  <c r="H267" i="19" s="1"/>
  <c r="G16" i="19"/>
  <c r="F16" i="19"/>
  <c r="E16" i="19"/>
  <c r="D16" i="19"/>
  <c r="D267" i="19" s="1"/>
  <c r="K15" i="19"/>
  <c r="K266" i="19" s="1"/>
  <c r="J15" i="19"/>
  <c r="J183" i="19" s="1"/>
  <c r="I15" i="19"/>
  <c r="I183" i="19" s="1"/>
  <c r="H15" i="19"/>
  <c r="G15" i="19"/>
  <c r="G45" i="19" s="1"/>
  <c r="F15" i="19"/>
  <c r="F183" i="19" s="1"/>
  <c r="E15" i="19"/>
  <c r="E99" i="19" s="1"/>
  <c r="D15" i="19"/>
  <c r="K14" i="19"/>
  <c r="K45" i="19" s="1"/>
  <c r="J14" i="19"/>
  <c r="J265" i="19" s="1"/>
  <c r="I14" i="19"/>
  <c r="I265" i="19" s="1"/>
  <c r="H14" i="19"/>
  <c r="H265" i="19" s="1"/>
  <c r="G14" i="19"/>
  <c r="F14" i="19"/>
  <c r="F45" i="19" s="1"/>
  <c r="E14" i="19"/>
  <c r="D14" i="19"/>
  <c r="D182" i="19" s="1"/>
  <c r="Q275" i="18"/>
  <c r="R274" i="18"/>
  <c r="G274" i="18"/>
  <c r="R272" i="18"/>
  <c r="O272" i="18"/>
  <c r="M272" i="18"/>
  <c r="J272" i="18"/>
  <c r="K271" i="18"/>
  <c r="J271" i="18"/>
  <c r="I270" i="18"/>
  <c r="V268" i="18"/>
  <c r="K268" i="18"/>
  <c r="F268" i="18"/>
  <c r="D268" i="18"/>
  <c r="G267" i="18"/>
  <c r="O265" i="18"/>
  <c r="P264" i="18"/>
  <c r="O264" i="18"/>
  <c r="H264" i="18"/>
  <c r="F264" i="18"/>
  <c r="N263" i="18"/>
  <c r="H262" i="18"/>
  <c r="K261" i="18"/>
  <c r="I261" i="18"/>
  <c r="K260" i="18"/>
  <c r="O258" i="18"/>
  <c r="Q257" i="18"/>
  <c r="P256" i="18"/>
  <c r="O253" i="18"/>
  <c r="J253" i="18"/>
  <c r="F249" i="18"/>
  <c r="D249" i="18"/>
  <c r="V236" i="18"/>
  <c r="U236" i="18"/>
  <c r="U275" i="18" s="1"/>
  <c r="T236" i="18"/>
  <c r="S236" i="18"/>
  <c r="R236" i="18"/>
  <c r="Q236" i="18"/>
  <c r="P236" i="18"/>
  <c r="O236" i="18"/>
  <c r="N236" i="18"/>
  <c r="N275" i="18" s="1"/>
  <c r="M236" i="18"/>
  <c r="L236" i="18"/>
  <c r="K236" i="18"/>
  <c r="J236" i="18"/>
  <c r="J275" i="18" s="1"/>
  <c r="I236" i="18"/>
  <c r="H236" i="18"/>
  <c r="G236" i="18"/>
  <c r="F236" i="18"/>
  <c r="E236" i="18"/>
  <c r="E275" i="18" s="1"/>
  <c r="D236" i="18"/>
  <c r="V235" i="18"/>
  <c r="U235" i="18"/>
  <c r="T235" i="18"/>
  <c r="S235" i="18"/>
  <c r="R235" i="18"/>
  <c r="Q235" i="18"/>
  <c r="Q274" i="18" s="1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D274" i="18" s="1"/>
  <c r="V234" i="18"/>
  <c r="U234" i="18"/>
  <c r="T234" i="18"/>
  <c r="T273" i="18" s="1"/>
  <c r="S234" i="18"/>
  <c r="R234" i="18"/>
  <c r="Q234" i="18"/>
  <c r="P234" i="18"/>
  <c r="P273" i="18" s="1"/>
  <c r="O234" i="18"/>
  <c r="N234" i="18"/>
  <c r="M234" i="18"/>
  <c r="L234" i="18"/>
  <c r="K234" i="18"/>
  <c r="K273" i="18" s="1"/>
  <c r="J234" i="18"/>
  <c r="I234" i="18"/>
  <c r="H234" i="18"/>
  <c r="H273" i="18" s="1"/>
  <c r="G234" i="18"/>
  <c r="G273" i="18" s="1"/>
  <c r="F234" i="18"/>
  <c r="E234" i="18"/>
  <c r="E273" i="18" s="1"/>
  <c r="D234" i="18"/>
  <c r="D273" i="18" s="1"/>
  <c r="V233" i="18"/>
  <c r="U233" i="18"/>
  <c r="T233" i="18"/>
  <c r="T272" i="18" s="1"/>
  <c r="S233" i="18"/>
  <c r="S272" i="18" s="1"/>
  <c r="R233" i="18"/>
  <c r="Q233" i="18"/>
  <c r="Q272" i="18" s="1"/>
  <c r="P233" i="18"/>
  <c r="P272" i="18" s="1"/>
  <c r="O233" i="18"/>
  <c r="N233" i="18"/>
  <c r="N272" i="18" s="1"/>
  <c r="M233" i="18"/>
  <c r="L233" i="18"/>
  <c r="L272" i="18" s="1"/>
  <c r="K233" i="18"/>
  <c r="K272" i="18" s="1"/>
  <c r="J233" i="18"/>
  <c r="I233" i="18"/>
  <c r="I272" i="18" s="1"/>
  <c r="H233" i="18"/>
  <c r="H272" i="18" s="1"/>
  <c r="G233" i="18"/>
  <c r="G272" i="18" s="1"/>
  <c r="F233" i="18"/>
  <c r="F272" i="18" s="1"/>
  <c r="E233" i="18"/>
  <c r="E272" i="18" s="1"/>
  <c r="D233" i="18"/>
  <c r="D272" i="18" s="1"/>
  <c r="V232" i="18"/>
  <c r="V271" i="18" s="1"/>
  <c r="U232" i="18"/>
  <c r="T232" i="18"/>
  <c r="S232" i="18"/>
  <c r="S271" i="18" s="1"/>
  <c r="R232" i="18"/>
  <c r="Q232" i="18"/>
  <c r="Q271" i="18" s="1"/>
  <c r="P232" i="18"/>
  <c r="O232" i="18"/>
  <c r="N232" i="18"/>
  <c r="M232" i="18"/>
  <c r="M271" i="18" s="1"/>
  <c r="L232" i="18"/>
  <c r="K232" i="18"/>
  <c r="J232" i="18"/>
  <c r="I232" i="18"/>
  <c r="H232" i="18"/>
  <c r="G232" i="18"/>
  <c r="F232" i="18"/>
  <c r="F271" i="18" s="1"/>
  <c r="E232" i="18"/>
  <c r="D232" i="18"/>
  <c r="V231" i="18"/>
  <c r="U231" i="18"/>
  <c r="T231" i="18"/>
  <c r="S231" i="18"/>
  <c r="S270" i="18" s="1"/>
  <c r="R231" i="18"/>
  <c r="Q231" i="18"/>
  <c r="P231" i="18"/>
  <c r="P270" i="18" s="1"/>
  <c r="O231" i="18"/>
  <c r="N231" i="18"/>
  <c r="M231" i="18"/>
  <c r="M270" i="18" s="1"/>
  <c r="L231" i="18"/>
  <c r="K231" i="18"/>
  <c r="J231" i="18"/>
  <c r="I231" i="18"/>
  <c r="H231" i="18"/>
  <c r="G231" i="18"/>
  <c r="F231" i="18"/>
  <c r="E231" i="18"/>
  <c r="D231" i="18"/>
  <c r="V230" i="18"/>
  <c r="U230" i="18"/>
  <c r="T230" i="18"/>
  <c r="S230" i="18"/>
  <c r="S269" i="18" s="1"/>
  <c r="R230" i="18"/>
  <c r="Q230" i="18"/>
  <c r="P230" i="18"/>
  <c r="P269" i="18" s="1"/>
  <c r="O230" i="18"/>
  <c r="N230" i="18"/>
  <c r="M230" i="18"/>
  <c r="L230" i="18"/>
  <c r="L269" i="18" s="1"/>
  <c r="K230" i="18"/>
  <c r="J230" i="18"/>
  <c r="J269" i="18" s="1"/>
  <c r="I230" i="18"/>
  <c r="H230" i="18"/>
  <c r="G230" i="18"/>
  <c r="F230" i="18"/>
  <c r="E230" i="18"/>
  <c r="D230" i="18"/>
  <c r="V229" i="18"/>
  <c r="U229" i="18"/>
  <c r="T229" i="18"/>
  <c r="S229" i="18"/>
  <c r="S268" i="18" s="1"/>
  <c r="R229" i="18"/>
  <c r="Q229" i="18"/>
  <c r="P229" i="18"/>
  <c r="O229" i="18"/>
  <c r="O268" i="18" s="1"/>
  <c r="N229" i="18"/>
  <c r="M229" i="18"/>
  <c r="L229" i="18"/>
  <c r="K229" i="18"/>
  <c r="J229" i="18"/>
  <c r="I229" i="18"/>
  <c r="H229" i="18"/>
  <c r="G229" i="18"/>
  <c r="F229" i="18"/>
  <c r="E229" i="18"/>
  <c r="D229" i="18"/>
  <c r="V228" i="18"/>
  <c r="V267" i="18" s="1"/>
  <c r="U228" i="18"/>
  <c r="T228" i="18"/>
  <c r="S228" i="18"/>
  <c r="R228" i="18"/>
  <c r="Q228" i="18"/>
  <c r="P228" i="18"/>
  <c r="O228" i="18"/>
  <c r="N228" i="18"/>
  <c r="M228" i="18"/>
  <c r="L228" i="18"/>
  <c r="K228" i="18"/>
  <c r="J228" i="18"/>
  <c r="I228" i="18"/>
  <c r="I267" i="18" s="1"/>
  <c r="H228" i="18"/>
  <c r="G228" i="18"/>
  <c r="F228" i="18"/>
  <c r="F267" i="18" s="1"/>
  <c r="E228" i="18"/>
  <c r="D228" i="18"/>
  <c r="V227" i="18"/>
  <c r="U227" i="18"/>
  <c r="U266" i="18" s="1"/>
  <c r="T227" i="18"/>
  <c r="S227" i="18"/>
  <c r="R227" i="18"/>
  <c r="Q227" i="18"/>
  <c r="P227" i="18"/>
  <c r="O227" i="18"/>
  <c r="N227" i="18"/>
  <c r="M227" i="18"/>
  <c r="M266" i="18" s="1"/>
  <c r="L227" i="18"/>
  <c r="L266" i="18" s="1"/>
  <c r="K227" i="18"/>
  <c r="J227" i="18"/>
  <c r="J266" i="18" s="1"/>
  <c r="I227" i="18"/>
  <c r="I266" i="18" s="1"/>
  <c r="H227" i="18"/>
  <c r="G227" i="18"/>
  <c r="F227" i="18"/>
  <c r="E227" i="18"/>
  <c r="E266" i="18" s="1"/>
  <c r="D227" i="18"/>
  <c r="V226" i="18"/>
  <c r="U226" i="18"/>
  <c r="T226" i="18"/>
  <c r="S226" i="18"/>
  <c r="R226" i="18"/>
  <c r="Q226" i="18"/>
  <c r="P226" i="18"/>
  <c r="O226" i="18"/>
  <c r="N226" i="18"/>
  <c r="M226" i="18"/>
  <c r="M265" i="18" s="1"/>
  <c r="L226" i="18"/>
  <c r="L265" i="18" s="1"/>
  <c r="K226" i="18"/>
  <c r="J226" i="18"/>
  <c r="I226" i="18"/>
  <c r="H226" i="18"/>
  <c r="H265" i="18" s="1"/>
  <c r="G226" i="18"/>
  <c r="F226" i="18"/>
  <c r="E226" i="18"/>
  <c r="E265" i="18" s="1"/>
  <c r="D226" i="18"/>
  <c r="V225" i="18"/>
  <c r="U225" i="18"/>
  <c r="T225" i="18"/>
  <c r="S225" i="18"/>
  <c r="R225" i="18"/>
  <c r="R264" i="18" s="1"/>
  <c r="Q225" i="18"/>
  <c r="P225" i="18"/>
  <c r="O225" i="18"/>
  <c r="N225" i="18"/>
  <c r="M225" i="18"/>
  <c r="L225" i="18"/>
  <c r="K225" i="18"/>
  <c r="K264" i="18" s="1"/>
  <c r="J225" i="18"/>
  <c r="I225" i="18"/>
  <c r="H225" i="18"/>
  <c r="G225" i="18"/>
  <c r="F225" i="18"/>
  <c r="E225" i="18"/>
  <c r="E264" i="18" s="1"/>
  <c r="D225" i="18"/>
  <c r="V224" i="18"/>
  <c r="U224" i="18"/>
  <c r="U263" i="18" s="1"/>
  <c r="T224" i="18"/>
  <c r="S224" i="18"/>
  <c r="R224" i="18"/>
  <c r="R263" i="18" s="1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E263" i="18" s="1"/>
  <c r="D224" i="18"/>
  <c r="V223" i="18"/>
  <c r="U223" i="18"/>
  <c r="U262" i="18" s="1"/>
  <c r="T223" i="18"/>
  <c r="S223" i="18"/>
  <c r="R223" i="18"/>
  <c r="Q223" i="18"/>
  <c r="P223" i="18"/>
  <c r="O223" i="18"/>
  <c r="O262" i="18" s="1"/>
  <c r="N223" i="18"/>
  <c r="M223" i="18"/>
  <c r="L223" i="18"/>
  <c r="K223" i="18"/>
  <c r="J223" i="18"/>
  <c r="I223" i="18"/>
  <c r="H223" i="18"/>
  <c r="G223" i="18"/>
  <c r="F223" i="18"/>
  <c r="E223" i="18"/>
  <c r="E262" i="18" s="1"/>
  <c r="D223" i="18"/>
  <c r="V222" i="18"/>
  <c r="U222" i="18"/>
  <c r="T222" i="18"/>
  <c r="T261" i="18" s="1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H261" i="18" s="1"/>
  <c r="G222" i="18"/>
  <c r="F222" i="18"/>
  <c r="E222" i="18"/>
  <c r="D222" i="18"/>
  <c r="D261" i="18" s="1"/>
  <c r="V221" i="18"/>
  <c r="U221" i="18"/>
  <c r="T221" i="18"/>
  <c r="S221" i="18"/>
  <c r="R221" i="18"/>
  <c r="Q221" i="18"/>
  <c r="Q260" i="18" s="1"/>
  <c r="P221" i="18"/>
  <c r="O221" i="18"/>
  <c r="N221" i="18"/>
  <c r="N260" i="18" s="1"/>
  <c r="M221" i="18"/>
  <c r="M260" i="18" s="1"/>
  <c r="L221" i="18"/>
  <c r="K221" i="18"/>
  <c r="J221" i="18"/>
  <c r="I221" i="18"/>
  <c r="H221" i="18"/>
  <c r="G221" i="18"/>
  <c r="F221" i="18"/>
  <c r="E221" i="18"/>
  <c r="D221" i="18"/>
  <c r="R220" i="18"/>
  <c r="V219" i="18"/>
  <c r="U219" i="18"/>
  <c r="T219" i="18"/>
  <c r="S219" i="18"/>
  <c r="R219" i="18"/>
  <c r="Q219" i="18"/>
  <c r="Q258" i="18" s="1"/>
  <c r="P219" i="18"/>
  <c r="O219" i="18"/>
  <c r="N219" i="18"/>
  <c r="N258" i="18" s="1"/>
  <c r="M219" i="18"/>
  <c r="L219" i="18"/>
  <c r="K219" i="18"/>
  <c r="J219" i="18"/>
  <c r="J258" i="18" s="1"/>
  <c r="I219" i="18"/>
  <c r="H219" i="18"/>
  <c r="G219" i="18"/>
  <c r="F219" i="18"/>
  <c r="E219" i="18"/>
  <c r="D219" i="18"/>
  <c r="V218" i="18"/>
  <c r="U218" i="18"/>
  <c r="T218" i="18"/>
  <c r="T257" i="18" s="1"/>
  <c r="S218" i="18"/>
  <c r="R218" i="18"/>
  <c r="R257" i="18" s="1"/>
  <c r="Q218" i="18"/>
  <c r="P218" i="18"/>
  <c r="O218" i="18"/>
  <c r="N218" i="18"/>
  <c r="M218" i="18"/>
  <c r="M257" i="18" s="1"/>
  <c r="L218" i="18"/>
  <c r="K218" i="18"/>
  <c r="J218" i="18"/>
  <c r="I218" i="18"/>
  <c r="H218" i="18"/>
  <c r="G218" i="18"/>
  <c r="F218" i="18"/>
  <c r="E218" i="18"/>
  <c r="D218" i="18"/>
  <c r="D257" i="18" s="1"/>
  <c r="V217" i="18"/>
  <c r="U217" i="18"/>
  <c r="U256" i="18" s="1"/>
  <c r="T217" i="18"/>
  <c r="T256" i="18" s="1"/>
  <c r="S217" i="18"/>
  <c r="R217" i="18"/>
  <c r="Q217" i="18"/>
  <c r="P217" i="18"/>
  <c r="O217" i="18"/>
  <c r="N217" i="18"/>
  <c r="M217" i="18"/>
  <c r="L217" i="18"/>
  <c r="K217" i="18"/>
  <c r="J217" i="18"/>
  <c r="J256" i="18" s="1"/>
  <c r="I217" i="18"/>
  <c r="H217" i="18"/>
  <c r="G217" i="18"/>
  <c r="G256" i="18" s="1"/>
  <c r="F217" i="18"/>
  <c r="E217" i="18"/>
  <c r="E256" i="18" s="1"/>
  <c r="D217" i="18"/>
  <c r="D256" i="18" s="1"/>
  <c r="V216" i="18"/>
  <c r="U216" i="18"/>
  <c r="T216" i="18"/>
  <c r="S216" i="18"/>
  <c r="S255" i="18" s="1"/>
  <c r="R216" i="18"/>
  <c r="R255" i="18" s="1"/>
  <c r="Q216" i="18"/>
  <c r="P216" i="18"/>
  <c r="O216" i="18"/>
  <c r="N216" i="18"/>
  <c r="M216" i="18"/>
  <c r="M255" i="18" s="1"/>
  <c r="L216" i="18"/>
  <c r="K216" i="18"/>
  <c r="J216" i="18"/>
  <c r="J255" i="18" s="1"/>
  <c r="I216" i="18"/>
  <c r="H216" i="18"/>
  <c r="H255" i="18" s="1"/>
  <c r="G216" i="18"/>
  <c r="G255" i="18" s="1"/>
  <c r="F216" i="18"/>
  <c r="E216" i="18"/>
  <c r="D216" i="18"/>
  <c r="V215" i="18"/>
  <c r="V254" i="18" s="1"/>
  <c r="U215" i="18"/>
  <c r="U254" i="18" s="1"/>
  <c r="T215" i="18"/>
  <c r="S215" i="18"/>
  <c r="R215" i="18"/>
  <c r="Q215" i="18"/>
  <c r="P215" i="18"/>
  <c r="P254" i="18" s="1"/>
  <c r="O215" i="18"/>
  <c r="N215" i="18"/>
  <c r="M215" i="18"/>
  <c r="M254" i="18" s="1"/>
  <c r="L215" i="18"/>
  <c r="K215" i="18"/>
  <c r="K254" i="18" s="1"/>
  <c r="J215" i="18"/>
  <c r="J254" i="18" s="1"/>
  <c r="I215" i="18"/>
  <c r="H215" i="18"/>
  <c r="G215" i="18"/>
  <c r="F215" i="18"/>
  <c r="F254" i="18" s="1"/>
  <c r="E215" i="18"/>
  <c r="E254" i="18" s="1"/>
  <c r="D215" i="18"/>
  <c r="V214" i="18"/>
  <c r="U214" i="18"/>
  <c r="T214" i="18"/>
  <c r="S214" i="18"/>
  <c r="S253" i="18" s="1"/>
  <c r="R214" i="18"/>
  <c r="Q214" i="18"/>
  <c r="P214" i="18"/>
  <c r="P253" i="18" s="1"/>
  <c r="O214" i="18"/>
  <c r="N214" i="18"/>
  <c r="N253" i="18" s="1"/>
  <c r="M214" i="18"/>
  <c r="M253" i="18" s="1"/>
  <c r="L214" i="18"/>
  <c r="K214" i="18"/>
  <c r="J214" i="18"/>
  <c r="I214" i="18"/>
  <c r="I253" i="18" s="1"/>
  <c r="H214" i="18"/>
  <c r="H253" i="18" s="1"/>
  <c r="G214" i="18"/>
  <c r="F214" i="18"/>
  <c r="E214" i="18"/>
  <c r="D214" i="18"/>
  <c r="V213" i="18"/>
  <c r="V252" i="18" s="1"/>
  <c r="U213" i="18"/>
  <c r="U237" i="18" s="1"/>
  <c r="T213" i="18"/>
  <c r="S213" i="18"/>
  <c r="S252" i="18" s="1"/>
  <c r="R213" i="18"/>
  <c r="Q213" i="18"/>
  <c r="Q252" i="18" s="1"/>
  <c r="P213" i="18"/>
  <c r="P252" i="18" s="1"/>
  <c r="O213" i="18"/>
  <c r="N213" i="18"/>
  <c r="M213" i="18"/>
  <c r="L213" i="18"/>
  <c r="L252" i="18" s="1"/>
  <c r="K213" i="18"/>
  <c r="K252" i="18" s="1"/>
  <c r="J213" i="18"/>
  <c r="I213" i="18"/>
  <c r="H213" i="18"/>
  <c r="G213" i="18"/>
  <c r="F213" i="18"/>
  <c r="F252" i="18" s="1"/>
  <c r="E213" i="18"/>
  <c r="E237" i="18" s="1"/>
  <c r="D213" i="18"/>
  <c r="V212" i="18"/>
  <c r="V251" i="18" s="1"/>
  <c r="U212" i="18"/>
  <c r="T212" i="18"/>
  <c r="T251" i="18" s="1"/>
  <c r="S212" i="18"/>
  <c r="S251" i="18" s="1"/>
  <c r="R212" i="18"/>
  <c r="Q212" i="18"/>
  <c r="P212" i="18"/>
  <c r="O212" i="18"/>
  <c r="O251" i="18" s="1"/>
  <c r="N212" i="18"/>
  <c r="N251" i="18" s="1"/>
  <c r="M212" i="18"/>
  <c r="L212" i="18"/>
  <c r="K212" i="18"/>
  <c r="J212" i="18"/>
  <c r="I212" i="18"/>
  <c r="I251" i="18" s="1"/>
  <c r="H212" i="18"/>
  <c r="G212" i="18"/>
  <c r="F212" i="18"/>
  <c r="F251" i="18" s="1"/>
  <c r="E212" i="18"/>
  <c r="D212" i="18"/>
  <c r="D251" i="18" s="1"/>
  <c r="V211" i="18"/>
  <c r="V250" i="18" s="1"/>
  <c r="U211" i="18"/>
  <c r="T211" i="18"/>
  <c r="S211" i="18"/>
  <c r="R211" i="18"/>
  <c r="R250" i="18" s="1"/>
  <c r="Q211" i="18"/>
  <c r="P211" i="18"/>
  <c r="O211" i="18"/>
  <c r="N211" i="18"/>
  <c r="M211" i="18"/>
  <c r="L211" i="18"/>
  <c r="L250" i="18" s="1"/>
  <c r="K211" i="18"/>
  <c r="J211" i="18"/>
  <c r="I211" i="18"/>
  <c r="I250" i="18" s="1"/>
  <c r="H211" i="18"/>
  <c r="G211" i="18"/>
  <c r="G250" i="18" s="1"/>
  <c r="F211" i="18"/>
  <c r="F250" i="18" s="1"/>
  <c r="E211" i="18"/>
  <c r="D211" i="18"/>
  <c r="V210" i="18"/>
  <c r="U210" i="18"/>
  <c r="U249" i="18" s="1"/>
  <c r="T210" i="18"/>
  <c r="S210" i="18"/>
  <c r="R210" i="18"/>
  <c r="Q210" i="18"/>
  <c r="P210" i="18"/>
  <c r="O210" i="18"/>
  <c r="O249" i="18" s="1"/>
  <c r="N210" i="18"/>
  <c r="M210" i="18"/>
  <c r="L210" i="18"/>
  <c r="L249" i="18" s="1"/>
  <c r="K210" i="18"/>
  <c r="J210" i="18"/>
  <c r="J249" i="18" s="1"/>
  <c r="I210" i="18"/>
  <c r="I249" i="18" s="1"/>
  <c r="H210" i="18"/>
  <c r="G210" i="18"/>
  <c r="F210" i="18"/>
  <c r="E210" i="18"/>
  <c r="E249" i="18" s="1"/>
  <c r="D210" i="18"/>
  <c r="V209" i="18"/>
  <c r="U209" i="18"/>
  <c r="T209" i="18"/>
  <c r="S209" i="18"/>
  <c r="R209" i="18"/>
  <c r="R248" i="18" s="1"/>
  <c r="Q209" i="18"/>
  <c r="P209" i="18"/>
  <c r="O209" i="18"/>
  <c r="O248" i="18" s="1"/>
  <c r="N209" i="18"/>
  <c r="M209" i="18"/>
  <c r="M248" i="18" s="1"/>
  <c r="L209" i="18"/>
  <c r="L248" i="18" s="1"/>
  <c r="K209" i="18"/>
  <c r="J209" i="18"/>
  <c r="I209" i="18"/>
  <c r="H209" i="18"/>
  <c r="G209" i="18"/>
  <c r="G248" i="18" s="1"/>
  <c r="F209" i="18"/>
  <c r="E209" i="18"/>
  <c r="D209" i="18"/>
  <c r="V208" i="18"/>
  <c r="U208" i="18"/>
  <c r="U247" i="18" s="1"/>
  <c r="T208" i="18"/>
  <c r="T237" i="18" s="1"/>
  <c r="S208" i="18"/>
  <c r="R208" i="18"/>
  <c r="Q208" i="18"/>
  <c r="P208" i="18"/>
  <c r="P247" i="18" s="1"/>
  <c r="O208" i="18"/>
  <c r="O247" i="18" s="1"/>
  <c r="N208" i="18"/>
  <c r="M208" i="18"/>
  <c r="L208" i="18"/>
  <c r="K208" i="18"/>
  <c r="J208" i="18"/>
  <c r="I208" i="18"/>
  <c r="H208" i="18"/>
  <c r="G208" i="18"/>
  <c r="F208" i="18"/>
  <c r="E208" i="18"/>
  <c r="E247" i="18" s="1"/>
  <c r="D208" i="18"/>
  <c r="D237" i="18" s="1"/>
  <c r="O198" i="18"/>
  <c r="R197" i="18"/>
  <c r="M197" i="18"/>
  <c r="V196" i="18"/>
  <c r="U196" i="18"/>
  <c r="P196" i="18"/>
  <c r="E196" i="18"/>
  <c r="Q195" i="18"/>
  <c r="O195" i="18"/>
  <c r="N195" i="18"/>
  <c r="J195" i="18"/>
  <c r="I195" i="18"/>
  <c r="H195" i="18"/>
  <c r="V194" i="18"/>
  <c r="K194" i="18"/>
  <c r="F194" i="18"/>
  <c r="N193" i="18"/>
  <c r="Q192" i="18"/>
  <c r="T191" i="18"/>
  <c r="O191" i="18"/>
  <c r="D191" i="18"/>
  <c r="R190" i="18"/>
  <c r="G190" i="18"/>
  <c r="J189" i="18"/>
  <c r="M188" i="18"/>
  <c r="H188" i="18"/>
  <c r="P187" i="18"/>
  <c r="K187" i="18"/>
  <c r="S186" i="18"/>
  <c r="V185" i="18"/>
  <c r="F185" i="18"/>
  <c r="T184" i="18"/>
  <c r="I184" i="18"/>
  <c r="D184" i="18"/>
  <c r="L183" i="18"/>
  <c r="V182" i="18"/>
  <c r="U182" i="18"/>
  <c r="T182" i="18"/>
  <c r="S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N180" i="18"/>
  <c r="G177" i="18"/>
  <c r="S173" i="18"/>
  <c r="K173" i="18"/>
  <c r="V159" i="18"/>
  <c r="U159" i="18"/>
  <c r="T159" i="18"/>
  <c r="S159" i="18"/>
  <c r="R159" i="18"/>
  <c r="Q159" i="18"/>
  <c r="P159" i="18"/>
  <c r="O159" i="18"/>
  <c r="N159" i="18"/>
  <c r="N198" i="18" s="1"/>
  <c r="M159" i="18"/>
  <c r="L159" i="18"/>
  <c r="L198" i="18" s="1"/>
  <c r="K159" i="18"/>
  <c r="J159" i="18"/>
  <c r="J198" i="18" s="1"/>
  <c r="I159" i="18"/>
  <c r="I198" i="18" s="1"/>
  <c r="H159" i="18"/>
  <c r="G159" i="18"/>
  <c r="F159" i="18"/>
  <c r="E159" i="18"/>
  <c r="D159" i="18"/>
  <c r="V158" i="18"/>
  <c r="U158" i="18"/>
  <c r="T158" i="18"/>
  <c r="S158" i="18"/>
  <c r="R158" i="18"/>
  <c r="Q158" i="18"/>
  <c r="Q197" i="18" s="1"/>
  <c r="P158" i="18"/>
  <c r="O158" i="18"/>
  <c r="O197" i="18" s="1"/>
  <c r="N158" i="18"/>
  <c r="M158" i="18"/>
  <c r="L158" i="18"/>
  <c r="L197" i="18" s="1"/>
  <c r="K158" i="18"/>
  <c r="J158" i="18"/>
  <c r="I158" i="18"/>
  <c r="H158" i="18"/>
  <c r="G158" i="18"/>
  <c r="F158" i="18"/>
  <c r="E158" i="18"/>
  <c r="D158" i="18"/>
  <c r="V157" i="18"/>
  <c r="U157" i="18"/>
  <c r="T157" i="18"/>
  <c r="T196" i="18" s="1"/>
  <c r="S157" i="18"/>
  <c r="R157" i="18"/>
  <c r="R196" i="18" s="1"/>
  <c r="Q157" i="18"/>
  <c r="P157" i="18"/>
  <c r="O157" i="18"/>
  <c r="O196" i="18" s="1"/>
  <c r="N157" i="18"/>
  <c r="M157" i="18"/>
  <c r="L157" i="18"/>
  <c r="K157" i="18"/>
  <c r="J157" i="18"/>
  <c r="I157" i="18"/>
  <c r="H157" i="18"/>
  <c r="G157" i="18"/>
  <c r="F157" i="18"/>
  <c r="E157" i="18"/>
  <c r="D157" i="18"/>
  <c r="D196" i="18" s="1"/>
  <c r="V156" i="18"/>
  <c r="U156" i="18"/>
  <c r="U195" i="18" s="1"/>
  <c r="T156" i="18"/>
  <c r="T195" i="18" s="1"/>
  <c r="S156" i="18"/>
  <c r="S195" i="18" s="1"/>
  <c r="R156" i="18"/>
  <c r="R195" i="18" s="1"/>
  <c r="Q156" i="18"/>
  <c r="P156" i="18"/>
  <c r="P195" i="18" s="1"/>
  <c r="O156" i="18"/>
  <c r="N156" i="18"/>
  <c r="M156" i="18"/>
  <c r="M195" i="18" s="1"/>
  <c r="L156" i="18"/>
  <c r="L195" i="18" s="1"/>
  <c r="K156" i="18"/>
  <c r="K195" i="18" s="1"/>
  <c r="J156" i="18"/>
  <c r="I156" i="18"/>
  <c r="H156" i="18"/>
  <c r="G156" i="18"/>
  <c r="G195" i="18" s="1"/>
  <c r="F156" i="18"/>
  <c r="F195" i="18" s="1"/>
  <c r="E156" i="18"/>
  <c r="E195" i="18" s="1"/>
  <c r="D156" i="18"/>
  <c r="D195" i="18" s="1"/>
  <c r="V155" i="18"/>
  <c r="U155" i="18"/>
  <c r="U194" i="18" s="1"/>
  <c r="T155" i="18"/>
  <c r="S155" i="18"/>
  <c r="R155" i="18"/>
  <c r="Q155" i="18"/>
  <c r="P155" i="18"/>
  <c r="O155" i="18"/>
  <c r="N155" i="18"/>
  <c r="M155" i="18"/>
  <c r="L155" i="18"/>
  <c r="K155" i="18"/>
  <c r="J155" i="18"/>
  <c r="J194" i="18" s="1"/>
  <c r="I155" i="18"/>
  <c r="H155" i="18"/>
  <c r="H194" i="18" s="1"/>
  <c r="G155" i="18"/>
  <c r="F155" i="18"/>
  <c r="E155" i="18"/>
  <c r="E194" i="18" s="1"/>
  <c r="D155" i="18"/>
  <c r="V154" i="18"/>
  <c r="U154" i="18"/>
  <c r="T154" i="18"/>
  <c r="S154" i="18"/>
  <c r="R154" i="18"/>
  <c r="Q154" i="18"/>
  <c r="P154" i="18"/>
  <c r="O154" i="18"/>
  <c r="N154" i="18"/>
  <c r="M154" i="18"/>
  <c r="M193" i="18" s="1"/>
  <c r="L154" i="18"/>
  <c r="K154" i="18"/>
  <c r="K193" i="18" s="1"/>
  <c r="J154" i="18"/>
  <c r="I154" i="18"/>
  <c r="I193" i="18" s="1"/>
  <c r="H154" i="18"/>
  <c r="H193" i="18" s="1"/>
  <c r="G154" i="18"/>
  <c r="F154" i="18"/>
  <c r="E154" i="18"/>
  <c r="D154" i="18"/>
  <c r="V153" i="18"/>
  <c r="U153" i="18"/>
  <c r="T153" i="18"/>
  <c r="S153" i="18"/>
  <c r="R153" i="18"/>
  <c r="Q153" i="18"/>
  <c r="P153" i="18"/>
  <c r="P192" i="18" s="1"/>
  <c r="O153" i="18"/>
  <c r="N153" i="18"/>
  <c r="N192" i="18" s="1"/>
  <c r="M153" i="18"/>
  <c r="L153" i="18"/>
  <c r="L192" i="18" s="1"/>
  <c r="K153" i="18"/>
  <c r="K192" i="18" s="1"/>
  <c r="J153" i="18"/>
  <c r="I153" i="18"/>
  <c r="H153" i="18"/>
  <c r="G153" i="18"/>
  <c r="F153" i="18"/>
  <c r="E153" i="18"/>
  <c r="D153" i="18"/>
  <c r="V152" i="18"/>
  <c r="U152" i="18"/>
  <c r="T152" i="18"/>
  <c r="S152" i="18"/>
  <c r="S191" i="18" s="1"/>
  <c r="R152" i="18"/>
  <c r="Q152" i="18"/>
  <c r="Q191" i="18" s="1"/>
  <c r="P152" i="18"/>
  <c r="O152" i="18"/>
  <c r="N152" i="18"/>
  <c r="N191" i="18" s="1"/>
  <c r="M152" i="18"/>
  <c r="L152" i="18"/>
  <c r="K152" i="18"/>
  <c r="J152" i="18"/>
  <c r="I152" i="18"/>
  <c r="H152" i="18"/>
  <c r="G152" i="18"/>
  <c r="F152" i="18"/>
  <c r="E152" i="18"/>
  <c r="D152" i="18"/>
  <c r="V151" i="18"/>
  <c r="V190" i="18" s="1"/>
  <c r="U151" i="18"/>
  <c r="T151" i="18"/>
  <c r="T190" i="18" s="1"/>
  <c r="S151" i="18"/>
  <c r="R151" i="18"/>
  <c r="Q151" i="18"/>
  <c r="Q190" i="18" s="1"/>
  <c r="P151" i="18"/>
  <c r="O151" i="18"/>
  <c r="N151" i="18"/>
  <c r="M151" i="18"/>
  <c r="L151" i="18"/>
  <c r="K151" i="18"/>
  <c r="J151" i="18"/>
  <c r="I151" i="18"/>
  <c r="H151" i="18"/>
  <c r="G151" i="18"/>
  <c r="F151" i="18"/>
  <c r="F190" i="18" s="1"/>
  <c r="E151" i="18"/>
  <c r="D151" i="18"/>
  <c r="D190" i="18" s="1"/>
  <c r="V150" i="18"/>
  <c r="U150" i="18"/>
  <c r="U189" i="18" s="1"/>
  <c r="T150" i="18"/>
  <c r="T189" i="18" s="1"/>
  <c r="S150" i="18"/>
  <c r="R150" i="18"/>
  <c r="Q150" i="18"/>
  <c r="P150" i="18"/>
  <c r="O150" i="18"/>
  <c r="N150" i="18"/>
  <c r="M150" i="18"/>
  <c r="L150" i="18"/>
  <c r="K150" i="18"/>
  <c r="J150" i="18"/>
  <c r="I150" i="18"/>
  <c r="I189" i="18" s="1"/>
  <c r="H150" i="18"/>
  <c r="G150" i="18"/>
  <c r="G189" i="18" s="1"/>
  <c r="F150" i="18"/>
  <c r="E150" i="18"/>
  <c r="E189" i="18" s="1"/>
  <c r="D150" i="18"/>
  <c r="D189" i="18" s="1"/>
  <c r="V149" i="18"/>
  <c r="U149" i="18"/>
  <c r="T149" i="18"/>
  <c r="S149" i="18"/>
  <c r="R149" i="18"/>
  <c r="Q149" i="18"/>
  <c r="P149" i="18"/>
  <c r="O149" i="18"/>
  <c r="N149" i="18"/>
  <c r="M149" i="18"/>
  <c r="L149" i="18"/>
  <c r="L188" i="18" s="1"/>
  <c r="K149" i="18"/>
  <c r="J149" i="18"/>
  <c r="J188" i="18" s="1"/>
  <c r="I149" i="18"/>
  <c r="H149" i="18"/>
  <c r="G149" i="18"/>
  <c r="G188" i="18" s="1"/>
  <c r="F149" i="18"/>
  <c r="E149" i="18"/>
  <c r="D149" i="18"/>
  <c r="V148" i="18"/>
  <c r="U148" i="18"/>
  <c r="T148" i="18"/>
  <c r="S148" i="18"/>
  <c r="R148" i="18"/>
  <c r="Q148" i="18"/>
  <c r="P148" i="18"/>
  <c r="O148" i="18"/>
  <c r="O187" i="18" s="1"/>
  <c r="N148" i="18"/>
  <c r="M148" i="18"/>
  <c r="M187" i="18" s="1"/>
  <c r="L148" i="18"/>
  <c r="K148" i="18"/>
  <c r="J148" i="18"/>
  <c r="J187" i="18" s="1"/>
  <c r="I148" i="18"/>
  <c r="H148" i="18"/>
  <c r="G148" i="18"/>
  <c r="F148" i="18"/>
  <c r="E148" i="18"/>
  <c r="D148" i="18"/>
  <c r="V147" i="18"/>
  <c r="U147" i="18"/>
  <c r="T147" i="18"/>
  <c r="S147" i="18"/>
  <c r="R147" i="18"/>
  <c r="R186" i="18" s="1"/>
  <c r="Q147" i="18"/>
  <c r="P147" i="18"/>
  <c r="P186" i="18" s="1"/>
  <c r="O147" i="18"/>
  <c r="N147" i="18"/>
  <c r="N186" i="18" s="1"/>
  <c r="M147" i="18"/>
  <c r="M186" i="18" s="1"/>
  <c r="L147" i="18"/>
  <c r="K147" i="18"/>
  <c r="J147" i="18"/>
  <c r="I147" i="18"/>
  <c r="H147" i="18"/>
  <c r="G147" i="18"/>
  <c r="F147" i="18"/>
  <c r="E147" i="18"/>
  <c r="D147" i="18"/>
  <c r="V146" i="18"/>
  <c r="U146" i="18"/>
  <c r="U185" i="18" s="1"/>
  <c r="T146" i="18"/>
  <c r="S146" i="18"/>
  <c r="S185" i="18" s="1"/>
  <c r="R146" i="18"/>
  <c r="Q146" i="18"/>
  <c r="Q185" i="18" s="1"/>
  <c r="P146" i="18"/>
  <c r="P185" i="18" s="1"/>
  <c r="O146" i="18"/>
  <c r="N146" i="18"/>
  <c r="M146" i="18"/>
  <c r="L146" i="18"/>
  <c r="K146" i="18"/>
  <c r="J146" i="18"/>
  <c r="I146" i="18"/>
  <c r="H146" i="18"/>
  <c r="G146" i="18"/>
  <c r="F146" i="18"/>
  <c r="E146" i="18"/>
  <c r="E185" i="18" s="1"/>
  <c r="D146" i="18"/>
  <c r="V145" i="18"/>
  <c r="V184" i="18" s="1"/>
  <c r="U145" i="18"/>
  <c r="T145" i="18"/>
  <c r="S145" i="18"/>
  <c r="S184" i="18" s="1"/>
  <c r="R145" i="18"/>
  <c r="Q145" i="18"/>
  <c r="P145" i="18"/>
  <c r="O145" i="18"/>
  <c r="N145" i="18"/>
  <c r="M145" i="18"/>
  <c r="L145" i="18"/>
  <c r="K145" i="18"/>
  <c r="J145" i="18"/>
  <c r="I145" i="18"/>
  <c r="H145" i="18"/>
  <c r="H184" i="18" s="1"/>
  <c r="G145" i="18"/>
  <c r="F145" i="18"/>
  <c r="F184" i="18" s="1"/>
  <c r="E145" i="18"/>
  <c r="D145" i="18"/>
  <c r="V144" i="18"/>
  <c r="V183" i="18" s="1"/>
  <c r="U144" i="18"/>
  <c r="T144" i="18"/>
  <c r="S144" i="18"/>
  <c r="R144" i="18"/>
  <c r="Q144" i="18"/>
  <c r="P144" i="18"/>
  <c r="O144" i="18"/>
  <c r="N144" i="18"/>
  <c r="M144" i="18"/>
  <c r="L144" i="18"/>
  <c r="K144" i="18"/>
  <c r="K183" i="18" s="1"/>
  <c r="J144" i="18"/>
  <c r="I144" i="18"/>
  <c r="I183" i="18" s="1"/>
  <c r="H144" i="18"/>
  <c r="G144" i="18"/>
  <c r="G183" i="18" s="1"/>
  <c r="F144" i="18"/>
  <c r="F183" i="18" s="1"/>
  <c r="E144" i="18"/>
  <c r="D144" i="18"/>
  <c r="R143" i="18"/>
  <c r="R182" i="18" s="1"/>
  <c r="V142" i="18"/>
  <c r="U142" i="18"/>
  <c r="T142" i="18"/>
  <c r="S142" i="18"/>
  <c r="R142" i="18"/>
  <c r="Q142" i="18"/>
  <c r="Q181" i="18" s="1"/>
  <c r="P142" i="18"/>
  <c r="O142" i="18"/>
  <c r="O181" i="18" s="1"/>
  <c r="N142" i="18"/>
  <c r="N181" i="18" s="1"/>
  <c r="M142" i="18"/>
  <c r="L142" i="18"/>
  <c r="K142" i="18"/>
  <c r="K181" i="18" s="1"/>
  <c r="J142" i="18"/>
  <c r="J181" i="18" s="1"/>
  <c r="I142" i="18"/>
  <c r="H142" i="18"/>
  <c r="G142" i="18"/>
  <c r="F142" i="18"/>
  <c r="E142" i="18"/>
  <c r="D142" i="18"/>
  <c r="V141" i="18"/>
  <c r="U141" i="18"/>
  <c r="T141" i="18"/>
  <c r="T180" i="18" s="1"/>
  <c r="S141" i="18"/>
  <c r="R141" i="18"/>
  <c r="R180" i="18" s="1"/>
  <c r="Q141" i="18"/>
  <c r="Q180" i="18" s="1"/>
  <c r="P141" i="18"/>
  <c r="O141" i="18"/>
  <c r="N141" i="18"/>
  <c r="M141" i="18"/>
  <c r="M180" i="18" s="1"/>
  <c r="L141" i="18"/>
  <c r="K141" i="18"/>
  <c r="J141" i="18"/>
  <c r="I141" i="18"/>
  <c r="H141" i="18"/>
  <c r="G141" i="18"/>
  <c r="F141" i="18"/>
  <c r="E141" i="18"/>
  <c r="D141" i="18"/>
  <c r="D180" i="18" s="1"/>
  <c r="V140" i="18"/>
  <c r="U140" i="18"/>
  <c r="U179" i="18" s="1"/>
  <c r="T140" i="18"/>
  <c r="T179" i="18" s="1"/>
  <c r="S140" i="18"/>
  <c r="R140" i="18"/>
  <c r="Q140" i="18"/>
  <c r="P140" i="18"/>
  <c r="P179" i="18" s="1"/>
  <c r="O140" i="18"/>
  <c r="N140" i="18"/>
  <c r="M140" i="18"/>
  <c r="L140" i="18"/>
  <c r="K140" i="18"/>
  <c r="J140" i="18"/>
  <c r="I140" i="18"/>
  <c r="H140" i="18"/>
  <c r="G140" i="18"/>
  <c r="G179" i="18" s="1"/>
  <c r="F140" i="18"/>
  <c r="E140" i="18"/>
  <c r="E179" i="18" s="1"/>
  <c r="D140" i="18"/>
  <c r="D179" i="18" s="1"/>
  <c r="V139" i="18"/>
  <c r="U139" i="18"/>
  <c r="T139" i="18"/>
  <c r="T178" i="18" s="1"/>
  <c r="S139" i="18"/>
  <c r="S178" i="18" s="1"/>
  <c r="R139" i="18"/>
  <c r="Q139" i="18"/>
  <c r="P139" i="18"/>
  <c r="O139" i="18"/>
  <c r="N139" i="18"/>
  <c r="M139" i="18"/>
  <c r="L139" i="18"/>
  <c r="K139" i="18"/>
  <c r="J139" i="18"/>
  <c r="J178" i="18" s="1"/>
  <c r="I139" i="18"/>
  <c r="H139" i="18"/>
  <c r="H178" i="18" s="1"/>
  <c r="G139" i="18"/>
  <c r="G178" i="18" s="1"/>
  <c r="F139" i="18"/>
  <c r="E139" i="18"/>
  <c r="D139" i="18"/>
  <c r="D178" i="18" s="1"/>
  <c r="V138" i="18"/>
  <c r="V177" i="18" s="1"/>
  <c r="U138" i="18"/>
  <c r="T138" i="18"/>
  <c r="S138" i="18"/>
  <c r="R138" i="18"/>
  <c r="Q138" i="18"/>
  <c r="P138" i="18"/>
  <c r="O138" i="18"/>
  <c r="N138" i="18"/>
  <c r="M138" i="18"/>
  <c r="M177" i="18" s="1"/>
  <c r="L138" i="18"/>
  <c r="K138" i="18"/>
  <c r="K177" i="18" s="1"/>
  <c r="J138" i="18"/>
  <c r="J177" i="18" s="1"/>
  <c r="I138" i="18"/>
  <c r="H138" i="18"/>
  <c r="G138" i="18"/>
  <c r="F138" i="18"/>
  <c r="F177" i="18" s="1"/>
  <c r="E138" i="18"/>
  <c r="D138" i="18"/>
  <c r="V137" i="18"/>
  <c r="U137" i="18"/>
  <c r="T137" i="18"/>
  <c r="S137" i="18"/>
  <c r="R137" i="18"/>
  <c r="Q137" i="18"/>
  <c r="P137" i="18"/>
  <c r="P176" i="18" s="1"/>
  <c r="O137" i="18"/>
  <c r="N137" i="18"/>
  <c r="N176" i="18" s="1"/>
  <c r="M137" i="18"/>
  <c r="M176" i="18" s="1"/>
  <c r="L137" i="18"/>
  <c r="K137" i="18"/>
  <c r="J137" i="18"/>
  <c r="I137" i="18"/>
  <c r="I176" i="18" s="1"/>
  <c r="H137" i="18"/>
  <c r="G137" i="18"/>
  <c r="F137" i="18"/>
  <c r="E137" i="18"/>
  <c r="D137" i="18"/>
  <c r="V136" i="18"/>
  <c r="U136" i="18"/>
  <c r="T136" i="18"/>
  <c r="S136" i="18"/>
  <c r="S175" i="18" s="1"/>
  <c r="R136" i="18"/>
  <c r="Q136" i="18"/>
  <c r="Q175" i="18" s="1"/>
  <c r="P136" i="18"/>
  <c r="P175" i="18" s="1"/>
  <c r="O136" i="18"/>
  <c r="N136" i="18"/>
  <c r="M136" i="18"/>
  <c r="M175" i="18" s="1"/>
  <c r="L136" i="18"/>
  <c r="L175" i="18" s="1"/>
  <c r="K136" i="18"/>
  <c r="J136" i="18"/>
  <c r="I136" i="18"/>
  <c r="H136" i="18"/>
  <c r="G136" i="18"/>
  <c r="F136" i="18"/>
  <c r="E136" i="18"/>
  <c r="D136" i="18"/>
  <c r="V135" i="18"/>
  <c r="V174" i="18" s="1"/>
  <c r="U135" i="18"/>
  <c r="T135" i="18"/>
  <c r="T174" i="18" s="1"/>
  <c r="S135" i="18"/>
  <c r="S174" i="18" s="1"/>
  <c r="R135" i="18"/>
  <c r="Q135" i="18"/>
  <c r="P135" i="18"/>
  <c r="P174" i="18" s="1"/>
  <c r="O135" i="18"/>
  <c r="O174" i="18" s="1"/>
  <c r="N135" i="18"/>
  <c r="M135" i="18"/>
  <c r="L135" i="18"/>
  <c r="K135" i="18"/>
  <c r="J135" i="18"/>
  <c r="I135" i="18"/>
  <c r="H135" i="18"/>
  <c r="G135" i="18"/>
  <c r="F135" i="18"/>
  <c r="F174" i="18" s="1"/>
  <c r="E135" i="18"/>
  <c r="D135" i="18"/>
  <c r="D174" i="18" s="1"/>
  <c r="V134" i="18"/>
  <c r="V173" i="18" s="1"/>
  <c r="U134" i="18"/>
  <c r="T134" i="18"/>
  <c r="S134" i="18"/>
  <c r="R134" i="18"/>
  <c r="R173" i="18" s="1"/>
  <c r="Q134" i="18"/>
  <c r="P134" i="18"/>
  <c r="O134" i="18"/>
  <c r="N134" i="18"/>
  <c r="M134" i="18"/>
  <c r="L134" i="18"/>
  <c r="K134" i="18"/>
  <c r="J134" i="18"/>
  <c r="I134" i="18"/>
  <c r="I173" i="18" s="1"/>
  <c r="H134" i="18"/>
  <c r="G134" i="18"/>
  <c r="G173" i="18" s="1"/>
  <c r="F134" i="18"/>
  <c r="F173" i="18" s="1"/>
  <c r="E134" i="18"/>
  <c r="D134" i="18"/>
  <c r="V133" i="18"/>
  <c r="U133" i="18"/>
  <c r="U172" i="18" s="1"/>
  <c r="T133" i="18"/>
  <c r="S133" i="18"/>
  <c r="R133" i="18"/>
  <c r="Q133" i="18"/>
  <c r="P133" i="18"/>
  <c r="O133" i="18"/>
  <c r="N133" i="18"/>
  <c r="M133" i="18"/>
  <c r="L133" i="18"/>
  <c r="L172" i="18" s="1"/>
  <c r="K133" i="18"/>
  <c r="J133" i="18"/>
  <c r="J172" i="18" s="1"/>
  <c r="I133" i="18"/>
  <c r="I172" i="18" s="1"/>
  <c r="H133" i="18"/>
  <c r="G133" i="18"/>
  <c r="F133" i="18"/>
  <c r="F172" i="18" s="1"/>
  <c r="E133" i="18"/>
  <c r="E172" i="18" s="1"/>
  <c r="D133" i="18"/>
  <c r="V132" i="18"/>
  <c r="U132" i="18"/>
  <c r="T132" i="18"/>
  <c r="S132" i="18"/>
  <c r="R132" i="18"/>
  <c r="Q132" i="18"/>
  <c r="P132" i="18"/>
  <c r="O132" i="18"/>
  <c r="O171" i="18" s="1"/>
  <c r="N132" i="18"/>
  <c r="M132" i="18"/>
  <c r="M171" i="18" s="1"/>
  <c r="L132" i="18"/>
  <c r="L171" i="18" s="1"/>
  <c r="K132" i="18"/>
  <c r="J132" i="18"/>
  <c r="J160" i="18" s="1"/>
  <c r="I132" i="18"/>
  <c r="I171" i="18" s="1"/>
  <c r="H132" i="18"/>
  <c r="G132" i="18"/>
  <c r="F132" i="18"/>
  <c r="E132" i="18"/>
  <c r="D132" i="18"/>
  <c r="V131" i="18"/>
  <c r="U131" i="18"/>
  <c r="T131" i="18"/>
  <c r="T160" i="18" s="1"/>
  <c r="S131" i="18"/>
  <c r="R131" i="18"/>
  <c r="Q131" i="18"/>
  <c r="P131" i="18"/>
  <c r="P170" i="18" s="1"/>
  <c r="O131" i="18"/>
  <c r="O170" i="18" s="1"/>
  <c r="N131" i="18"/>
  <c r="N160" i="18" s="1"/>
  <c r="M131" i="18"/>
  <c r="M160" i="18" s="1"/>
  <c r="L131" i="18"/>
  <c r="K131" i="18"/>
  <c r="J131" i="18"/>
  <c r="I131" i="18"/>
  <c r="H131" i="18"/>
  <c r="G131" i="18"/>
  <c r="F131" i="18"/>
  <c r="E131" i="18"/>
  <c r="D131" i="18"/>
  <c r="D160" i="18" s="1"/>
  <c r="J120" i="18"/>
  <c r="M119" i="18"/>
  <c r="K119" i="18"/>
  <c r="E119" i="18"/>
  <c r="P118" i="18"/>
  <c r="S117" i="18"/>
  <c r="Q117" i="18"/>
  <c r="P117" i="18"/>
  <c r="L117" i="18"/>
  <c r="K117" i="18"/>
  <c r="V116" i="18"/>
  <c r="F116" i="18"/>
  <c r="Q115" i="18"/>
  <c r="P115" i="18"/>
  <c r="I115" i="18"/>
  <c r="G115" i="18"/>
  <c r="L114" i="18"/>
  <c r="O113" i="18"/>
  <c r="R112" i="18"/>
  <c r="U111" i="18"/>
  <c r="S111" i="18"/>
  <c r="R111" i="18"/>
  <c r="E111" i="18"/>
  <c r="H110" i="18"/>
  <c r="S109" i="18"/>
  <c r="K109" i="18"/>
  <c r="N108" i="18"/>
  <c r="E108" i="18"/>
  <c r="Q107" i="18"/>
  <c r="T106" i="18"/>
  <c r="D106" i="18"/>
  <c r="U105" i="18"/>
  <c r="G105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O103" i="18"/>
  <c r="N103" i="18"/>
  <c r="J103" i="18"/>
  <c r="Q102" i="18"/>
  <c r="M102" i="18"/>
  <c r="G102" i="18"/>
  <c r="U101" i="18"/>
  <c r="T101" i="18"/>
  <c r="P101" i="18"/>
  <c r="D101" i="18"/>
  <c r="S100" i="18"/>
  <c r="O100" i="18"/>
  <c r="N100" i="18"/>
  <c r="G100" i="18"/>
  <c r="V99" i="18"/>
  <c r="J99" i="18"/>
  <c r="F99" i="18"/>
  <c r="D99" i="18"/>
  <c r="U98" i="18"/>
  <c r="M98" i="18"/>
  <c r="I98" i="18"/>
  <c r="E98" i="18"/>
  <c r="P97" i="18"/>
  <c r="L97" i="18"/>
  <c r="H97" i="18"/>
  <c r="S96" i="18"/>
  <c r="O96" i="18"/>
  <c r="D96" i="18"/>
  <c r="V95" i="18"/>
  <c r="R95" i="18"/>
  <c r="F95" i="18"/>
  <c r="U94" i="18"/>
  <c r="P94" i="18"/>
  <c r="O94" i="18"/>
  <c r="I94" i="18"/>
  <c r="E94" i="18"/>
  <c r="L93" i="18"/>
  <c r="H93" i="18"/>
  <c r="F93" i="18"/>
  <c r="D93" i="18"/>
  <c r="O92" i="18"/>
  <c r="K92" i="18"/>
  <c r="V81" i="18"/>
  <c r="U81" i="18"/>
  <c r="U120" i="18" s="1"/>
  <c r="T81" i="18"/>
  <c r="S81" i="18"/>
  <c r="R81" i="18"/>
  <c r="R120" i="18" s="1"/>
  <c r="Q81" i="18"/>
  <c r="Q120" i="18" s="1"/>
  <c r="P81" i="18"/>
  <c r="O81" i="18"/>
  <c r="O120" i="18" s="1"/>
  <c r="N81" i="18"/>
  <c r="N120" i="18" s="1"/>
  <c r="M81" i="18"/>
  <c r="L81" i="18"/>
  <c r="L120" i="18" s="1"/>
  <c r="K81" i="18"/>
  <c r="K120" i="18" s="1"/>
  <c r="J81" i="18"/>
  <c r="I81" i="18"/>
  <c r="I120" i="18" s="1"/>
  <c r="H81" i="18"/>
  <c r="G81" i="18"/>
  <c r="F81" i="18"/>
  <c r="E81" i="18"/>
  <c r="E120" i="18" s="1"/>
  <c r="D81" i="18"/>
  <c r="V80" i="18"/>
  <c r="U80" i="18"/>
  <c r="T80" i="18"/>
  <c r="T119" i="18" s="1"/>
  <c r="S80" i="18"/>
  <c r="R80" i="18"/>
  <c r="R119" i="18" s="1"/>
  <c r="Q80" i="18"/>
  <c r="Q119" i="18" s="1"/>
  <c r="P80" i="18"/>
  <c r="O80" i="18"/>
  <c r="O119" i="18" s="1"/>
  <c r="N80" i="18"/>
  <c r="N119" i="18" s="1"/>
  <c r="M80" i="18"/>
  <c r="L80" i="18"/>
  <c r="L119" i="18" s="1"/>
  <c r="K80" i="18"/>
  <c r="J80" i="18"/>
  <c r="I80" i="18"/>
  <c r="H80" i="18"/>
  <c r="H119" i="18" s="1"/>
  <c r="G80" i="18"/>
  <c r="F80" i="18"/>
  <c r="E80" i="18"/>
  <c r="D80" i="18"/>
  <c r="D119" i="18" s="1"/>
  <c r="V79" i="18"/>
  <c r="U79" i="18"/>
  <c r="U118" i="18" s="1"/>
  <c r="T79" i="18"/>
  <c r="T118" i="18" s="1"/>
  <c r="S79" i="18"/>
  <c r="R79" i="18"/>
  <c r="R118" i="18" s="1"/>
  <c r="Q79" i="18"/>
  <c r="Q118" i="18" s="1"/>
  <c r="P79" i="18"/>
  <c r="O79" i="18"/>
  <c r="O118" i="18" s="1"/>
  <c r="N79" i="18"/>
  <c r="M79" i="18"/>
  <c r="L79" i="18"/>
  <c r="K79" i="18"/>
  <c r="K118" i="18" s="1"/>
  <c r="J79" i="18"/>
  <c r="I79" i="18"/>
  <c r="H79" i="18"/>
  <c r="G79" i="18"/>
  <c r="G118" i="18" s="1"/>
  <c r="F79" i="18"/>
  <c r="E79" i="18"/>
  <c r="E118" i="18" s="1"/>
  <c r="D79" i="18"/>
  <c r="D118" i="18" s="1"/>
  <c r="V78" i="18"/>
  <c r="U78" i="18"/>
  <c r="U117" i="18" s="1"/>
  <c r="T78" i="18"/>
  <c r="T117" i="18" s="1"/>
  <c r="S78" i="18"/>
  <c r="R78" i="18"/>
  <c r="R117" i="18" s="1"/>
  <c r="Q78" i="18"/>
  <c r="P78" i="18"/>
  <c r="O78" i="18"/>
  <c r="O117" i="18" s="1"/>
  <c r="N78" i="18"/>
  <c r="N117" i="18" s="1"/>
  <c r="M78" i="18"/>
  <c r="M117" i="18" s="1"/>
  <c r="L78" i="18"/>
  <c r="K78" i="18"/>
  <c r="J78" i="18"/>
  <c r="J117" i="18" s="1"/>
  <c r="I78" i="18"/>
  <c r="I117" i="18" s="1"/>
  <c r="H78" i="18"/>
  <c r="H117" i="18" s="1"/>
  <c r="G78" i="18"/>
  <c r="G117" i="18" s="1"/>
  <c r="F78" i="18"/>
  <c r="F117" i="18" s="1"/>
  <c r="E78" i="18"/>
  <c r="E117" i="18" s="1"/>
  <c r="D78" i="18"/>
  <c r="D117" i="18" s="1"/>
  <c r="V77" i="18"/>
  <c r="U77" i="18"/>
  <c r="U116" i="18" s="1"/>
  <c r="T77" i="18"/>
  <c r="S77" i="18"/>
  <c r="R77" i="18"/>
  <c r="Q77" i="18"/>
  <c r="Q116" i="18" s="1"/>
  <c r="P77" i="18"/>
  <c r="O77" i="18"/>
  <c r="N77" i="18"/>
  <c r="M77" i="18"/>
  <c r="M116" i="18" s="1"/>
  <c r="L77" i="18"/>
  <c r="K77" i="18"/>
  <c r="K116" i="18" s="1"/>
  <c r="J77" i="18"/>
  <c r="J116" i="18" s="1"/>
  <c r="I77" i="18"/>
  <c r="H77" i="18"/>
  <c r="H116" i="18" s="1"/>
  <c r="G77" i="18"/>
  <c r="G116" i="18" s="1"/>
  <c r="F77" i="18"/>
  <c r="E77" i="18"/>
  <c r="E116" i="18" s="1"/>
  <c r="D77" i="18"/>
  <c r="V76" i="18"/>
  <c r="U76" i="18"/>
  <c r="T76" i="18"/>
  <c r="S76" i="18"/>
  <c r="R76" i="18"/>
  <c r="Q76" i="18"/>
  <c r="P76" i="18"/>
  <c r="O76" i="18"/>
  <c r="N76" i="18"/>
  <c r="N115" i="18" s="1"/>
  <c r="M76" i="18"/>
  <c r="M115" i="18" s="1"/>
  <c r="L76" i="18"/>
  <c r="K76" i="18"/>
  <c r="K115" i="18" s="1"/>
  <c r="J76" i="18"/>
  <c r="J115" i="18" s="1"/>
  <c r="I76" i="18"/>
  <c r="H76" i="18"/>
  <c r="H115" i="18" s="1"/>
  <c r="G76" i="18"/>
  <c r="F76" i="18"/>
  <c r="E76" i="18"/>
  <c r="D76" i="18"/>
  <c r="V75" i="18"/>
  <c r="U75" i="18"/>
  <c r="T75" i="18"/>
  <c r="S75" i="18"/>
  <c r="S114" i="18" s="1"/>
  <c r="R75" i="18"/>
  <c r="Q75" i="18"/>
  <c r="Q114" i="18" s="1"/>
  <c r="P75" i="18"/>
  <c r="P114" i="18" s="1"/>
  <c r="O75" i="18"/>
  <c r="N75" i="18"/>
  <c r="N114" i="18" s="1"/>
  <c r="M75" i="18"/>
  <c r="M114" i="18" s="1"/>
  <c r="L75" i="18"/>
  <c r="K75" i="18"/>
  <c r="K114" i="18" s="1"/>
  <c r="J75" i="18"/>
  <c r="I75" i="18"/>
  <c r="H75" i="18"/>
  <c r="G75" i="18"/>
  <c r="F75" i="18"/>
  <c r="E75" i="18"/>
  <c r="D75" i="18"/>
  <c r="V74" i="18"/>
  <c r="V113" i="18" s="1"/>
  <c r="U74" i="18"/>
  <c r="T74" i="18"/>
  <c r="T113" i="18" s="1"/>
  <c r="S74" i="18"/>
  <c r="S113" i="18" s="1"/>
  <c r="R74" i="18"/>
  <c r="Q74" i="18"/>
  <c r="Q113" i="18" s="1"/>
  <c r="P74" i="18"/>
  <c r="P113" i="18" s="1"/>
  <c r="O74" i="18"/>
  <c r="N74" i="18"/>
  <c r="N113" i="18" s="1"/>
  <c r="M74" i="18"/>
  <c r="L74" i="18"/>
  <c r="K74" i="18"/>
  <c r="J74" i="18"/>
  <c r="I74" i="18"/>
  <c r="H74" i="18"/>
  <c r="G74" i="18"/>
  <c r="G113" i="18" s="1"/>
  <c r="F74" i="18"/>
  <c r="F113" i="18" s="1"/>
  <c r="E74" i="18"/>
  <c r="D74" i="18"/>
  <c r="D113" i="18" s="1"/>
  <c r="V73" i="18"/>
  <c r="V112" i="18" s="1"/>
  <c r="U73" i="18"/>
  <c r="T73" i="18"/>
  <c r="T112" i="18" s="1"/>
  <c r="S73" i="18"/>
  <c r="S112" i="18" s="1"/>
  <c r="R73" i="18"/>
  <c r="Q73" i="18"/>
  <c r="Q112" i="18" s="1"/>
  <c r="P73" i="18"/>
  <c r="O73" i="18"/>
  <c r="N73" i="18"/>
  <c r="M73" i="18"/>
  <c r="L73" i="18"/>
  <c r="K73" i="18"/>
  <c r="J73" i="18"/>
  <c r="J112" i="18" s="1"/>
  <c r="I73" i="18"/>
  <c r="I112" i="18" s="1"/>
  <c r="H73" i="18"/>
  <c r="G73" i="18"/>
  <c r="G112" i="18" s="1"/>
  <c r="F73" i="18"/>
  <c r="F112" i="18" s="1"/>
  <c r="E73" i="18"/>
  <c r="D73" i="18"/>
  <c r="D112" i="18" s="1"/>
  <c r="V72" i="18"/>
  <c r="V111" i="18" s="1"/>
  <c r="U72" i="18"/>
  <c r="T72" i="18"/>
  <c r="T111" i="18" s="1"/>
  <c r="S72" i="18"/>
  <c r="R72" i="18"/>
  <c r="Q72" i="18"/>
  <c r="P72" i="18"/>
  <c r="O72" i="18"/>
  <c r="N72" i="18"/>
  <c r="M72" i="18"/>
  <c r="M111" i="18" s="1"/>
  <c r="L72" i="18"/>
  <c r="L111" i="18" s="1"/>
  <c r="K72" i="18"/>
  <c r="J72" i="18"/>
  <c r="J111" i="18" s="1"/>
  <c r="I72" i="18"/>
  <c r="I111" i="18" s="1"/>
  <c r="H72" i="18"/>
  <c r="G72" i="18"/>
  <c r="G111" i="18" s="1"/>
  <c r="F72" i="18"/>
  <c r="F111" i="18" s="1"/>
  <c r="E72" i="18"/>
  <c r="D72" i="18"/>
  <c r="D111" i="18" s="1"/>
  <c r="V71" i="18"/>
  <c r="U71" i="18"/>
  <c r="T71" i="18"/>
  <c r="S71" i="18"/>
  <c r="R71" i="18"/>
  <c r="Q71" i="18"/>
  <c r="P71" i="18"/>
  <c r="P110" i="18" s="1"/>
  <c r="O71" i="18"/>
  <c r="O110" i="18" s="1"/>
  <c r="N71" i="18"/>
  <c r="M71" i="18"/>
  <c r="M110" i="18" s="1"/>
  <c r="L71" i="18"/>
  <c r="L110" i="18" s="1"/>
  <c r="K71" i="18"/>
  <c r="J71" i="18"/>
  <c r="J110" i="18" s="1"/>
  <c r="I71" i="18"/>
  <c r="I110" i="18" s="1"/>
  <c r="H71" i="18"/>
  <c r="G71" i="18"/>
  <c r="G110" i="18" s="1"/>
  <c r="F71" i="18"/>
  <c r="E71" i="18"/>
  <c r="D71" i="18"/>
  <c r="V70" i="18"/>
  <c r="U70" i="18"/>
  <c r="T70" i="18"/>
  <c r="S70" i="18"/>
  <c r="R70" i="18"/>
  <c r="R109" i="18" s="1"/>
  <c r="Q70" i="18"/>
  <c r="P70" i="18"/>
  <c r="P109" i="18" s="1"/>
  <c r="O70" i="18"/>
  <c r="O109" i="18" s="1"/>
  <c r="N70" i="18"/>
  <c r="M70" i="18"/>
  <c r="M109" i="18" s="1"/>
  <c r="L70" i="18"/>
  <c r="L109" i="18" s="1"/>
  <c r="K70" i="18"/>
  <c r="J70" i="18"/>
  <c r="J109" i="18" s="1"/>
  <c r="I70" i="18"/>
  <c r="H70" i="18"/>
  <c r="G70" i="18"/>
  <c r="F70" i="18"/>
  <c r="E70" i="18"/>
  <c r="D70" i="18"/>
  <c r="V69" i="18"/>
  <c r="V108" i="18" s="1"/>
  <c r="U69" i="18"/>
  <c r="U108" i="18" s="1"/>
  <c r="T69" i="18"/>
  <c r="S69" i="18"/>
  <c r="S108" i="18" s="1"/>
  <c r="R69" i="18"/>
  <c r="R108" i="18" s="1"/>
  <c r="Q69" i="18"/>
  <c r="P69" i="18"/>
  <c r="P108" i="18" s="1"/>
  <c r="O69" i="18"/>
  <c r="O108" i="18" s="1"/>
  <c r="N69" i="18"/>
  <c r="M69" i="18"/>
  <c r="M108" i="18" s="1"/>
  <c r="L69" i="18"/>
  <c r="K69" i="18"/>
  <c r="J69" i="18"/>
  <c r="I69" i="18"/>
  <c r="H69" i="18"/>
  <c r="G69" i="18"/>
  <c r="F69" i="18"/>
  <c r="F108" i="18" s="1"/>
  <c r="E69" i="18"/>
  <c r="D69" i="18"/>
  <c r="V68" i="18"/>
  <c r="V107" i="18" s="1"/>
  <c r="U68" i="18"/>
  <c r="U107" i="18" s="1"/>
  <c r="T68" i="18"/>
  <c r="S68" i="18"/>
  <c r="S107" i="18" s="1"/>
  <c r="R68" i="18"/>
  <c r="R107" i="18" s="1"/>
  <c r="Q68" i="18"/>
  <c r="P68" i="18"/>
  <c r="P107" i="18" s="1"/>
  <c r="O68" i="18"/>
  <c r="N68" i="18"/>
  <c r="M68" i="18"/>
  <c r="L68" i="18"/>
  <c r="K68" i="18"/>
  <c r="J68" i="18"/>
  <c r="I68" i="18"/>
  <c r="I107" i="18" s="1"/>
  <c r="H68" i="18"/>
  <c r="H107" i="18" s="1"/>
  <c r="G68" i="18"/>
  <c r="F68" i="18"/>
  <c r="F107" i="18" s="1"/>
  <c r="E68" i="18"/>
  <c r="E107" i="18" s="1"/>
  <c r="D68" i="18"/>
  <c r="V67" i="18"/>
  <c r="V106" i="18" s="1"/>
  <c r="U67" i="18"/>
  <c r="U106" i="18" s="1"/>
  <c r="T67" i="18"/>
  <c r="S67" i="18"/>
  <c r="S106" i="18" s="1"/>
  <c r="R67" i="18"/>
  <c r="Q67" i="18"/>
  <c r="P67" i="18"/>
  <c r="O67" i="18"/>
  <c r="N67" i="18"/>
  <c r="M67" i="18"/>
  <c r="L67" i="18"/>
  <c r="K67" i="18"/>
  <c r="K106" i="18" s="1"/>
  <c r="J67" i="18"/>
  <c r="I67" i="18"/>
  <c r="I106" i="18" s="1"/>
  <c r="H67" i="18"/>
  <c r="H106" i="18" s="1"/>
  <c r="G67" i="18"/>
  <c r="F67" i="18"/>
  <c r="F106" i="18" s="1"/>
  <c r="E67" i="18"/>
  <c r="E106" i="18" s="1"/>
  <c r="D67" i="18"/>
  <c r="V66" i="18"/>
  <c r="V105" i="18" s="1"/>
  <c r="U66" i="18"/>
  <c r="T66" i="18"/>
  <c r="S66" i="18"/>
  <c r="R66" i="18"/>
  <c r="Q66" i="18"/>
  <c r="P66" i="18"/>
  <c r="O66" i="18"/>
  <c r="N66" i="18"/>
  <c r="N105" i="18" s="1"/>
  <c r="M66" i="18"/>
  <c r="L66" i="18"/>
  <c r="L105" i="18" s="1"/>
  <c r="K66" i="18"/>
  <c r="K105" i="18" s="1"/>
  <c r="J66" i="18"/>
  <c r="I66" i="18"/>
  <c r="I105" i="18" s="1"/>
  <c r="H66" i="18"/>
  <c r="H105" i="18" s="1"/>
  <c r="G66" i="18"/>
  <c r="F66" i="18"/>
  <c r="F105" i="18" s="1"/>
  <c r="E66" i="18"/>
  <c r="D66" i="18"/>
  <c r="V64" i="18"/>
  <c r="V103" i="18" s="1"/>
  <c r="U64" i="18"/>
  <c r="U103" i="18" s="1"/>
  <c r="T64" i="18"/>
  <c r="T103" i="18" s="1"/>
  <c r="S64" i="18"/>
  <c r="R64" i="18"/>
  <c r="Q64" i="18"/>
  <c r="Q103" i="18" s="1"/>
  <c r="P64" i="18"/>
  <c r="O64" i="18"/>
  <c r="N64" i="18"/>
  <c r="M64" i="18"/>
  <c r="L64" i="18"/>
  <c r="L103" i="18" s="1"/>
  <c r="K64" i="18"/>
  <c r="K103" i="18" s="1"/>
  <c r="J64" i="18"/>
  <c r="I64" i="18"/>
  <c r="I103" i="18" s="1"/>
  <c r="H64" i="18"/>
  <c r="G64" i="18"/>
  <c r="F64" i="18"/>
  <c r="F103" i="18" s="1"/>
  <c r="E64" i="18"/>
  <c r="E103" i="18" s="1"/>
  <c r="D64" i="18"/>
  <c r="V63" i="18"/>
  <c r="U63" i="18"/>
  <c r="T63" i="18"/>
  <c r="T102" i="18" s="1"/>
  <c r="S63" i="18"/>
  <c r="R63" i="18"/>
  <c r="R102" i="18" s="1"/>
  <c r="Q63" i="18"/>
  <c r="P63" i="18"/>
  <c r="O63" i="18"/>
  <c r="O102" i="18" s="1"/>
  <c r="N63" i="18"/>
  <c r="N102" i="18" s="1"/>
  <c r="M63" i="18"/>
  <c r="L63" i="18"/>
  <c r="L102" i="18" s="1"/>
  <c r="K63" i="18"/>
  <c r="J63" i="18"/>
  <c r="I63" i="18"/>
  <c r="I102" i="18" s="1"/>
  <c r="H63" i="18"/>
  <c r="H102" i="18" s="1"/>
  <c r="G63" i="18"/>
  <c r="F63" i="18"/>
  <c r="E63" i="18"/>
  <c r="D63" i="18"/>
  <c r="D102" i="18" s="1"/>
  <c r="V62" i="18"/>
  <c r="U62" i="18"/>
  <c r="T62" i="18"/>
  <c r="S62" i="18"/>
  <c r="R62" i="18"/>
  <c r="R101" i="18" s="1"/>
  <c r="Q62" i="18"/>
  <c r="Q101" i="18" s="1"/>
  <c r="P62" i="18"/>
  <c r="O62" i="18"/>
  <c r="O101" i="18" s="1"/>
  <c r="N62" i="18"/>
  <c r="M62" i="18"/>
  <c r="L62" i="18"/>
  <c r="L101" i="18" s="1"/>
  <c r="K62" i="18"/>
  <c r="K101" i="18" s="1"/>
  <c r="J62" i="18"/>
  <c r="I62" i="18"/>
  <c r="H62" i="18"/>
  <c r="G62" i="18"/>
  <c r="G101" i="18" s="1"/>
  <c r="F62" i="18"/>
  <c r="E62" i="18"/>
  <c r="E101" i="18" s="1"/>
  <c r="D62" i="18"/>
  <c r="V61" i="18"/>
  <c r="U61" i="18"/>
  <c r="U100" i="18" s="1"/>
  <c r="T61" i="18"/>
  <c r="T100" i="18" s="1"/>
  <c r="S61" i="18"/>
  <c r="R61" i="18"/>
  <c r="R100" i="18" s="1"/>
  <c r="Q61" i="18"/>
  <c r="P61" i="18"/>
  <c r="O61" i="18"/>
  <c r="N61" i="18"/>
  <c r="M61" i="18"/>
  <c r="L61" i="18"/>
  <c r="K61" i="18"/>
  <c r="J61" i="18"/>
  <c r="J100" i="18" s="1"/>
  <c r="I61" i="18"/>
  <c r="H61" i="18"/>
  <c r="H100" i="18" s="1"/>
  <c r="G61" i="18"/>
  <c r="F61" i="18"/>
  <c r="E61" i="18"/>
  <c r="E100" i="18" s="1"/>
  <c r="D61" i="18"/>
  <c r="D100" i="18" s="1"/>
  <c r="V60" i="18"/>
  <c r="U60" i="18"/>
  <c r="U99" i="18" s="1"/>
  <c r="T60" i="18"/>
  <c r="S60" i="18"/>
  <c r="R60" i="18"/>
  <c r="R99" i="18" s="1"/>
  <c r="Q60" i="18"/>
  <c r="Q99" i="18" s="1"/>
  <c r="P60" i="18"/>
  <c r="O60" i="18"/>
  <c r="N60" i="18"/>
  <c r="M60" i="18"/>
  <c r="M99" i="18" s="1"/>
  <c r="L60" i="18"/>
  <c r="K60" i="18"/>
  <c r="K99" i="18" s="1"/>
  <c r="J60" i="18"/>
  <c r="I60" i="18"/>
  <c r="H60" i="18"/>
  <c r="G60" i="18"/>
  <c r="G99" i="18" s="1"/>
  <c r="F60" i="18"/>
  <c r="E60" i="18"/>
  <c r="E99" i="18" s="1"/>
  <c r="D60" i="18"/>
  <c r="V59" i="18"/>
  <c r="U59" i="18"/>
  <c r="T59" i="18"/>
  <c r="T98" i="18" s="1"/>
  <c r="S59" i="18"/>
  <c r="R59" i="18"/>
  <c r="Q59" i="18"/>
  <c r="P59" i="18"/>
  <c r="P98" i="18" s="1"/>
  <c r="O59" i="18"/>
  <c r="N59" i="18"/>
  <c r="N98" i="18" s="1"/>
  <c r="M59" i="18"/>
  <c r="L59" i="18"/>
  <c r="K59" i="18"/>
  <c r="J59" i="18"/>
  <c r="J98" i="18" s="1"/>
  <c r="I59" i="18"/>
  <c r="H59" i="18"/>
  <c r="H98" i="18" s="1"/>
  <c r="G59" i="18"/>
  <c r="F59" i="18"/>
  <c r="E59" i="18"/>
  <c r="D59" i="18"/>
  <c r="D98" i="18" s="1"/>
  <c r="V58" i="18"/>
  <c r="U58" i="18"/>
  <c r="T58" i="18"/>
  <c r="S58" i="18"/>
  <c r="S97" i="18" s="1"/>
  <c r="R58" i="18"/>
  <c r="Q58" i="18"/>
  <c r="Q97" i="18" s="1"/>
  <c r="P58" i="18"/>
  <c r="O58" i="18"/>
  <c r="N58" i="18"/>
  <c r="N82" i="18" s="1"/>
  <c r="M58" i="18"/>
  <c r="M97" i="18" s="1"/>
  <c r="L58" i="18"/>
  <c r="K58" i="18"/>
  <c r="K97" i="18" s="1"/>
  <c r="J58" i="18"/>
  <c r="I58" i="18"/>
  <c r="H58" i="18"/>
  <c r="G58" i="18"/>
  <c r="G97" i="18" s="1"/>
  <c r="F58" i="18"/>
  <c r="F97" i="18" s="1"/>
  <c r="E58" i="18"/>
  <c r="D58" i="18"/>
  <c r="V57" i="18"/>
  <c r="V96" i="18" s="1"/>
  <c r="U57" i="18"/>
  <c r="T57" i="18"/>
  <c r="T96" i="18" s="1"/>
  <c r="S57" i="18"/>
  <c r="R57" i="18"/>
  <c r="Q57" i="18"/>
  <c r="P57" i="18"/>
  <c r="P96" i="18" s="1"/>
  <c r="O57" i="18"/>
  <c r="N57" i="18"/>
  <c r="N96" i="18" s="1"/>
  <c r="M57" i="18"/>
  <c r="L57" i="18"/>
  <c r="K57" i="18"/>
  <c r="K96" i="18" s="1"/>
  <c r="J57" i="18"/>
  <c r="J96" i="18" s="1"/>
  <c r="I57" i="18"/>
  <c r="I96" i="18" s="1"/>
  <c r="H57" i="18"/>
  <c r="G57" i="18"/>
  <c r="F57" i="18"/>
  <c r="F96" i="18" s="1"/>
  <c r="E57" i="18"/>
  <c r="D57" i="18"/>
  <c r="V56" i="18"/>
  <c r="U56" i="18"/>
  <c r="T56" i="18"/>
  <c r="S56" i="18"/>
  <c r="S95" i="18" s="1"/>
  <c r="R56" i="18"/>
  <c r="Q56" i="18"/>
  <c r="Q95" i="18" s="1"/>
  <c r="P56" i="18"/>
  <c r="O56" i="18"/>
  <c r="N56" i="18"/>
  <c r="N95" i="18" s="1"/>
  <c r="M56" i="18"/>
  <c r="M95" i="18" s="1"/>
  <c r="L56" i="18"/>
  <c r="L95" i="18" s="1"/>
  <c r="K56" i="18"/>
  <c r="J56" i="18"/>
  <c r="I56" i="18"/>
  <c r="I95" i="18" s="1"/>
  <c r="H56" i="18"/>
  <c r="G56" i="18"/>
  <c r="G95" i="18" s="1"/>
  <c r="F56" i="18"/>
  <c r="E56" i="18"/>
  <c r="D56" i="18"/>
  <c r="V55" i="18"/>
  <c r="V94" i="18" s="1"/>
  <c r="U55" i="18"/>
  <c r="T55" i="18"/>
  <c r="T94" i="18" s="1"/>
  <c r="S55" i="18"/>
  <c r="R55" i="18"/>
  <c r="Q55" i="18"/>
  <c r="Q94" i="18" s="1"/>
  <c r="P55" i="18"/>
  <c r="O55" i="18"/>
  <c r="N55" i="18"/>
  <c r="M55" i="18"/>
  <c r="L55" i="18"/>
  <c r="L94" i="18" s="1"/>
  <c r="K55" i="18"/>
  <c r="J55" i="18"/>
  <c r="J94" i="18" s="1"/>
  <c r="I55" i="18"/>
  <c r="H55" i="18"/>
  <c r="G55" i="18"/>
  <c r="F55" i="18"/>
  <c r="F94" i="18" s="1"/>
  <c r="E55" i="18"/>
  <c r="D55" i="18"/>
  <c r="D94" i="18" s="1"/>
  <c r="V54" i="18"/>
  <c r="U54" i="18"/>
  <c r="T54" i="18"/>
  <c r="T93" i="18" s="1"/>
  <c r="S54" i="18"/>
  <c r="S93" i="18" s="1"/>
  <c r="R54" i="18"/>
  <c r="R93" i="18" s="1"/>
  <c r="Q54" i="18"/>
  <c r="P54" i="18"/>
  <c r="O54" i="18"/>
  <c r="O93" i="18" s="1"/>
  <c r="N54" i="18"/>
  <c r="M54" i="18"/>
  <c r="M93" i="18" s="1"/>
  <c r="L54" i="18"/>
  <c r="K54" i="18"/>
  <c r="J54" i="18"/>
  <c r="I54" i="18"/>
  <c r="H54" i="18"/>
  <c r="G54" i="18"/>
  <c r="G93" i="18" s="1"/>
  <c r="F54" i="18"/>
  <c r="E54" i="18"/>
  <c r="D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J92" i="18" s="1"/>
  <c r="I53" i="18"/>
  <c r="H53" i="18"/>
  <c r="G53" i="18"/>
  <c r="G92" i="18" s="1"/>
  <c r="F53" i="18"/>
  <c r="F92" i="18" s="1"/>
  <c r="E53" i="18"/>
  <c r="E92" i="18" s="1"/>
  <c r="D53" i="18"/>
  <c r="V42" i="18"/>
  <c r="U42" i="18"/>
  <c r="U198" i="18" s="1"/>
  <c r="T42" i="18"/>
  <c r="T275" i="18" s="1"/>
  <c r="S42" i="18"/>
  <c r="R42" i="18"/>
  <c r="Q42" i="18"/>
  <c r="Q198" i="18" s="1"/>
  <c r="P42" i="18"/>
  <c r="P198" i="18" s="1"/>
  <c r="O42" i="18"/>
  <c r="O275" i="18" s="1"/>
  <c r="N42" i="18"/>
  <c r="M42" i="18"/>
  <c r="L42" i="18"/>
  <c r="K42" i="18"/>
  <c r="J42" i="18"/>
  <c r="I42" i="18"/>
  <c r="H42" i="18"/>
  <c r="H120" i="18" s="1"/>
  <c r="G42" i="18"/>
  <c r="G120" i="18" s="1"/>
  <c r="F42" i="18"/>
  <c r="F198" i="18" s="1"/>
  <c r="E42" i="18"/>
  <c r="E198" i="18" s="1"/>
  <c r="D42" i="18"/>
  <c r="D275" i="18" s="1"/>
  <c r="V41" i="18"/>
  <c r="V119" i="18" s="1"/>
  <c r="U41" i="18"/>
  <c r="U119" i="18" s="1"/>
  <c r="T41" i="18"/>
  <c r="T197" i="18" s="1"/>
  <c r="S41" i="18"/>
  <c r="S197" i="18" s="1"/>
  <c r="R41" i="18"/>
  <c r="Q41" i="18"/>
  <c r="P41" i="18"/>
  <c r="O41" i="18"/>
  <c r="N41" i="18"/>
  <c r="M41" i="18"/>
  <c r="M274" i="18" s="1"/>
  <c r="L41" i="18"/>
  <c r="K41" i="18"/>
  <c r="K197" i="18" s="1"/>
  <c r="J41" i="18"/>
  <c r="J119" i="18" s="1"/>
  <c r="I41" i="18"/>
  <c r="H41" i="18"/>
  <c r="H197" i="18" s="1"/>
  <c r="G41" i="18"/>
  <c r="F41" i="18"/>
  <c r="F119" i="18" s="1"/>
  <c r="E41" i="18"/>
  <c r="D41" i="18"/>
  <c r="D197" i="18" s="1"/>
  <c r="V40" i="18"/>
  <c r="U40" i="18"/>
  <c r="U273" i="18" s="1"/>
  <c r="T40" i="18"/>
  <c r="S40" i="18"/>
  <c r="R40" i="18"/>
  <c r="R273" i="18" s="1"/>
  <c r="Q40" i="18"/>
  <c r="P40" i="18"/>
  <c r="O40" i="18"/>
  <c r="N40" i="18"/>
  <c r="N196" i="18" s="1"/>
  <c r="M40" i="18"/>
  <c r="M118" i="18" s="1"/>
  <c r="L40" i="18"/>
  <c r="K40" i="18"/>
  <c r="K196" i="18" s="1"/>
  <c r="J40" i="18"/>
  <c r="J273" i="18" s="1"/>
  <c r="I40" i="18"/>
  <c r="H40" i="18"/>
  <c r="H118" i="18" s="1"/>
  <c r="G40" i="18"/>
  <c r="G196" i="18" s="1"/>
  <c r="F40" i="18"/>
  <c r="F196" i="18" s="1"/>
  <c r="E40" i="18"/>
  <c r="D40" i="18"/>
  <c r="V39" i="18"/>
  <c r="U39" i="18"/>
  <c r="U272" i="18" s="1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V38" i="18"/>
  <c r="U38" i="18"/>
  <c r="U271" i="18" s="1"/>
  <c r="T38" i="18"/>
  <c r="T116" i="18" s="1"/>
  <c r="S38" i="18"/>
  <c r="S116" i="18" s="1"/>
  <c r="R38" i="18"/>
  <c r="R194" i="18" s="1"/>
  <c r="Q38" i="18"/>
  <c r="Q194" i="18" s="1"/>
  <c r="P38" i="18"/>
  <c r="P271" i="18" s="1"/>
  <c r="O38" i="18"/>
  <c r="O116" i="18" s="1"/>
  <c r="N38" i="18"/>
  <c r="N116" i="18" s="1"/>
  <c r="M38" i="18"/>
  <c r="M194" i="18" s="1"/>
  <c r="L38" i="18"/>
  <c r="L194" i="18" s="1"/>
  <c r="K38" i="18"/>
  <c r="J38" i="18"/>
  <c r="I38" i="18"/>
  <c r="H38" i="18"/>
  <c r="G38" i="18"/>
  <c r="F38" i="18"/>
  <c r="E38" i="18"/>
  <c r="D38" i="18"/>
  <c r="D194" i="18" s="1"/>
  <c r="V37" i="18"/>
  <c r="V115" i="18" s="1"/>
  <c r="U37" i="18"/>
  <c r="T37" i="18"/>
  <c r="T193" i="18" s="1"/>
  <c r="S37" i="18"/>
  <c r="R37" i="18"/>
  <c r="Q37" i="18"/>
  <c r="P37" i="18"/>
  <c r="P193" i="18" s="1"/>
  <c r="O37" i="18"/>
  <c r="O193" i="18" s="1"/>
  <c r="N37" i="18"/>
  <c r="N270" i="18" s="1"/>
  <c r="M37" i="18"/>
  <c r="L37" i="18"/>
  <c r="K37" i="18"/>
  <c r="K270" i="18" s="1"/>
  <c r="J37" i="18"/>
  <c r="I37" i="18"/>
  <c r="H37" i="18"/>
  <c r="G37" i="18"/>
  <c r="G193" i="18" s="1"/>
  <c r="F37" i="18"/>
  <c r="F115" i="18" s="1"/>
  <c r="E37" i="18"/>
  <c r="D37" i="18"/>
  <c r="V36" i="18"/>
  <c r="V269" i="18" s="1"/>
  <c r="U36" i="18"/>
  <c r="T36" i="18"/>
  <c r="T114" i="18" s="1"/>
  <c r="S36" i="18"/>
  <c r="S192" i="18" s="1"/>
  <c r="R36" i="18"/>
  <c r="R192" i="18" s="1"/>
  <c r="Q36" i="18"/>
  <c r="Q269" i="18" s="1"/>
  <c r="P36" i="18"/>
  <c r="O36" i="18"/>
  <c r="N36" i="18"/>
  <c r="M36" i="18"/>
  <c r="L36" i="18"/>
  <c r="K36" i="18"/>
  <c r="K269" i="18" s="1"/>
  <c r="J36" i="18"/>
  <c r="J192" i="18" s="1"/>
  <c r="I36" i="18"/>
  <c r="I114" i="18" s="1"/>
  <c r="H36" i="18"/>
  <c r="G36" i="18"/>
  <c r="G192" i="18" s="1"/>
  <c r="F36" i="18"/>
  <c r="F269" i="18" s="1"/>
  <c r="E36" i="18"/>
  <c r="D36" i="18"/>
  <c r="D114" i="18" s="1"/>
  <c r="V35" i="18"/>
  <c r="V191" i="18" s="1"/>
  <c r="U35" i="18"/>
  <c r="U191" i="18" s="1"/>
  <c r="T35" i="18"/>
  <c r="T268" i="18" s="1"/>
  <c r="S35" i="18"/>
  <c r="R35" i="18"/>
  <c r="Q35" i="18"/>
  <c r="P35" i="18"/>
  <c r="O35" i="18"/>
  <c r="N35" i="18"/>
  <c r="M35" i="18"/>
  <c r="M113" i="18" s="1"/>
  <c r="L35" i="18"/>
  <c r="L113" i="18" s="1"/>
  <c r="K35" i="18"/>
  <c r="K191" i="18" s="1"/>
  <c r="J35" i="18"/>
  <c r="J191" i="18" s="1"/>
  <c r="I35" i="18"/>
  <c r="I268" i="18" s="1"/>
  <c r="H35" i="18"/>
  <c r="H113" i="18" s="1"/>
  <c r="G35" i="18"/>
  <c r="F35" i="18"/>
  <c r="F191" i="18" s="1"/>
  <c r="E35" i="18"/>
  <c r="E191" i="18" s="1"/>
  <c r="D35" i="18"/>
  <c r="V34" i="18"/>
  <c r="U34" i="18"/>
  <c r="T34" i="18"/>
  <c r="S34" i="18"/>
  <c r="R34" i="18"/>
  <c r="R267" i="18" s="1"/>
  <c r="Q34" i="18"/>
  <c r="P34" i="18"/>
  <c r="P190" i="18" s="1"/>
  <c r="O34" i="18"/>
  <c r="O112" i="18" s="1"/>
  <c r="N34" i="18"/>
  <c r="M34" i="18"/>
  <c r="L34" i="18"/>
  <c r="L267" i="18" s="1"/>
  <c r="K34" i="18"/>
  <c r="K112" i="18" s="1"/>
  <c r="J34" i="18"/>
  <c r="I34" i="18"/>
  <c r="I190" i="18" s="1"/>
  <c r="H34" i="18"/>
  <c r="H190" i="18" s="1"/>
  <c r="G34" i="18"/>
  <c r="F34" i="18"/>
  <c r="E34" i="18"/>
  <c r="D34" i="18"/>
  <c r="D267" i="18" s="1"/>
  <c r="V33" i="18"/>
  <c r="U33" i="18"/>
  <c r="T33" i="18"/>
  <c r="S33" i="18"/>
  <c r="S189" i="18" s="1"/>
  <c r="R33" i="18"/>
  <c r="Q33" i="18"/>
  <c r="P33" i="18"/>
  <c r="P189" i="18" s="1"/>
  <c r="O33" i="18"/>
  <c r="O266" i="18" s="1"/>
  <c r="N33" i="18"/>
  <c r="M33" i="18"/>
  <c r="L33" i="18"/>
  <c r="L189" i="18" s="1"/>
  <c r="K33" i="18"/>
  <c r="K189" i="18" s="1"/>
  <c r="J33" i="18"/>
  <c r="I33" i="18"/>
  <c r="H33" i="18"/>
  <c r="G33" i="18"/>
  <c r="G266" i="18" s="1"/>
  <c r="F33" i="18"/>
  <c r="E33" i="18"/>
  <c r="D33" i="18"/>
  <c r="D266" i="18" s="1"/>
  <c r="V32" i="18"/>
  <c r="V110" i="18" s="1"/>
  <c r="U32" i="18"/>
  <c r="U110" i="18" s="1"/>
  <c r="T32" i="18"/>
  <c r="S32" i="18"/>
  <c r="S188" i="18" s="1"/>
  <c r="R32" i="18"/>
  <c r="R265" i="18" s="1"/>
  <c r="Q32" i="18"/>
  <c r="Q110" i="18" s="1"/>
  <c r="P32" i="18"/>
  <c r="O32" i="18"/>
  <c r="O188" i="18" s="1"/>
  <c r="N32" i="18"/>
  <c r="N265" i="18" s="1"/>
  <c r="M32" i="18"/>
  <c r="L32" i="18"/>
  <c r="K32" i="18"/>
  <c r="J32" i="18"/>
  <c r="I32" i="18"/>
  <c r="H32" i="18"/>
  <c r="G32" i="18"/>
  <c r="G265" i="18" s="1"/>
  <c r="F32" i="18"/>
  <c r="F188" i="18" s="1"/>
  <c r="E32" i="18"/>
  <c r="E110" i="18" s="1"/>
  <c r="D32" i="18"/>
  <c r="D188" i="18" s="1"/>
  <c r="V31" i="18"/>
  <c r="V187" i="18" s="1"/>
  <c r="U31" i="18"/>
  <c r="U264" i="18" s="1"/>
  <c r="T31" i="18"/>
  <c r="T109" i="18" s="1"/>
  <c r="S31" i="18"/>
  <c r="R31" i="18"/>
  <c r="R187" i="18" s="1"/>
  <c r="Q31" i="18"/>
  <c r="Q187" i="18" s="1"/>
  <c r="P31" i="18"/>
  <c r="O31" i="18"/>
  <c r="N31" i="18"/>
  <c r="M31" i="18"/>
  <c r="L31" i="18"/>
  <c r="K31" i="18"/>
  <c r="J31" i="18"/>
  <c r="I31" i="18"/>
  <c r="I187" i="18" s="1"/>
  <c r="H31" i="18"/>
  <c r="H109" i="18" s="1"/>
  <c r="G31" i="18"/>
  <c r="F31" i="18"/>
  <c r="F187" i="18" s="1"/>
  <c r="E31" i="18"/>
  <c r="D31" i="18"/>
  <c r="V30" i="18"/>
  <c r="U30" i="18"/>
  <c r="U186" i="18" s="1"/>
  <c r="T30" i="18"/>
  <c r="T186" i="18" s="1"/>
  <c r="S30" i="18"/>
  <c r="S263" i="18" s="1"/>
  <c r="R30" i="18"/>
  <c r="Q30" i="18"/>
  <c r="P30" i="18"/>
  <c r="P263" i="18" s="1"/>
  <c r="O30" i="18"/>
  <c r="N30" i="18"/>
  <c r="M30" i="18"/>
  <c r="L30" i="18"/>
  <c r="L186" i="18" s="1"/>
  <c r="K30" i="18"/>
  <c r="K108" i="18" s="1"/>
  <c r="J30" i="18"/>
  <c r="I30" i="18"/>
  <c r="I186" i="18" s="1"/>
  <c r="H30" i="18"/>
  <c r="H263" i="18" s="1"/>
  <c r="G30" i="18"/>
  <c r="F30" i="18"/>
  <c r="E30" i="18"/>
  <c r="E186" i="18" s="1"/>
  <c r="D30" i="18"/>
  <c r="D186" i="18" s="1"/>
  <c r="V29" i="18"/>
  <c r="V262" i="18" s="1"/>
  <c r="U29" i="18"/>
  <c r="T29" i="18"/>
  <c r="S29" i="18"/>
  <c r="R29" i="18"/>
  <c r="Q29" i="18"/>
  <c r="Q262" i="18" s="1"/>
  <c r="P29" i="18"/>
  <c r="P262" i="18" s="1"/>
  <c r="O29" i="18"/>
  <c r="O107" i="18" s="1"/>
  <c r="N29" i="18"/>
  <c r="N107" i="18" s="1"/>
  <c r="M29" i="18"/>
  <c r="L29" i="18"/>
  <c r="L185" i="18" s="1"/>
  <c r="K29" i="18"/>
  <c r="K262" i="18" s="1"/>
  <c r="J29" i="18"/>
  <c r="I29" i="18"/>
  <c r="H29" i="18"/>
  <c r="H185" i="18" s="1"/>
  <c r="G29" i="18"/>
  <c r="G185" i="18" s="1"/>
  <c r="F29" i="18"/>
  <c r="F262" i="18" s="1"/>
  <c r="E29" i="18"/>
  <c r="D29" i="18"/>
  <c r="V28" i="18"/>
  <c r="U28" i="18"/>
  <c r="T28" i="18"/>
  <c r="S28" i="18"/>
  <c r="R28" i="18"/>
  <c r="R106" i="18" s="1"/>
  <c r="Q28" i="18"/>
  <c r="Q106" i="18" s="1"/>
  <c r="P28" i="18"/>
  <c r="P184" i="18" s="1"/>
  <c r="O28" i="18"/>
  <c r="O184" i="18" s="1"/>
  <c r="N28" i="18"/>
  <c r="N261" i="18" s="1"/>
  <c r="M28" i="18"/>
  <c r="M106" i="18" s="1"/>
  <c r="L28" i="18"/>
  <c r="L106" i="18" s="1"/>
  <c r="K28" i="18"/>
  <c r="K184" i="18" s="1"/>
  <c r="J28" i="18"/>
  <c r="J184" i="18" s="1"/>
  <c r="I28" i="18"/>
  <c r="H28" i="18"/>
  <c r="G28" i="18"/>
  <c r="F28" i="18"/>
  <c r="E28" i="18"/>
  <c r="D28" i="18"/>
  <c r="V27" i="18"/>
  <c r="U27" i="18"/>
  <c r="U183" i="18" s="1"/>
  <c r="T27" i="18"/>
  <c r="T105" i="18" s="1"/>
  <c r="S27" i="18"/>
  <c r="R27" i="18"/>
  <c r="R183" i="18" s="1"/>
  <c r="Q27" i="18"/>
  <c r="P27" i="18"/>
  <c r="O27" i="18"/>
  <c r="O105" i="18" s="1"/>
  <c r="N27" i="18"/>
  <c r="N183" i="18" s="1"/>
  <c r="M27" i="18"/>
  <c r="M183" i="18" s="1"/>
  <c r="L27" i="18"/>
  <c r="L260" i="18" s="1"/>
  <c r="K27" i="18"/>
  <c r="J27" i="18"/>
  <c r="I27" i="18"/>
  <c r="H27" i="18"/>
  <c r="G27" i="18"/>
  <c r="G260" i="18" s="1"/>
  <c r="F27" i="18"/>
  <c r="E27" i="18"/>
  <c r="E183" i="18" s="1"/>
  <c r="D27" i="18"/>
  <c r="D105" i="18" s="1"/>
  <c r="V25" i="18"/>
  <c r="V181" i="18" s="1"/>
  <c r="U25" i="18"/>
  <c r="U258" i="18" s="1"/>
  <c r="T25" i="18"/>
  <c r="T258" i="18" s="1"/>
  <c r="S25" i="18"/>
  <c r="R25" i="18"/>
  <c r="R181" i="18" s="1"/>
  <c r="Q25" i="18"/>
  <c r="P25" i="18"/>
  <c r="P258" i="18" s="1"/>
  <c r="O25" i="18"/>
  <c r="N25" i="18"/>
  <c r="M25" i="18"/>
  <c r="L25" i="18"/>
  <c r="K25" i="18"/>
  <c r="J25" i="18"/>
  <c r="I25" i="18"/>
  <c r="I181" i="18" s="1"/>
  <c r="H25" i="18"/>
  <c r="G25" i="18"/>
  <c r="F25" i="18"/>
  <c r="F181" i="18" s="1"/>
  <c r="E25" i="18"/>
  <c r="E258" i="18" s="1"/>
  <c r="D25" i="18"/>
  <c r="D258" i="18" s="1"/>
  <c r="V24" i="18"/>
  <c r="V257" i="18" s="1"/>
  <c r="U24" i="18"/>
  <c r="U180" i="18" s="1"/>
  <c r="T24" i="18"/>
  <c r="S24" i="18"/>
  <c r="R24" i="18"/>
  <c r="Q24" i="18"/>
  <c r="P24" i="18"/>
  <c r="P180" i="18" s="1"/>
  <c r="O24" i="18"/>
  <c r="O257" i="18" s="1"/>
  <c r="N24" i="18"/>
  <c r="M24" i="18"/>
  <c r="L24" i="18"/>
  <c r="L180" i="18" s="1"/>
  <c r="K24" i="18"/>
  <c r="K180" i="18" s="1"/>
  <c r="J24" i="18"/>
  <c r="I24" i="18"/>
  <c r="I180" i="18" s="1"/>
  <c r="H24" i="18"/>
  <c r="H257" i="18" s="1"/>
  <c r="G24" i="18"/>
  <c r="G257" i="18" s="1"/>
  <c r="F24" i="18"/>
  <c r="F180" i="18" s="1"/>
  <c r="E24" i="18"/>
  <c r="E180" i="18" s="1"/>
  <c r="D24" i="18"/>
  <c r="V23" i="18"/>
  <c r="V256" i="18" s="1"/>
  <c r="U23" i="18"/>
  <c r="T23" i="18"/>
  <c r="S23" i="18"/>
  <c r="R23" i="18"/>
  <c r="Q23" i="18"/>
  <c r="Q179" i="18" s="1"/>
  <c r="P23" i="18"/>
  <c r="O23" i="18"/>
  <c r="O179" i="18" s="1"/>
  <c r="N23" i="18"/>
  <c r="N179" i="18" s="1"/>
  <c r="M23" i="18"/>
  <c r="L23" i="18"/>
  <c r="L179" i="18" s="1"/>
  <c r="K23" i="18"/>
  <c r="K256" i="18" s="1"/>
  <c r="J23" i="18"/>
  <c r="J101" i="18" s="1"/>
  <c r="I23" i="18"/>
  <c r="H23" i="18"/>
  <c r="H256" i="18" s="1"/>
  <c r="G23" i="18"/>
  <c r="F23" i="18"/>
  <c r="E23" i="18"/>
  <c r="D23" i="18"/>
  <c r="V22" i="18"/>
  <c r="V178" i="18" s="1"/>
  <c r="U22" i="18"/>
  <c r="U255" i="18" s="1"/>
  <c r="T22" i="18"/>
  <c r="S22" i="18"/>
  <c r="R22" i="18"/>
  <c r="R178" i="18" s="1"/>
  <c r="Q22" i="18"/>
  <c r="Q178" i="18" s="1"/>
  <c r="P22" i="18"/>
  <c r="O22" i="18"/>
  <c r="O178" i="18" s="1"/>
  <c r="N22" i="18"/>
  <c r="N255" i="18" s="1"/>
  <c r="M22" i="18"/>
  <c r="M100" i="18" s="1"/>
  <c r="L22" i="18"/>
  <c r="K22" i="18"/>
  <c r="K178" i="18" s="1"/>
  <c r="J22" i="18"/>
  <c r="I22" i="18"/>
  <c r="I255" i="18" s="1"/>
  <c r="H22" i="18"/>
  <c r="G22" i="18"/>
  <c r="F22" i="18"/>
  <c r="F178" i="18" s="1"/>
  <c r="E22" i="18"/>
  <c r="D22" i="18"/>
  <c r="D255" i="18" s="1"/>
  <c r="V21" i="18"/>
  <c r="U21" i="18"/>
  <c r="U177" i="18" s="1"/>
  <c r="T21" i="18"/>
  <c r="T177" i="18" s="1"/>
  <c r="S21" i="18"/>
  <c r="R21" i="18"/>
  <c r="R177" i="18" s="1"/>
  <c r="Q21" i="18"/>
  <c r="Q254" i="18" s="1"/>
  <c r="P21" i="18"/>
  <c r="P99" i="18" s="1"/>
  <c r="O21" i="18"/>
  <c r="N21" i="18"/>
  <c r="N177" i="18" s="1"/>
  <c r="M21" i="18"/>
  <c r="L21" i="18"/>
  <c r="L254" i="18" s="1"/>
  <c r="K21" i="18"/>
  <c r="J21" i="18"/>
  <c r="I21" i="18"/>
  <c r="I177" i="18" s="1"/>
  <c r="H21" i="18"/>
  <c r="G21" i="18"/>
  <c r="G254" i="18" s="1"/>
  <c r="F21" i="18"/>
  <c r="E21" i="18"/>
  <c r="E177" i="18" s="1"/>
  <c r="D21" i="18"/>
  <c r="D177" i="18" s="1"/>
  <c r="V20" i="18"/>
  <c r="U20" i="18"/>
  <c r="U176" i="18" s="1"/>
  <c r="T20" i="18"/>
  <c r="T253" i="18" s="1"/>
  <c r="S20" i="18"/>
  <c r="S98" i="18" s="1"/>
  <c r="R20" i="18"/>
  <c r="R176" i="18" s="1"/>
  <c r="Q20" i="18"/>
  <c r="Q176" i="18" s="1"/>
  <c r="P20" i="18"/>
  <c r="O20" i="18"/>
  <c r="N20" i="18"/>
  <c r="M20" i="18"/>
  <c r="L20" i="18"/>
  <c r="L176" i="18" s="1"/>
  <c r="K20" i="18"/>
  <c r="J20" i="18"/>
  <c r="J176" i="18" s="1"/>
  <c r="I20" i="18"/>
  <c r="H20" i="18"/>
  <c r="H176" i="18" s="1"/>
  <c r="G20" i="18"/>
  <c r="G176" i="18" s="1"/>
  <c r="F20" i="18"/>
  <c r="E20" i="18"/>
  <c r="E176" i="18" s="1"/>
  <c r="D20" i="18"/>
  <c r="D253" i="18" s="1"/>
  <c r="V19" i="18"/>
  <c r="V97" i="18" s="1"/>
  <c r="U19" i="18"/>
  <c r="T19" i="18"/>
  <c r="T175" i="18" s="1"/>
  <c r="S19" i="18"/>
  <c r="R19" i="18"/>
  <c r="R252" i="18" s="1"/>
  <c r="Q19" i="18"/>
  <c r="P19" i="18"/>
  <c r="O19" i="18"/>
  <c r="N19" i="18"/>
  <c r="M19" i="18"/>
  <c r="M252" i="18" s="1"/>
  <c r="L19" i="18"/>
  <c r="K19" i="18"/>
  <c r="K175" i="18" s="1"/>
  <c r="J19" i="18"/>
  <c r="J175" i="18" s="1"/>
  <c r="I19" i="18"/>
  <c r="H19" i="18"/>
  <c r="H175" i="18" s="1"/>
  <c r="G19" i="18"/>
  <c r="G252" i="18" s="1"/>
  <c r="F19" i="18"/>
  <c r="E19" i="18"/>
  <c r="D19" i="18"/>
  <c r="D175" i="18" s="1"/>
  <c r="V18" i="18"/>
  <c r="U18" i="18"/>
  <c r="U251" i="18" s="1"/>
  <c r="T18" i="18"/>
  <c r="S18" i="18"/>
  <c r="R18" i="18"/>
  <c r="R174" i="18" s="1"/>
  <c r="Q18" i="18"/>
  <c r="P18" i="18"/>
  <c r="P251" i="18" s="1"/>
  <c r="O18" i="18"/>
  <c r="N18" i="18"/>
  <c r="N174" i="18" s="1"/>
  <c r="M18" i="18"/>
  <c r="M174" i="18" s="1"/>
  <c r="L18" i="18"/>
  <c r="K18" i="18"/>
  <c r="K174" i="18" s="1"/>
  <c r="J18" i="18"/>
  <c r="J251" i="18" s="1"/>
  <c r="I18" i="18"/>
  <c r="H18" i="18"/>
  <c r="G18" i="18"/>
  <c r="G174" i="18" s="1"/>
  <c r="F18" i="18"/>
  <c r="E18" i="18"/>
  <c r="E251" i="18" s="1"/>
  <c r="D18" i="18"/>
  <c r="V17" i="18"/>
  <c r="U17" i="18"/>
  <c r="T17" i="18"/>
  <c r="S17" i="18"/>
  <c r="S250" i="18" s="1"/>
  <c r="R17" i="18"/>
  <c r="Q17" i="18"/>
  <c r="Q173" i="18" s="1"/>
  <c r="P17" i="18"/>
  <c r="P173" i="18" s="1"/>
  <c r="O17" i="18"/>
  <c r="N17" i="18"/>
  <c r="N173" i="18" s="1"/>
  <c r="M17" i="18"/>
  <c r="M250" i="18" s="1"/>
  <c r="L17" i="18"/>
  <c r="K17" i="18"/>
  <c r="J17" i="18"/>
  <c r="J173" i="18" s="1"/>
  <c r="I17" i="18"/>
  <c r="H17" i="18"/>
  <c r="H250" i="18" s="1"/>
  <c r="G17" i="18"/>
  <c r="F17" i="18"/>
  <c r="E17" i="18"/>
  <c r="D17" i="18"/>
  <c r="V16" i="18"/>
  <c r="V172" i="18" s="1"/>
  <c r="U16" i="18"/>
  <c r="T16" i="18"/>
  <c r="T172" i="18" s="1"/>
  <c r="S16" i="18"/>
  <c r="S172" i="18" s="1"/>
  <c r="R16" i="18"/>
  <c r="Q16" i="18"/>
  <c r="Q172" i="18" s="1"/>
  <c r="P16" i="18"/>
  <c r="P249" i="18" s="1"/>
  <c r="O16" i="18"/>
  <c r="N16" i="18"/>
  <c r="M16" i="18"/>
  <c r="M172" i="18" s="1"/>
  <c r="L16" i="18"/>
  <c r="K16" i="18"/>
  <c r="K249" i="18" s="1"/>
  <c r="J16" i="18"/>
  <c r="I16" i="18"/>
  <c r="H16" i="18"/>
  <c r="G16" i="18"/>
  <c r="F16" i="18"/>
  <c r="E16" i="18"/>
  <c r="D16" i="18"/>
  <c r="D172" i="18" s="1"/>
  <c r="V15" i="18"/>
  <c r="V171" i="18" s="1"/>
  <c r="U15" i="18"/>
  <c r="T15" i="18"/>
  <c r="T171" i="18" s="1"/>
  <c r="S15" i="18"/>
  <c r="S248" i="18" s="1"/>
  <c r="R15" i="18"/>
  <c r="Q15" i="18"/>
  <c r="P15" i="18"/>
  <c r="P171" i="18" s="1"/>
  <c r="O15" i="18"/>
  <c r="N15" i="18"/>
  <c r="N248" i="18" s="1"/>
  <c r="M15" i="18"/>
  <c r="L15" i="18"/>
  <c r="K15" i="18"/>
  <c r="K171" i="18" s="1"/>
  <c r="J15" i="18"/>
  <c r="I15" i="18"/>
  <c r="I248" i="18" s="1"/>
  <c r="H15" i="18"/>
  <c r="G15" i="18"/>
  <c r="G171" i="18" s="1"/>
  <c r="F15" i="18"/>
  <c r="F171" i="18" s="1"/>
  <c r="E15" i="18"/>
  <c r="D15" i="18"/>
  <c r="D171" i="18" s="1"/>
  <c r="V14" i="18"/>
  <c r="V247" i="18" s="1"/>
  <c r="U14" i="18"/>
  <c r="T14" i="18"/>
  <c r="S14" i="18"/>
  <c r="S170" i="18" s="1"/>
  <c r="R14" i="18"/>
  <c r="Q14" i="18"/>
  <c r="Q247" i="18" s="1"/>
  <c r="P14" i="18"/>
  <c r="O14" i="18"/>
  <c r="N14" i="18"/>
  <c r="M14" i="18"/>
  <c r="L14" i="18"/>
  <c r="K14" i="18"/>
  <c r="J14" i="18"/>
  <c r="J170" i="18" s="1"/>
  <c r="I14" i="18"/>
  <c r="I170" i="18" s="1"/>
  <c r="H14" i="18"/>
  <c r="G14" i="18"/>
  <c r="F14" i="18"/>
  <c r="F247" i="18" s="1"/>
  <c r="E14" i="18"/>
  <c r="D14" i="18"/>
  <c r="K299" i="17"/>
  <c r="C298" i="17"/>
  <c r="G296" i="17"/>
  <c r="F291" i="17"/>
  <c r="D288" i="17"/>
  <c r="D286" i="17"/>
  <c r="K285" i="17"/>
  <c r="H281" i="17"/>
  <c r="G281" i="17"/>
  <c r="G278" i="17"/>
  <c r="F278" i="17"/>
  <c r="G277" i="17"/>
  <c r="D277" i="17"/>
  <c r="H273" i="17"/>
  <c r="G273" i="17"/>
  <c r="J269" i="17"/>
  <c r="I269" i="17"/>
  <c r="G266" i="17"/>
  <c r="C256" i="17"/>
  <c r="F255" i="17"/>
  <c r="K254" i="17"/>
  <c r="J254" i="17"/>
  <c r="I254" i="17"/>
  <c r="H254" i="17"/>
  <c r="G254" i="17"/>
  <c r="F254" i="17"/>
  <c r="E254" i="17"/>
  <c r="E296" i="17" s="1"/>
  <c r="D254" i="17"/>
  <c r="D296" i="17" s="1"/>
  <c r="K253" i="17"/>
  <c r="J253" i="17"/>
  <c r="I253" i="17"/>
  <c r="H253" i="17"/>
  <c r="H295" i="17" s="1"/>
  <c r="G253" i="17"/>
  <c r="F253" i="17"/>
  <c r="E253" i="17"/>
  <c r="D253" i="17"/>
  <c r="K252" i="17"/>
  <c r="J252" i="17"/>
  <c r="I252" i="17"/>
  <c r="I294" i="17" s="1"/>
  <c r="H252" i="17"/>
  <c r="G252" i="17"/>
  <c r="F252" i="17"/>
  <c r="E252" i="17"/>
  <c r="E294" i="17" s="1"/>
  <c r="D252" i="17"/>
  <c r="D294" i="17" s="1"/>
  <c r="K251" i="17"/>
  <c r="J251" i="17"/>
  <c r="I251" i="17"/>
  <c r="H251" i="17"/>
  <c r="H293" i="17" s="1"/>
  <c r="G251" i="17"/>
  <c r="F251" i="17"/>
  <c r="E251" i="17"/>
  <c r="D251" i="17"/>
  <c r="K250" i="17"/>
  <c r="J250" i="17"/>
  <c r="I250" i="17"/>
  <c r="I292" i="17" s="1"/>
  <c r="H250" i="17"/>
  <c r="G250" i="17"/>
  <c r="F250" i="17"/>
  <c r="E250" i="17"/>
  <c r="E292" i="17" s="1"/>
  <c r="D250" i="17"/>
  <c r="D292" i="17" s="1"/>
  <c r="K249" i="17"/>
  <c r="J249" i="17"/>
  <c r="I249" i="17"/>
  <c r="H249" i="17"/>
  <c r="G249" i="17"/>
  <c r="F249" i="17"/>
  <c r="E249" i="17"/>
  <c r="D249" i="17"/>
  <c r="K248" i="17"/>
  <c r="J248" i="17"/>
  <c r="I248" i="17"/>
  <c r="H248" i="17"/>
  <c r="H290" i="17" s="1"/>
  <c r="G248" i="17"/>
  <c r="F248" i="17"/>
  <c r="E248" i="17"/>
  <c r="E290" i="17" s="1"/>
  <c r="D248" i="17"/>
  <c r="D290" i="17" s="1"/>
  <c r="K247" i="17"/>
  <c r="J247" i="17"/>
  <c r="I247" i="17"/>
  <c r="H247" i="17"/>
  <c r="H289" i="17" s="1"/>
  <c r="G247" i="17"/>
  <c r="F247" i="17"/>
  <c r="E247" i="17"/>
  <c r="D247" i="17"/>
  <c r="K246" i="17"/>
  <c r="J246" i="17"/>
  <c r="I246" i="17"/>
  <c r="I288" i="17" s="1"/>
  <c r="H246" i="17"/>
  <c r="G246" i="17"/>
  <c r="F246" i="17"/>
  <c r="E246" i="17"/>
  <c r="E288" i="17" s="1"/>
  <c r="D246" i="17"/>
  <c r="K245" i="17"/>
  <c r="J245" i="17"/>
  <c r="I245" i="17"/>
  <c r="H245" i="17"/>
  <c r="G245" i="17"/>
  <c r="F245" i="17"/>
  <c r="E245" i="17"/>
  <c r="D245" i="17"/>
  <c r="D287" i="17" s="1"/>
  <c r="K244" i="17"/>
  <c r="J244" i="17"/>
  <c r="I244" i="17"/>
  <c r="I286" i="17" s="1"/>
  <c r="H244" i="17"/>
  <c r="G244" i="17"/>
  <c r="F244" i="17"/>
  <c r="E244" i="17"/>
  <c r="E286" i="17" s="1"/>
  <c r="D244" i="17"/>
  <c r="K243" i="17"/>
  <c r="J243" i="17"/>
  <c r="I243" i="17"/>
  <c r="I285" i="17" s="1"/>
  <c r="H243" i="17"/>
  <c r="H285" i="17" s="1"/>
  <c r="G243" i="17"/>
  <c r="F243" i="17"/>
  <c r="E243" i="17"/>
  <c r="D243" i="17"/>
  <c r="K242" i="17"/>
  <c r="J242" i="17"/>
  <c r="I242" i="17"/>
  <c r="H242" i="17"/>
  <c r="G242" i="17"/>
  <c r="F242" i="17"/>
  <c r="E242" i="17"/>
  <c r="E284" i="17" s="1"/>
  <c r="D242" i="17"/>
  <c r="D284" i="17" s="1"/>
  <c r="K241" i="17"/>
  <c r="J241" i="17"/>
  <c r="J283" i="17" s="1"/>
  <c r="I241" i="17"/>
  <c r="I283" i="17" s="1"/>
  <c r="H241" i="17"/>
  <c r="H283" i="17" s="1"/>
  <c r="G241" i="17"/>
  <c r="F241" i="17"/>
  <c r="E241" i="17"/>
  <c r="D241" i="17"/>
  <c r="K240" i="17"/>
  <c r="J240" i="17"/>
  <c r="I240" i="17"/>
  <c r="H240" i="17"/>
  <c r="G240" i="17"/>
  <c r="F240" i="17"/>
  <c r="E240" i="17"/>
  <c r="E282" i="17" s="1"/>
  <c r="D240" i="17"/>
  <c r="D282" i="17" s="1"/>
  <c r="K239" i="17"/>
  <c r="J239" i="17"/>
  <c r="J281" i="17" s="1"/>
  <c r="I239" i="17"/>
  <c r="I281" i="17" s="1"/>
  <c r="H239" i="17"/>
  <c r="G239" i="17"/>
  <c r="F239" i="17"/>
  <c r="E239" i="17"/>
  <c r="D239" i="17"/>
  <c r="K238" i="17"/>
  <c r="J238" i="17"/>
  <c r="I238" i="17"/>
  <c r="H238" i="17"/>
  <c r="G238" i="17"/>
  <c r="F238" i="17"/>
  <c r="E238" i="17"/>
  <c r="E280" i="17" s="1"/>
  <c r="D238" i="17"/>
  <c r="D280" i="17" s="1"/>
  <c r="K237" i="17"/>
  <c r="J237" i="17"/>
  <c r="I237" i="17"/>
  <c r="I279" i="17" s="1"/>
  <c r="H237" i="17"/>
  <c r="H279" i="17" s="1"/>
  <c r="G237" i="17"/>
  <c r="G279" i="17" s="1"/>
  <c r="F237" i="17"/>
  <c r="E237" i="17"/>
  <c r="D237" i="17"/>
  <c r="K236" i="17"/>
  <c r="J236" i="17"/>
  <c r="I236" i="17"/>
  <c r="H236" i="17"/>
  <c r="G236" i="17"/>
  <c r="F236" i="17"/>
  <c r="E236" i="17"/>
  <c r="E278" i="17" s="1"/>
  <c r="D236" i="17"/>
  <c r="D278" i="17" s="1"/>
  <c r="K235" i="17"/>
  <c r="J235" i="17"/>
  <c r="I235" i="17"/>
  <c r="I277" i="17" s="1"/>
  <c r="H235" i="17"/>
  <c r="H277" i="17" s="1"/>
  <c r="G235" i="17"/>
  <c r="F235" i="17"/>
  <c r="E235" i="17"/>
  <c r="D235" i="17"/>
  <c r="K234" i="17"/>
  <c r="J234" i="17"/>
  <c r="I234" i="17"/>
  <c r="H234" i="17"/>
  <c r="G234" i="17"/>
  <c r="F234" i="17"/>
  <c r="E234" i="17"/>
  <c r="E276" i="17" s="1"/>
  <c r="D234" i="17"/>
  <c r="K233" i="17"/>
  <c r="J233" i="17"/>
  <c r="I233" i="17"/>
  <c r="I275" i="17" s="1"/>
  <c r="H233" i="17"/>
  <c r="H275" i="17" s="1"/>
  <c r="G233" i="17"/>
  <c r="G275" i="17" s="1"/>
  <c r="F233" i="17"/>
  <c r="E233" i="17"/>
  <c r="D233" i="17"/>
  <c r="K232" i="17"/>
  <c r="J232" i="17"/>
  <c r="I232" i="17"/>
  <c r="H232" i="17"/>
  <c r="G232" i="17"/>
  <c r="F232" i="17"/>
  <c r="E232" i="17"/>
  <c r="E274" i="17" s="1"/>
  <c r="D232" i="17"/>
  <c r="K231" i="17"/>
  <c r="J231" i="17"/>
  <c r="J273" i="17" s="1"/>
  <c r="I231" i="17"/>
  <c r="I273" i="17" s="1"/>
  <c r="H231" i="17"/>
  <c r="G231" i="17"/>
  <c r="F231" i="17"/>
  <c r="E231" i="17"/>
  <c r="D231" i="17"/>
  <c r="K230" i="17"/>
  <c r="J230" i="17"/>
  <c r="I230" i="17"/>
  <c r="H230" i="17"/>
  <c r="H272" i="17" s="1"/>
  <c r="G230" i="17"/>
  <c r="F230" i="17"/>
  <c r="E230" i="17"/>
  <c r="E272" i="17" s="1"/>
  <c r="D230" i="17"/>
  <c r="K229" i="17"/>
  <c r="J229" i="17"/>
  <c r="J271" i="17" s="1"/>
  <c r="I229" i="17"/>
  <c r="I271" i="17" s="1"/>
  <c r="H229" i="17"/>
  <c r="H271" i="17" s="1"/>
  <c r="G229" i="17"/>
  <c r="F229" i="17"/>
  <c r="E229" i="17"/>
  <c r="D229" i="17"/>
  <c r="K228" i="17"/>
  <c r="J228" i="17"/>
  <c r="I228" i="17"/>
  <c r="H228" i="17"/>
  <c r="H270" i="17" s="1"/>
  <c r="G228" i="17"/>
  <c r="F228" i="17"/>
  <c r="E228" i="17"/>
  <c r="E270" i="17" s="1"/>
  <c r="D228" i="17"/>
  <c r="K227" i="17"/>
  <c r="J227" i="17"/>
  <c r="I227" i="17"/>
  <c r="H227" i="17"/>
  <c r="H269" i="17" s="1"/>
  <c r="G227" i="17"/>
  <c r="G269" i="17" s="1"/>
  <c r="F227" i="17"/>
  <c r="E227" i="17"/>
  <c r="D227" i="17"/>
  <c r="K226" i="17"/>
  <c r="J226" i="17"/>
  <c r="I226" i="17"/>
  <c r="H226" i="17"/>
  <c r="H268" i="17" s="1"/>
  <c r="G226" i="17"/>
  <c r="F226" i="17"/>
  <c r="E226" i="17"/>
  <c r="E268" i="17" s="1"/>
  <c r="D226" i="17"/>
  <c r="K225" i="17"/>
  <c r="J225" i="17"/>
  <c r="J267" i="17" s="1"/>
  <c r="I225" i="17"/>
  <c r="I267" i="17" s="1"/>
  <c r="H225" i="17"/>
  <c r="G225" i="17"/>
  <c r="G267" i="17" s="1"/>
  <c r="F225" i="17"/>
  <c r="E225" i="17"/>
  <c r="D225" i="17"/>
  <c r="K224" i="17"/>
  <c r="K255" i="17" s="1"/>
  <c r="J224" i="17"/>
  <c r="I224" i="17"/>
  <c r="H224" i="17"/>
  <c r="H255" i="17" s="1"/>
  <c r="G224" i="17"/>
  <c r="F224" i="17"/>
  <c r="E224" i="17"/>
  <c r="E255" i="17" s="1"/>
  <c r="D224" i="17"/>
  <c r="C215" i="17"/>
  <c r="E213" i="17"/>
  <c r="K212" i="17"/>
  <c r="I210" i="17"/>
  <c r="H210" i="17"/>
  <c r="F208" i="17"/>
  <c r="D208" i="17"/>
  <c r="I205" i="17"/>
  <c r="F203" i="17"/>
  <c r="E203" i="17"/>
  <c r="J200" i="17"/>
  <c r="I200" i="17"/>
  <c r="G198" i="17"/>
  <c r="F198" i="17"/>
  <c r="F195" i="17"/>
  <c r="E195" i="17"/>
  <c r="H193" i="17"/>
  <c r="F193" i="17"/>
  <c r="K190" i="17"/>
  <c r="J190" i="17"/>
  <c r="H188" i="17"/>
  <c r="G188" i="17"/>
  <c r="D186" i="17"/>
  <c r="I183" i="17"/>
  <c r="H183" i="17"/>
  <c r="C173" i="17"/>
  <c r="F172" i="17"/>
  <c r="K171" i="17"/>
  <c r="J171" i="17"/>
  <c r="I171" i="17"/>
  <c r="H171" i="17"/>
  <c r="H213" i="17" s="1"/>
  <c r="G171" i="17"/>
  <c r="F171" i="17"/>
  <c r="E171" i="17"/>
  <c r="D171" i="17"/>
  <c r="D213" i="17" s="1"/>
  <c r="K170" i="17"/>
  <c r="J170" i="17"/>
  <c r="J212" i="17" s="1"/>
  <c r="I170" i="17"/>
  <c r="I212" i="17" s="1"/>
  <c r="H170" i="17"/>
  <c r="G170" i="17"/>
  <c r="F170" i="17"/>
  <c r="E170" i="17"/>
  <c r="E212" i="17" s="1"/>
  <c r="D170" i="17"/>
  <c r="D212" i="17" s="1"/>
  <c r="K169" i="17"/>
  <c r="J169" i="17"/>
  <c r="I169" i="17"/>
  <c r="H169" i="17"/>
  <c r="H211" i="17" s="1"/>
  <c r="G169" i="17"/>
  <c r="F169" i="17"/>
  <c r="E169" i="17"/>
  <c r="D169" i="17"/>
  <c r="D211" i="17" s="1"/>
  <c r="K168" i="17"/>
  <c r="K210" i="17" s="1"/>
  <c r="J168" i="17"/>
  <c r="J210" i="17" s="1"/>
  <c r="I168" i="17"/>
  <c r="H168" i="17"/>
  <c r="G168" i="17"/>
  <c r="G210" i="17" s="1"/>
  <c r="F168" i="17"/>
  <c r="F210" i="17" s="1"/>
  <c r="E168" i="17"/>
  <c r="E210" i="17" s="1"/>
  <c r="D168" i="17"/>
  <c r="D210" i="17" s="1"/>
  <c r="K167" i="17"/>
  <c r="J167" i="17"/>
  <c r="I167" i="17"/>
  <c r="I209" i="17" s="1"/>
  <c r="H167" i="17"/>
  <c r="H209" i="17" s="1"/>
  <c r="G167" i="17"/>
  <c r="F167" i="17"/>
  <c r="E167" i="17"/>
  <c r="D167" i="17"/>
  <c r="D209" i="17" s="1"/>
  <c r="K166" i="17"/>
  <c r="K208" i="17" s="1"/>
  <c r="J166" i="17"/>
  <c r="J208" i="17" s="1"/>
  <c r="I166" i="17"/>
  <c r="H166" i="17"/>
  <c r="G166" i="17"/>
  <c r="G208" i="17" s="1"/>
  <c r="F166" i="17"/>
  <c r="E166" i="17"/>
  <c r="E208" i="17" s="1"/>
  <c r="D166" i="17"/>
  <c r="K165" i="17"/>
  <c r="J165" i="17"/>
  <c r="J207" i="17" s="1"/>
  <c r="I165" i="17"/>
  <c r="I207" i="17" s="1"/>
  <c r="H165" i="17"/>
  <c r="H207" i="17" s="1"/>
  <c r="G165" i="17"/>
  <c r="F165" i="17"/>
  <c r="E165" i="17"/>
  <c r="E207" i="17" s="1"/>
  <c r="D165" i="17"/>
  <c r="D207" i="17" s="1"/>
  <c r="K164" i="17"/>
  <c r="K206" i="17" s="1"/>
  <c r="J164" i="17"/>
  <c r="J206" i="17" s="1"/>
  <c r="I164" i="17"/>
  <c r="H164" i="17"/>
  <c r="G164" i="17"/>
  <c r="G206" i="17" s="1"/>
  <c r="F164" i="17"/>
  <c r="E164" i="17"/>
  <c r="E206" i="17" s="1"/>
  <c r="D164" i="17"/>
  <c r="D206" i="17" s="1"/>
  <c r="K163" i="17"/>
  <c r="J163" i="17"/>
  <c r="I163" i="17"/>
  <c r="H163" i="17"/>
  <c r="H205" i="17" s="1"/>
  <c r="G163" i="17"/>
  <c r="F163" i="17"/>
  <c r="E163" i="17"/>
  <c r="E205" i="17" s="1"/>
  <c r="D163" i="17"/>
  <c r="D205" i="17" s="1"/>
  <c r="K162" i="17"/>
  <c r="K204" i="17" s="1"/>
  <c r="J162" i="17"/>
  <c r="J204" i="17" s="1"/>
  <c r="I162" i="17"/>
  <c r="I204" i="17" s="1"/>
  <c r="H162" i="17"/>
  <c r="G162" i="17"/>
  <c r="G204" i="17" s="1"/>
  <c r="F162" i="17"/>
  <c r="E162" i="17"/>
  <c r="E204" i="17" s="1"/>
  <c r="D162" i="17"/>
  <c r="D204" i="17" s="1"/>
  <c r="K161" i="17"/>
  <c r="J161" i="17"/>
  <c r="I161" i="17"/>
  <c r="H161" i="17"/>
  <c r="H203" i="17" s="1"/>
  <c r="G161" i="17"/>
  <c r="F161" i="17"/>
  <c r="E161" i="17"/>
  <c r="D161" i="17"/>
  <c r="D203" i="17" s="1"/>
  <c r="K160" i="17"/>
  <c r="K202" i="17" s="1"/>
  <c r="J160" i="17"/>
  <c r="J202" i="17" s="1"/>
  <c r="I160" i="17"/>
  <c r="I202" i="17" s="1"/>
  <c r="H160" i="17"/>
  <c r="G160" i="17"/>
  <c r="G202" i="17" s="1"/>
  <c r="F160" i="17"/>
  <c r="F202" i="17" s="1"/>
  <c r="E160" i="17"/>
  <c r="E202" i="17" s="1"/>
  <c r="D160" i="17"/>
  <c r="D202" i="17" s="1"/>
  <c r="K159" i="17"/>
  <c r="J159" i="17"/>
  <c r="I159" i="17"/>
  <c r="H159" i="17"/>
  <c r="H201" i="17" s="1"/>
  <c r="G159" i="17"/>
  <c r="F159" i="17"/>
  <c r="E159" i="17"/>
  <c r="E201" i="17" s="1"/>
  <c r="D159" i="17"/>
  <c r="D201" i="17" s="1"/>
  <c r="K158" i="17"/>
  <c r="K200" i="17" s="1"/>
  <c r="J158" i="17"/>
  <c r="I158" i="17"/>
  <c r="H158" i="17"/>
  <c r="G158" i="17"/>
  <c r="G200" i="17" s="1"/>
  <c r="F158" i="17"/>
  <c r="F200" i="17" s="1"/>
  <c r="E158" i="17"/>
  <c r="E200" i="17" s="1"/>
  <c r="D158" i="17"/>
  <c r="D200" i="17" s="1"/>
  <c r="K157" i="17"/>
  <c r="J157" i="17"/>
  <c r="I157" i="17"/>
  <c r="I199" i="17" s="1"/>
  <c r="H157" i="17"/>
  <c r="H199" i="17" s="1"/>
  <c r="G157" i="17"/>
  <c r="F157" i="17"/>
  <c r="E157" i="17"/>
  <c r="D157" i="17"/>
  <c r="D199" i="17" s="1"/>
  <c r="K156" i="17"/>
  <c r="K198" i="17" s="1"/>
  <c r="J156" i="17"/>
  <c r="J198" i="17" s="1"/>
  <c r="I156" i="17"/>
  <c r="I198" i="17" s="1"/>
  <c r="H156" i="17"/>
  <c r="G156" i="17"/>
  <c r="F156" i="17"/>
  <c r="E156" i="17"/>
  <c r="E198" i="17" s="1"/>
  <c r="D156" i="17"/>
  <c r="D198" i="17" s="1"/>
  <c r="K155" i="17"/>
  <c r="J155" i="17"/>
  <c r="I155" i="17"/>
  <c r="H155" i="17"/>
  <c r="H197" i="17" s="1"/>
  <c r="G155" i="17"/>
  <c r="F155" i="17"/>
  <c r="E155" i="17"/>
  <c r="E197" i="17" s="1"/>
  <c r="D155" i="17"/>
  <c r="D197" i="17" s="1"/>
  <c r="K154" i="17"/>
  <c r="K196" i="17" s="1"/>
  <c r="J154" i="17"/>
  <c r="J196" i="17" s="1"/>
  <c r="I154" i="17"/>
  <c r="H154" i="17"/>
  <c r="G154" i="17"/>
  <c r="F154" i="17"/>
  <c r="E154" i="17"/>
  <c r="E196" i="17" s="1"/>
  <c r="D154" i="17"/>
  <c r="D196" i="17" s="1"/>
  <c r="K153" i="17"/>
  <c r="J153" i="17"/>
  <c r="I153" i="17"/>
  <c r="H153" i="17"/>
  <c r="H195" i="17" s="1"/>
  <c r="G153" i="17"/>
  <c r="G195" i="17" s="1"/>
  <c r="F153" i="17"/>
  <c r="E153" i="17"/>
  <c r="D153" i="17"/>
  <c r="D195" i="17" s="1"/>
  <c r="K152" i="17"/>
  <c r="K194" i="17" s="1"/>
  <c r="J152" i="17"/>
  <c r="J194" i="17" s="1"/>
  <c r="I152" i="17"/>
  <c r="I194" i="17" s="1"/>
  <c r="H152" i="17"/>
  <c r="G152" i="17"/>
  <c r="F152" i="17"/>
  <c r="E152" i="17"/>
  <c r="E194" i="17" s="1"/>
  <c r="D152" i="17"/>
  <c r="D194" i="17" s="1"/>
  <c r="K151" i="17"/>
  <c r="J151" i="17"/>
  <c r="I151" i="17"/>
  <c r="I193" i="17" s="1"/>
  <c r="H151" i="17"/>
  <c r="G151" i="17"/>
  <c r="F151" i="17"/>
  <c r="E151" i="17"/>
  <c r="E193" i="17" s="1"/>
  <c r="D151" i="17"/>
  <c r="D193" i="17" s="1"/>
  <c r="K150" i="17"/>
  <c r="K192" i="17" s="1"/>
  <c r="J150" i="17"/>
  <c r="J192" i="17" s="1"/>
  <c r="I150" i="17"/>
  <c r="H150" i="17"/>
  <c r="G150" i="17"/>
  <c r="G192" i="17" s="1"/>
  <c r="F150" i="17"/>
  <c r="E150" i="17"/>
  <c r="E192" i="17" s="1"/>
  <c r="D150" i="17"/>
  <c r="D192" i="17" s="1"/>
  <c r="K149" i="17"/>
  <c r="J149" i="17"/>
  <c r="I149" i="17"/>
  <c r="I191" i="17" s="1"/>
  <c r="H149" i="17"/>
  <c r="H191" i="17" s="1"/>
  <c r="G149" i="17"/>
  <c r="F149" i="17"/>
  <c r="E149" i="17"/>
  <c r="E191" i="17" s="1"/>
  <c r="D149" i="17"/>
  <c r="D191" i="17" s="1"/>
  <c r="K148" i="17"/>
  <c r="J148" i="17"/>
  <c r="I148" i="17"/>
  <c r="I190" i="17" s="1"/>
  <c r="H148" i="17"/>
  <c r="G148" i="17"/>
  <c r="G190" i="17" s="1"/>
  <c r="F148" i="17"/>
  <c r="E148" i="17"/>
  <c r="E190" i="17" s="1"/>
  <c r="D148" i="17"/>
  <c r="D190" i="17" s="1"/>
  <c r="K147" i="17"/>
  <c r="J147" i="17"/>
  <c r="I147" i="17"/>
  <c r="I189" i="17" s="1"/>
  <c r="H147" i="17"/>
  <c r="H189" i="17" s="1"/>
  <c r="G147" i="17"/>
  <c r="F147" i="17"/>
  <c r="E147" i="17"/>
  <c r="E189" i="17" s="1"/>
  <c r="D147" i="17"/>
  <c r="D189" i="17" s="1"/>
  <c r="K146" i="17"/>
  <c r="K188" i="17" s="1"/>
  <c r="J146" i="17"/>
  <c r="J188" i="17" s="1"/>
  <c r="I146" i="17"/>
  <c r="I188" i="17" s="1"/>
  <c r="H146" i="17"/>
  <c r="G146" i="17"/>
  <c r="F146" i="17"/>
  <c r="E146" i="17"/>
  <c r="E188" i="17" s="1"/>
  <c r="D146" i="17"/>
  <c r="D188" i="17" s="1"/>
  <c r="K145" i="17"/>
  <c r="J145" i="17"/>
  <c r="I145" i="17"/>
  <c r="I187" i="17" s="1"/>
  <c r="H145" i="17"/>
  <c r="H187" i="17" s="1"/>
  <c r="G145" i="17"/>
  <c r="F145" i="17"/>
  <c r="E145" i="17"/>
  <c r="E187" i="17" s="1"/>
  <c r="D145" i="17"/>
  <c r="D187" i="17" s="1"/>
  <c r="K144" i="17"/>
  <c r="K186" i="17" s="1"/>
  <c r="J144" i="17"/>
  <c r="J186" i="17" s="1"/>
  <c r="I144" i="17"/>
  <c r="I186" i="17" s="1"/>
  <c r="H144" i="17"/>
  <c r="G144" i="17"/>
  <c r="G186" i="17" s="1"/>
  <c r="F144" i="17"/>
  <c r="F186" i="17" s="1"/>
  <c r="E144" i="17"/>
  <c r="E186" i="17" s="1"/>
  <c r="D144" i="17"/>
  <c r="K143" i="17"/>
  <c r="J143" i="17"/>
  <c r="I143" i="17"/>
  <c r="I185" i="17" s="1"/>
  <c r="H143" i="17"/>
  <c r="H185" i="17" s="1"/>
  <c r="G143" i="17"/>
  <c r="F143" i="17"/>
  <c r="E143" i="17"/>
  <c r="E185" i="17" s="1"/>
  <c r="D143" i="17"/>
  <c r="D185" i="17" s="1"/>
  <c r="K142" i="17"/>
  <c r="K184" i="17" s="1"/>
  <c r="J142" i="17"/>
  <c r="J184" i="17" s="1"/>
  <c r="I142" i="17"/>
  <c r="I184" i="17" s="1"/>
  <c r="H142" i="17"/>
  <c r="G142" i="17"/>
  <c r="F142" i="17"/>
  <c r="E142" i="17"/>
  <c r="E184" i="17" s="1"/>
  <c r="D142" i="17"/>
  <c r="D184" i="17" s="1"/>
  <c r="K141" i="17"/>
  <c r="K172" i="17" s="1"/>
  <c r="J141" i="17"/>
  <c r="J183" i="17" s="1"/>
  <c r="I141" i="17"/>
  <c r="I172" i="17" s="1"/>
  <c r="H141" i="17"/>
  <c r="H172" i="17" s="1"/>
  <c r="G141" i="17"/>
  <c r="G172" i="17" s="1"/>
  <c r="F141" i="17"/>
  <c r="E141" i="17"/>
  <c r="E172" i="17" s="1"/>
  <c r="D141" i="17"/>
  <c r="D183" i="17" s="1"/>
  <c r="C131" i="17"/>
  <c r="G128" i="17"/>
  <c r="I127" i="17"/>
  <c r="H127" i="17"/>
  <c r="K126" i="17"/>
  <c r="D126" i="17"/>
  <c r="E125" i="17"/>
  <c r="D125" i="17"/>
  <c r="G124" i="17"/>
  <c r="I123" i="17"/>
  <c r="H122" i="17"/>
  <c r="D121" i="17"/>
  <c r="E120" i="17"/>
  <c r="D120" i="17"/>
  <c r="J117" i="17"/>
  <c r="I117" i="17"/>
  <c r="D117" i="17"/>
  <c r="D116" i="17"/>
  <c r="F115" i="17"/>
  <c r="E115" i="17"/>
  <c r="I113" i="17"/>
  <c r="K112" i="17"/>
  <c r="J112" i="17"/>
  <c r="D112" i="17"/>
  <c r="F111" i="17"/>
  <c r="E111" i="17"/>
  <c r="G110" i="17"/>
  <c r="E110" i="17"/>
  <c r="D109" i="17"/>
  <c r="K108" i="17"/>
  <c r="E108" i="17"/>
  <c r="D108" i="17"/>
  <c r="K106" i="17"/>
  <c r="D106" i="17"/>
  <c r="K103" i="17"/>
  <c r="G102" i="17"/>
  <c r="J101" i="17"/>
  <c r="I101" i="17"/>
  <c r="G100" i="17"/>
  <c r="F100" i="17"/>
  <c r="I99" i="17"/>
  <c r="H99" i="17"/>
  <c r="D99" i="17"/>
  <c r="H95" i="17"/>
  <c r="C89" i="17"/>
  <c r="K87" i="17"/>
  <c r="J87" i="17"/>
  <c r="I87" i="17"/>
  <c r="I129" i="17" s="1"/>
  <c r="H87" i="17"/>
  <c r="H129" i="17" s="1"/>
  <c r="G87" i="17"/>
  <c r="G129" i="17" s="1"/>
  <c r="F87" i="17"/>
  <c r="E87" i="17"/>
  <c r="D87" i="17"/>
  <c r="D129" i="17" s="1"/>
  <c r="K86" i="17"/>
  <c r="J86" i="17"/>
  <c r="J128" i="17" s="1"/>
  <c r="I86" i="17"/>
  <c r="I128" i="17" s="1"/>
  <c r="H86" i="17"/>
  <c r="G86" i="17"/>
  <c r="F86" i="17"/>
  <c r="E86" i="17"/>
  <c r="E128" i="17" s="1"/>
  <c r="D86" i="17"/>
  <c r="D128" i="17" s="1"/>
  <c r="K85" i="17"/>
  <c r="J85" i="17"/>
  <c r="I85" i="17"/>
  <c r="H85" i="17"/>
  <c r="G85" i="17"/>
  <c r="G127" i="17" s="1"/>
  <c r="F85" i="17"/>
  <c r="F127" i="17" s="1"/>
  <c r="E85" i="17"/>
  <c r="E127" i="17" s="1"/>
  <c r="D85" i="17"/>
  <c r="D127" i="17" s="1"/>
  <c r="K84" i="17"/>
  <c r="J84" i="17"/>
  <c r="J126" i="17" s="1"/>
  <c r="I84" i="17"/>
  <c r="I126" i="17" s="1"/>
  <c r="H84" i="17"/>
  <c r="H126" i="17" s="1"/>
  <c r="G84" i="17"/>
  <c r="F84" i="17"/>
  <c r="E84" i="17"/>
  <c r="E126" i="17" s="1"/>
  <c r="D84" i="17"/>
  <c r="K83" i="17"/>
  <c r="J83" i="17"/>
  <c r="I83" i="17"/>
  <c r="I125" i="17" s="1"/>
  <c r="H83" i="17"/>
  <c r="H125" i="17" s="1"/>
  <c r="G83" i="17"/>
  <c r="G125" i="17" s="1"/>
  <c r="F83" i="17"/>
  <c r="F125" i="17" s="1"/>
  <c r="E83" i="17"/>
  <c r="D83" i="17"/>
  <c r="K82" i="17"/>
  <c r="J82" i="17"/>
  <c r="J124" i="17" s="1"/>
  <c r="I82" i="17"/>
  <c r="I124" i="17" s="1"/>
  <c r="H82" i="17"/>
  <c r="H124" i="17" s="1"/>
  <c r="G82" i="17"/>
  <c r="F82" i="17"/>
  <c r="E82" i="17"/>
  <c r="E124" i="17" s="1"/>
  <c r="D82" i="17"/>
  <c r="D124" i="17" s="1"/>
  <c r="K81" i="17"/>
  <c r="J81" i="17"/>
  <c r="I81" i="17"/>
  <c r="H81" i="17"/>
  <c r="H123" i="17" s="1"/>
  <c r="G81" i="17"/>
  <c r="G123" i="17" s="1"/>
  <c r="F81" i="17"/>
  <c r="F123" i="17" s="1"/>
  <c r="E81" i="17"/>
  <c r="E123" i="17" s="1"/>
  <c r="D81" i="17"/>
  <c r="D123" i="17" s="1"/>
  <c r="K80" i="17"/>
  <c r="K122" i="17" s="1"/>
  <c r="J80" i="17"/>
  <c r="J122" i="17" s="1"/>
  <c r="I80" i="17"/>
  <c r="I122" i="17" s="1"/>
  <c r="H80" i="17"/>
  <c r="G80" i="17"/>
  <c r="F80" i="17"/>
  <c r="E80" i="17"/>
  <c r="E122" i="17" s="1"/>
  <c r="D80" i="17"/>
  <c r="D122" i="17" s="1"/>
  <c r="K79" i="17"/>
  <c r="J79" i="17"/>
  <c r="I79" i="17"/>
  <c r="I121" i="17" s="1"/>
  <c r="H79" i="17"/>
  <c r="H121" i="17" s="1"/>
  <c r="G79" i="17"/>
  <c r="G121" i="17" s="1"/>
  <c r="F79" i="17"/>
  <c r="F121" i="17" s="1"/>
  <c r="E79" i="17"/>
  <c r="D79" i="17"/>
  <c r="K78" i="17"/>
  <c r="J78" i="17"/>
  <c r="J120" i="17" s="1"/>
  <c r="I78" i="17"/>
  <c r="I120" i="17" s="1"/>
  <c r="H78" i="17"/>
  <c r="H120" i="17" s="1"/>
  <c r="G78" i="17"/>
  <c r="G120" i="17" s="1"/>
  <c r="F78" i="17"/>
  <c r="E78" i="17"/>
  <c r="D78" i="17"/>
  <c r="K77" i="17"/>
  <c r="J77" i="17"/>
  <c r="I77" i="17"/>
  <c r="I119" i="17" s="1"/>
  <c r="H77" i="17"/>
  <c r="H119" i="17" s="1"/>
  <c r="G77" i="17"/>
  <c r="G119" i="17" s="1"/>
  <c r="F77" i="17"/>
  <c r="F119" i="17" s="1"/>
  <c r="E77" i="17"/>
  <c r="E119" i="17" s="1"/>
  <c r="D77" i="17"/>
  <c r="D119" i="17" s="1"/>
  <c r="K76" i="17"/>
  <c r="J76" i="17"/>
  <c r="J118" i="17" s="1"/>
  <c r="I76" i="17"/>
  <c r="I118" i="17" s="1"/>
  <c r="H76" i="17"/>
  <c r="G76" i="17"/>
  <c r="F76" i="17"/>
  <c r="E76" i="17"/>
  <c r="E118" i="17" s="1"/>
  <c r="D76" i="17"/>
  <c r="D118" i="17" s="1"/>
  <c r="K75" i="17"/>
  <c r="J75" i="17"/>
  <c r="I75" i="17"/>
  <c r="H75" i="17"/>
  <c r="H117" i="17" s="1"/>
  <c r="G75" i="17"/>
  <c r="G117" i="17" s="1"/>
  <c r="F75" i="17"/>
  <c r="F117" i="17" s="1"/>
  <c r="E75" i="17"/>
  <c r="E117" i="17" s="1"/>
  <c r="D75" i="17"/>
  <c r="K74" i="17"/>
  <c r="J74" i="17"/>
  <c r="J116" i="17" s="1"/>
  <c r="I74" i="17"/>
  <c r="I116" i="17" s="1"/>
  <c r="H74" i="17"/>
  <c r="H116" i="17" s="1"/>
  <c r="G74" i="17"/>
  <c r="F74" i="17"/>
  <c r="E74" i="17"/>
  <c r="E116" i="17" s="1"/>
  <c r="D74" i="17"/>
  <c r="K73" i="17"/>
  <c r="J73" i="17"/>
  <c r="I73" i="17"/>
  <c r="I115" i="17" s="1"/>
  <c r="H73" i="17"/>
  <c r="H115" i="17" s="1"/>
  <c r="G73" i="17"/>
  <c r="G115" i="17" s="1"/>
  <c r="F73" i="17"/>
  <c r="E73" i="17"/>
  <c r="D73" i="17"/>
  <c r="D115" i="17" s="1"/>
  <c r="K72" i="17"/>
  <c r="K114" i="17" s="1"/>
  <c r="J72" i="17"/>
  <c r="J114" i="17" s="1"/>
  <c r="I72" i="17"/>
  <c r="I114" i="17" s="1"/>
  <c r="H72" i="17"/>
  <c r="G72" i="17"/>
  <c r="F72" i="17"/>
  <c r="E72" i="17"/>
  <c r="E114" i="17" s="1"/>
  <c r="D72" i="17"/>
  <c r="D114" i="17" s="1"/>
  <c r="K71" i="17"/>
  <c r="J71" i="17"/>
  <c r="I71" i="17"/>
  <c r="H71" i="17"/>
  <c r="H113" i="17" s="1"/>
  <c r="G71" i="17"/>
  <c r="G113" i="17" s="1"/>
  <c r="F71" i="17"/>
  <c r="F113" i="17" s="1"/>
  <c r="E71" i="17"/>
  <c r="E113" i="17" s="1"/>
  <c r="D71" i="17"/>
  <c r="D113" i="17" s="1"/>
  <c r="K70" i="17"/>
  <c r="J70" i="17"/>
  <c r="I70" i="17"/>
  <c r="I112" i="17" s="1"/>
  <c r="H70" i="17"/>
  <c r="H112" i="17" s="1"/>
  <c r="G70" i="17"/>
  <c r="G112" i="17" s="1"/>
  <c r="F70" i="17"/>
  <c r="E70" i="17"/>
  <c r="E112" i="17" s="1"/>
  <c r="D70" i="17"/>
  <c r="K69" i="17"/>
  <c r="J69" i="17"/>
  <c r="I69" i="17"/>
  <c r="I111" i="17" s="1"/>
  <c r="H69" i="17"/>
  <c r="H111" i="17" s="1"/>
  <c r="G69" i="17"/>
  <c r="G111" i="17" s="1"/>
  <c r="F69" i="17"/>
  <c r="E69" i="17"/>
  <c r="D69" i="17"/>
  <c r="D111" i="17" s="1"/>
  <c r="K68" i="17"/>
  <c r="J68" i="17"/>
  <c r="J110" i="17" s="1"/>
  <c r="I68" i="17"/>
  <c r="I110" i="17" s="1"/>
  <c r="H68" i="17"/>
  <c r="H110" i="17" s="1"/>
  <c r="G68" i="17"/>
  <c r="F68" i="17"/>
  <c r="E68" i="17"/>
  <c r="D68" i="17"/>
  <c r="D110" i="17" s="1"/>
  <c r="K67" i="17"/>
  <c r="J67" i="17"/>
  <c r="I67" i="17"/>
  <c r="H67" i="17"/>
  <c r="H109" i="17" s="1"/>
  <c r="G67" i="17"/>
  <c r="G109" i="17" s="1"/>
  <c r="F67" i="17"/>
  <c r="F109" i="17" s="1"/>
  <c r="E67" i="17"/>
  <c r="E109" i="17" s="1"/>
  <c r="D67" i="17"/>
  <c r="K66" i="17"/>
  <c r="J66" i="17"/>
  <c r="J108" i="17" s="1"/>
  <c r="I66" i="17"/>
  <c r="I108" i="17" s="1"/>
  <c r="H66" i="17"/>
  <c r="H108" i="17" s="1"/>
  <c r="G66" i="17"/>
  <c r="F66" i="17"/>
  <c r="F108" i="17" s="1"/>
  <c r="E66" i="17"/>
  <c r="D66" i="17"/>
  <c r="K65" i="17"/>
  <c r="J65" i="17"/>
  <c r="I65" i="17"/>
  <c r="I107" i="17" s="1"/>
  <c r="H65" i="17"/>
  <c r="H107" i="17" s="1"/>
  <c r="G65" i="17"/>
  <c r="G107" i="17" s="1"/>
  <c r="F65" i="17"/>
  <c r="F107" i="17" s="1"/>
  <c r="E65" i="17"/>
  <c r="E107" i="17" s="1"/>
  <c r="D65" i="17"/>
  <c r="D107" i="17" s="1"/>
  <c r="K64" i="17"/>
  <c r="J64" i="17"/>
  <c r="J106" i="17" s="1"/>
  <c r="I64" i="17"/>
  <c r="I106" i="17" s="1"/>
  <c r="H64" i="17"/>
  <c r="H106" i="17" s="1"/>
  <c r="G64" i="17"/>
  <c r="F64" i="17"/>
  <c r="E64" i="17"/>
  <c r="E106" i="17" s="1"/>
  <c r="D64" i="17"/>
  <c r="K63" i="17"/>
  <c r="J63" i="17"/>
  <c r="I63" i="17"/>
  <c r="I105" i="17" s="1"/>
  <c r="H63" i="17"/>
  <c r="H105" i="17" s="1"/>
  <c r="G63" i="17"/>
  <c r="G105" i="17" s="1"/>
  <c r="F63" i="17"/>
  <c r="F105" i="17" s="1"/>
  <c r="E63" i="17"/>
  <c r="E105" i="17" s="1"/>
  <c r="D63" i="17"/>
  <c r="D105" i="17" s="1"/>
  <c r="K62" i="17"/>
  <c r="J62" i="17"/>
  <c r="J104" i="17" s="1"/>
  <c r="I62" i="17"/>
  <c r="I104" i="17" s="1"/>
  <c r="H62" i="17"/>
  <c r="G62" i="17"/>
  <c r="F62" i="17"/>
  <c r="F104" i="17" s="1"/>
  <c r="E62" i="17"/>
  <c r="E104" i="17" s="1"/>
  <c r="D62" i="17"/>
  <c r="D104" i="17" s="1"/>
  <c r="K61" i="17"/>
  <c r="J61" i="17"/>
  <c r="I61" i="17"/>
  <c r="I103" i="17" s="1"/>
  <c r="H61" i="17"/>
  <c r="H103" i="17" s="1"/>
  <c r="G61" i="17"/>
  <c r="G103" i="17" s="1"/>
  <c r="F61" i="17"/>
  <c r="E61" i="17"/>
  <c r="E103" i="17" s="1"/>
  <c r="D61" i="17"/>
  <c r="D103" i="17" s="1"/>
  <c r="K60" i="17"/>
  <c r="J60" i="17"/>
  <c r="J102" i="17" s="1"/>
  <c r="I60" i="17"/>
  <c r="I102" i="17" s="1"/>
  <c r="H60" i="17"/>
  <c r="G60" i="17"/>
  <c r="F60" i="17"/>
  <c r="F102" i="17" s="1"/>
  <c r="E60" i="17"/>
  <c r="E102" i="17" s="1"/>
  <c r="D60" i="17"/>
  <c r="D102" i="17" s="1"/>
  <c r="K59" i="17"/>
  <c r="J59" i="17"/>
  <c r="I59" i="17"/>
  <c r="H59" i="17"/>
  <c r="H101" i="17" s="1"/>
  <c r="G59" i="17"/>
  <c r="G101" i="17" s="1"/>
  <c r="F59" i="17"/>
  <c r="F101" i="17" s="1"/>
  <c r="E59" i="17"/>
  <c r="D59" i="17"/>
  <c r="D101" i="17" s="1"/>
  <c r="K58" i="17"/>
  <c r="K100" i="17" s="1"/>
  <c r="J58" i="17"/>
  <c r="J100" i="17" s="1"/>
  <c r="I58" i="17"/>
  <c r="I100" i="17" s="1"/>
  <c r="H58" i="17"/>
  <c r="H100" i="17" s="1"/>
  <c r="G58" i="17"/>
  <c r="F58" i="17"/>
  <c r="E58" i="17"/>
  <c r="E88" i="17" s="1"/>
  <c r="D58" i="17"/>
  <c r="D100" i="17" s="1"/>
  <c r="K57" i="17"/>
  <c r="J57" i="17"/>
  <c r="I57" i="17"/>
  <c r="H57" i="17"/>
  <c r="H88" i="17" s="1"/>
  <c r="G57" i="17"/>
  <c r="G99" i="17" s="1"/>
  <c r="F57" i="17"/>
  <c r="F99" i="17" s="1"/>
  <c r="E57" i="17"/>
  <c r="E99" i="17" s="1"/>
  <c r="D57" i="17"/>
  <c r="D88" i="17" s="1"/>
  <c r="C47" i="17"/>
  <c r="K45" i="17"/>
  <c r="K213" i="17" s="1"/>
  <c r="J45" i="17"/>
  <c r="J213" i="17" s="1"/>
  <c r="I45" i="17"/>
  <c r="I213" i="17" s="1"/>
  <c r="H45" i="17"/>
  <c r="G45" i="17"/>
  <c r="F45" i="17"/>
  <c r="F296" i="17" s="1"/>
  <c r="E45" i="17"/>
  <c r="E129" i="17" s="1"/>
  <c r="D45" i="17"/>
  <c r="K44" i="17"/>
  <c r="K295" i="17" s="1"/>
  <c r="J44" i="17"/>
  <c r="I44" i="17"/>
  <c r="H44" i="17"/>
  <c r="H212" i="17" s="1"/>
  <c r="G44" i="17"/>
  <c r="G212" i="17" s="1"/>
  <c r="F44" i="17"/>
  <c r="F212" i="17" s="1"/>
  <c r="E44" i="17"/>
  <c r="D44" i="17"/>
  <c r="D295" i="17" s="1"/>
  <c r="K43" i="17"/>
  <c r="K127" i="17" s="1"/>
  <c r="J43" i="17"/>
  <c r="I43" i="17"/>
  <c r="I211" i="17" s="1"/>
  <c r="H43" i="17"/>
  <c r="G43" i="17"/>
  <c r="F43" i="17"/>
  <c r="F294" i="17" s="1"/>
  <c r="E43" i="17"/>
  <c r="E211" i="17" s="1"/>
  <c r="D43" i="17"/>
  <c r="K42" i="17"/>
  <c r="K293" i="17" s="1"/>
  <c r="J42" i="17"/>
  <c r="I42" i="17"/>
  <c r="H42" i="17"/>
  <c r="G42" i="17"/>
  <c r="G126" i="17" s="1"/>
  <c r="F42" i="17"/>
  <c r="F293" i="17" s="1"/>
  <c r="E42" i="17"/>
  <c r="D42" i="17"/>
  <c r="D293" i="17" s="1"/>
  <c r="K41" i="17"/>
  <c r="J41" i="17"/>
  <c r="I41" i="17"/>
  <c r="H41" i="17"/>
  <c r="H292" i="17" s="1"/>
  <c r="G41" i="17"/>
  <c r="G292" i="17" s="1"/>
  <c r="F41" i="17"/>
  <c r="F292" i="17" s="1"/>
  <c r="E41" i="17"/>
  <c r="E209" i="17" s="1"/>
  <c r="D41" i="17"/>
  <c r="K40" i="17"/>
  <c r="K124" i="17" s="1"/>
  <c r="J40" i="17"/>
  <c r="I40" i="17"/>
  <c r="I208" i="17" s="1"/>
  <c r="H40" i="17"/>
  <c r="H208" i="17" s="1"/>
  <c r="G40" i="17"/>
  <c r="F40" i="17"/>
  <c r="E40" i="17"/>
  <c r="D40" i="17"/>
  <c r="D291" i="17" s="1"/>
  <c r="K39" i="17"/>
  <c r="K123" i="17" s="1"/>
  <c r="J39" i="17"/>
  <c r="I39" i="17"/>
  <c r="H39" i="17"/>
  <c r="G39" i="17"/>
  <c r="G290" i="17" s="1"/>
  <c r="F39" i="17"/>
  <c r="F290" i="17" s="1"/>
  <c r="E39" i="17"/>
  <c r="D39" i="17"/>
  <c r="K38" i="17"/>
  <c r="J38" i="17"/>
  <c r="I38" i="17"/>
  <c r="I206" i="17" s="1"/>
  <c r="H38" i="17"/>
  <c r="H206" i="17" s="1"/>
  <c r="G38" i="17"/>
  <c r="G122" i="17" s="1"/>
  <c r="F38" i="17"/>
  <c r="F206" i="17" s="1"/>
  <c r="E38" i="17"/>
  <c r="D38" i="17"/>
  <c r="D289" i="17" s="1"/>
  <c r="K37" i="17"/>
  <c r="K121" i="17" s="1"/>
  <c r="J37" i="17"/>
  <c r="J205" i="17" s="1"/>
  <c r="I37" i="17"/>
  <c r="H37" i="17"/>
  <c r="G37" i="17"/>
  <c r="F37" i="17"/>
  <c r="F205" i="17" s="1"/>
  <c r="E37" i="17"/>
  <c r="E121" i="17" s="1"/>
  <c r="D37" i="17"/>
  <c r="K36" i="17"/>
  <c r="K287" i="17" s="1"/>
  <c r="J36" i="17"/>
  <c r="I36" i="17"/>
  <c r="H36" i="17"/>
  <c r="H204" i="17" s="1"/>
  <c r="G36" i="17"/>
  <c r="F36" i="17"/>
  <c r="F204" i="17" s="1"/>
  <c r="E36" i="17"/>
  <c r="D36" i="17"/>
  <c r="K35" i="17"/>
  <c r="K119" i="17" s="1"/>
  <c r="J35" i="17"/>
  <c r="J203" i="17" s="1"/>
  <c r="I35" i="17"/>
  <c r="I203" i="17" s="1"/>
  <c r="H35" i="17"/>
  <c r="G35" i="17"/>
  <c r="G286" i="17" s="1"/>
  <c r="F35" i="17"/>
  <c r="F286" i="17" s="1"/>
  <c r="E35" i="17"/>
  <c r="D35" i="17"/>
  <c r="K34" i="17"/>
  <c r="K118" i="17" s="1"/>
  <c r="J34" i="17"/>
  <c r="I34" i="17"/>
  <c r="H34" i="17"/>
  <c r="H202" i="17" s="1"/>
  <c r="G34" i="17"/>
  <c r="G118" i="17" s="1"/>
  <c r="F34" i="17"/>
  <c r="E34" i="17"/>
  <c r="D34" i="17"/>
  <c r="D285" i="17" s="1"/>
  <c r="K33" i="17"/>
  <c r="K117" i="17" s="1"/>
  <c r="J33" i="17"/>
  <c r="J201" i="17" s="1"/>
  <c r="I33" i="17"/>
  <c r="I201" i="17" s="1"/>
  <c r="H33" i="17"/>
  <c r="G33" i="17"/>
  <c r="G284" i="17" s="1"/>
  <c r="F33" i="17"/>
  <c r="F284" i="17" s="1"/>
  <c r="E33" i="17"/>
  <c r="D33" i="17"/>
  <c r="K32" i="17"/>
  <c r="K116" i="17" s="1"/>
  <c r="J32" i="17"/>
  <c r="I32" i="17"/>
  <c r="H32" i="17"/>
  <c r="H200" i="17" s="1"/>
  <c r="G32" i="17"/>
  <c r="G116" i="17" s="1"/>
  <c r="F32" i="17"/>
  <c r="E32" i="17"/>
  <c r="D32" i="17"/>
  <c r="D283" i="17" s="1"/>
  <c r="K31" i="17"/>
  <c r="K115" i="17" s="1"/>
  <c r="J31" i="17"/>
  <c r="J199" i="17" s="1"/>
  <c r="I31" i="17"/>
  <c r="H31" i="17"/>
  <c r="G31" i="17"/>
  <c r="G282" i="17" s="1"/>
  <c r="F31" i="17"/>
  <c r="F282" i="17" s="1"/>
  <c r="E31" i="17"/>
  <c r="E199" i="17" s="1"/>
  <c r="D31" i="17"/>
  <c r="K30" i="17"/>
  <c r="J30" i="17"/>
  <c r="I30" i="17"/>
  <c r="H30" i="17"/>
  <c r="H114" i="17" s="1"/>
  <c r="G30" i="17"/>
  <c r="G114" i="17" s="1"/>
  <c r="F30" i="17"/>
  <c r="E30" i="17"/>
  <c r="D30" i="17"/>
  <c r="D281" i="17" s="1"/>
  <c r="K29" i="17"/>
  <c r="K113" i="17" s="1"/>
  <c r="J29" i="17"/>
  <c r="I29" i="17"/>
  <c r="I197" i="17" s="1"/>
  <c r="H29" i="17"/>
  <c r="G29" i="17"/>
  <c r="G280" i="17" s="1"/>
  <c r="F29" i="17"/>
  <c r="F280" i="17" s="1"/>
  <c r="E29" i="17"/>
  <c r="D29" i="17"/>
  <c r="K28" i="17"/>
  <c r="J28" i="17"/>
  <c r="J279" i="17" s="1"/>
  <c r="I28" i="17"/>
  <c r="I196" i="17" s="1"/>
  <c r="H28" i="17"/>
  <c r="H196" i="17" s="1"/>
  <c r="G28" i="17"/>
  <c r="G196" i="17" s="1"/>
  <c r="F28" i="17"/>
  <c r="F196" i="17" s="1"/>
  <c r="E28" i="17"/>
  <c r="D28" i="17"/>
  <c r="D279" i="17" s="1"/>
  <c r="K27" i="17"/>
  <c r="K111" i="17" s="1"/>
  <c r="J27" i="17"/>
  <c r="J195" i="17" s="1"/>
  <c r="I27" i="17"/>
  <c r="I195" i="17" s="1"/>
  <c r="H27" i="17"/>
  <c r="G27" i="17"/>
  <c r="F27" i="17"/>
  <c r="E27" i="17"/>
  <c r="D27" i="17"/>
  <c r="K26" i="17"/>
  <c r="K110" i="17" s="1"/>
  <c r="J26" i="17"/>
  <c r="J277" i="17" s="1"/>
  <c r="I26" i="17"/>
  <c r="H26" i="17"/>
  <c r="H194" i="17" s="1"/>
  <c r="G26" i="17"/>
  <c r="G194" i="17" s="1"/>
  <c r="F26" i="17"/>
  <c r="F194" i="17" s="1"/>
  <c r="E26" i="17"/>
  <c r="D26" i="17"/>
  <c r="K25" i="17"/>
  <c r="K109" i="17" s="1"/>
  <c r="J25" i="17"/>
  <c r="J193" i="17" s="1"/>
  <c r="I25" i="17"/>
  <c r="I109" i="17" s="1"/>
  <c r="H25" i="17"/>
  <c r="G25" i="17"/>
  <c r="G276" i="17" s="1"/>
  <c r="F25" i="17"/>
  <c r="F276" i="17" s="1"/>
  <c r="E25" i="17"/>
  <c r="D25" i="17"/>
  <c r="K24" i="17"/>
  <c r="J24" i="17"/>
  <c r="J275" i="17" s="1"/>
  <c r="I24" i="17"/>
  <c r="I192" i="17" s="1"/>
  <c r="H24" i="17"/>
  <c r="H192" i="17" s="1"/>
  <c r="G24" i="17"/>
  <c r="G108" i="17" s="1"/>
  <c r="F24" i="17"/>
  <c r="F192" i="17" s="1"/>
  <c r="E24" i="17"/>
  <c r="D24" i="17"/>
  <c r="D275" i="17" s="1"/>
  <c r="K23" i="17"/>
  <c r="J23" i="17"/>
  <c r="J191" i="17" s="1"/>
  <c r="I23" i="17"/>
  <c r="H23" i="17"/>
  <c r="H274" i="17" s="1"/>
  <c r="G23" i="17"/>
  <c r="G274" i="17" s="1"/>
  <c r="F23" i="17"/>
  <c r="F274" i="17" s="1"/>
  <c r="E23" i="17"/>
  <c r="D23" i="17"/>
  <c r="K22" i="17"/>
  <c r="J22" i="17"/>
  <c r="I22" i="17"/>
  <c r="H22" i="17"/>
  <c r="H190" i="17" s="1"/>
  <c r="G22" i="17"/>
  <c r="G106" i="17" s="1"/>
  <c r="F22" i="17"/>
  <c r="F190" i="17" s="1"/>
  <c r="E22" i="17"/>
  <c r="D22" i="17"/>
  <c r="D273" i="17" s="1"/>
  <c r="K21" i="17"/>
  <c r="K105" i="17" s="1"/>
  <c r="J21" i="17"/>
  <c r="J189" i="17" s="1"/>
  <c r="I21" i="17"/>
  <c r="H21" i="17"/>
  <c r="G21" i="17"/>
  <c r="G272" i="17" s="1"/>
  <c r="F21" i="17"/>
  <c r="F272" i="17" s="1"/>
  <c r="E21" i="17"/>
  <c r="D21" i="17"/>
  <c r="K20" i="17"/>
  <c r="K104" i="17" s="1"/>
  <c r="J20" i="17"/>
  <c r="I20" i="17"/>
  <c r="H20" i="17"/>
  <c r="H104" i="17" s="1"/>
  <c r="G20" i="17"/>
  <c r="G271" i="17" s="1"/>
  <c r="F20" i="17"/>
  <c r="F188" i="17" s="1"/>
  <c r="E20" i="17"/>
  <c r="D20" i="17"/>
  <c r="D271" i="17" s="1"/>
  <c r="K19" i="17"/>
  <c r="J19" i="17"/>
  <c r="J187" i="17" s="1"/>
  <c r="I19" i="17"/>
  <c r="H19" i="17"/>
  <c r="G19" i="17"/>
  <c r="G270" i="17" s="1"/>
  <c r="F19" i="17"/>
  <c r="F270" i="17" s="1"/>
  <c r="E19" i="17"/>
  <c r="D19" i="17"/>
  <c r="K18" i="17"/>
  <c r="K102" i="17" s="1"/>
  <c r="J18" i="17"/>
  <c r="I18" i="17"/>
  <c r="H18" i="17"/>
  <c r="H102" i="17" s="1"/>
  <c r="G18" i="17"/>
  <c r="F18" i="17"/>
  <c r="E18" i="17"/>
  <c r="D18" i="17"/>
  <c r="D269" i="17" s="1"/>
  <c r="K17" i="17"/>
  <c r="K101" i="17" s="1"/>
  <c r="J17" i="17"/>
  <c r="J185" i="17" s="1"/>
  <c r="I17" i="17"/>
  <c r="H17" i="17"/>
  <c r="G17" i="17"/>
  <c r="G268" i="17" s="1"/>
  <c r="F17" i="17"/>
  <c r="F268" i="17" s="1"/>
  <c r="E17" i="17"/>
  <c r="E101" i="17" s="1"/>
  <c r="D17" i="17"/>
  <c r="K16" i="17"/>
  <c r="J16" i="17"/>
  <c r="I16" i="17"/>
  <c r="I46" i="17" s="1"/>
  <c r="H16" i="17"/>
  <c r="H184" i="17" s="1"/>
  <c r="G16" i="17"/>
  <c r="G184" i="17" s="1"/>
  <c r="F16" i="17"/>
  <c r="F184" i="17" s="1"/>
  <c r="E16" i="17"/>
  <c r="D16" i="17"/>
  <c r="D267" i="17" s="1"/>
  <c r="K15" i="17"/>
  <c r="J15" i="17"/>
  <c r="J46" i="17" s="1"/>
  <c r="I15" i="17"/>
  <c r="H15" i="17"/>
  <c r="G15" i="17"/>
  <c r="G46" i="17" s="1"/>
  <c r="F15" i="17"/>
  <c r="F266" i="17" s="1"/>
  <c r="E15" i="17"/>
  <c r="E46" i="17" s="1"/>
  <c r="D15" i="17"/>
  <c r="Q274" i="16"/>
  <c r="T273" i="16"/>
  <c r="D273" i="16"/>
  <c r="G272" i="16"/>
  <c r="Q271" i="16"/>
  <c r="P271" i="16"/>
  <c r="M271" i="16"/>
  <c r="J271" i="16"/>
  <c r="I271" i="16"/>
  <c r="E271" i="16"/>
  <c r="M270" i="16"/>
  <c r="P269" i="16"/>
  <c r="S268" i="16"/>
  <c r="V267" i="16"/>
  <c r="F267" i="16"/>
  <c r="I266" i="16"/>
  <c r="L265" i="16"/>
  <c r="O264" i="16"/>
  <c r="R263" i="16"/>
  <c r="U262" i="16"/>
  <c r="N259" i="16"/>
  <c r="V258" i="16"/>
  <c r="U258" i="16"/>
  <c r="T258" i="16"/>
  <c r="S258" i="16"/>
  <c r="R258" i="16"/>
  <c r="Q258" i="16"/>
  <c r="P258" i="16"/>
  <c r="O258" i="16"/>
  <c r="N258" i="16"/>
  <c r="M258" i="16"/>
  <c r="L258" i="16"/>
  <c r="K258" i="16"/>
  <c r="J258" i="16"/>
  <c r="I258" i="16"/>
  <c r="H258" i="16"/>
  <c r="G258" i="16"/>
  <c r="F258" i="16"/>
  <c r="E258" i="16"/>
  <c r="D258" i="16"/>
  <c r="V256" i="16"/>
  <c r="G256" i="16"/>
  <c r="O253" i="16"/>
  <c r="H250" i="16"/>
  <c r="L249" i="16"/>
  <c r="T246" i="16"/>
  <c r="V235" i="16"/>
  <c r="U235" i="16"/>
  <c r="T235" i="16"/>
  <c r="S235" i="16"/>
  <c r="S274" i="16" s="1"/>
  <c r="R235" i="16"/>
  <c r="R274" i="16" s="1"/>
  <c r="Q235" i="16"/>
  <c r="P235" i="16"/>
  <c r="O235" i="16"/>
  <c r="N235" i="16"/>
  <c r="M235" i="16"/>
  <c r="M274" i="16" s="1"/>
  <c r="L235" i="16"/>
  <c r="K235" i="16"/>
  <c r="K274" i="16" s="1"/>
  <c r="J235" i="16"/>
  <c r="I235" i="16"/>
  <c r="H235" i="16"/>
  <c r="G235" i="16"/>
  <c r="F235" i="16"/>
  <c r="E235" i="16"/>
  <c r="D235" i="16"/>
  <c r="V234" i="16"/>
  <c r="V273" i="16" s="1"/>
  <c r="U234" i="16"/>
  <c r="U273" i="16" s="1"/>
  <c r="T234" i="16"/>
  <c r="S234" i="16"/>
  <c r="R234" i="16"/>
  <c r="Q234" i="16"/>
  <c r="P234" i="16"/>
  <c r="P273" i="16" s="1"/>
  <c r="O234" i="16"/>
  <c r="N234" i="16"/>
  <c r="N273" i="16" s="1"/>
  <c r="M234" i="16"/>
  <c r="L234" i="16"/>
  <c r="K234" i="16"/>
  <c r="J234" i="16"/>
  <c r="I234" i="16"/>
  <c r="H234" i="16"/>
  <c r="G234" i="16"/>
  <c r="F234" i="16"/>
  <c r="F273" i="16" s="1"/>
  <c r="E234" i="16"/>
  <c r="E273" i="16" s="1"/>
  <c r="D234" i="16"/>
  <c r="V233" i="16"/>
  <c r="U233" i="16"/>
  <c r="T233" i="16"/>
  <c r="S233" i="16"/>
  <c r="S272" i="16" s="1"/>
  <c r="R233" i="16"/>
  <c r="Q233" i="16"/>
  <c r="Q272" i="16" s="1"/>
  <c r="P233" i="16"/>
  <c r="O233" i="16"/>
  <c r="N233" i="16"/>
  <c r="M233" i="16"/>
  <c r="L233" i="16"/>
  <c r="K233" i="16"/>
  <c r="J233" i="16"/>
  <c r="I233" i="16"/>
  <c r="I272" i="16" s="1"/>
  <c r="H233" i="16"/>
  <c r="H272" i="16" s="1"/>
  <c r="G233" i="16"/>
  <c r="F233" i="16"/>
  <c r="E233" i="16"/>
  <c r="D233" i="16"/>
  <c r="V232" i="16"/>
  <c r="V271" i="16" s="1"/>
  <c r="U232" i="16"/>
  <c r="T232" i="16"/>
  <c r="T271" i="16" s="1"/>
  <c r="S232" i="16"/>
  <c r="S271" i="16" s="1"/>
  <c r="R232" i="16"/>
  <c r="R271" i="16" s="1"/>
  <c r="Q232" i="16"/>
  <c r="P232" i="16"/>
  <c r="O232" i="16"/>
  <c r="O271" i="16" s="1"/>
  <c r="N232" i="16"/>
  <c r="N271" i="16" s="1"/>
  <c r="M232" i="16"/>
  <c r="L232" i="16"/>
  <c r="L271" i="16" s="1"/>
  <c r="K232" i="16"/>
  <c r="K271" i="16" s="1"/>
  <c r="J232" i="16"/>
  <c r="I232" i="16"/>
  <c r="H232" i="16"/>
  <c r="H271" i="16" s="1"/>
  <c r="G232" i="16"/>
  <c r="G271" i="16" s="1"/>
  <c r="F232" i="16"/>
  <c r="F271" i="16" s="1"/>
  <c r="E232" i="16"/>
  <c r="D232" i="16"/>
  <c r="D271" i="16" s="1"/>
  <c r="V231" i="16"/>
  <c r="U231" i="16"/>
  <c r="T231" i="16"/>
  <c r="S231" i="16"/>
  <c r="R231" i="16"/>
  <c r="Q231" i="16"/>
  <c r="P231" i="16"/>
  <c r="O231" i="16"/>
  <c r="O270" i="16" s="1"/>
  <c r="N231" i="16"/>
  <c r="N270" i="16" s="1"/>
  <c r="M231" i="16"/>
  <c r="L231" i="16"/>
  <c r="K231" i="16"/>
  <c r="J231" i="16"/>
  <c r="I231" i="16"/>
  <c r="I270" i="16" s="1"/>
  <c r="H231" i="16"/>
  <c r="G231" i="16"/>
  <c r="G270" i="16" s="1"/>
  <c r="F231" i="16"/>
  <c r="E231" i="16"/>
  <c r="D231" i="16"/>
  <c r="V230" i="16"/>
  <c r="U230" i="16"/>
  <c r="T230" i="16"/>
  <c r="S230" i="16"/>
  <c r="R230" i="16"/>
  <c r="R269" i="16" s="1"/>
  <c r="Q230" i="16"/>
  <c r="Q269" i="16" s="1"/>
  <c r="P230" i="16"/>
  <c r="O230" i="16"/>
  <c r="N230" i="16"/>
  <c r="M230" i="16"/>
  <c r="L230" i="16"/>
  <c r="L269" i="16" s="1"/>
  <c r="K230" i="16"/>
  <c r="J230" i="16"/>
  <c r="J269" i="16" s="1"/>
  <c r="I230" i="16"/>
  <c r="H230" i="16"/>
  <c r="G230" i="16"/>
  <c r="F230" i="16"/>
  <c r="E230" i="16"/>
  <c r="D230" i="16"/>
  <c r="V229" i="16"/>
  <c r="U229" i="16"/>
  <c r="U268" i="16" s="1"/>
  <c r="T229" i="16"/>
  <c r="T268" i="16" s="1"/>
  <c r="S229" i="16"/>
  <c r="R229" i="16"/>
  <c r="Q229" i="16"/>
  <c r="P229" i="16"/>
  <c r="O229" i="16"/>
  <c r="O268" i="16" s="1"/>
  <c r="N229" i="16"/>
  <c r="M229" i="16"/>
  <c r="M268" i="16" s="1"/>
  <c r="L229" i="16"/>
  <c r="K229" i="16"/>
  <c r="J229" i="16"/>
  <c r="I229" i="16"/>
  <c r="H229" i="16"/>
  <c r="G229" i="16"/>
  <c r="F229" i="16"/>
  <c r="E229" i="16"/>
  <c r="E268" i="16" s="1"/>
  <c r="D229" i="16"/>
  <c r="D268" i="16" s="1"/>
  <c r="V228" i="16"/>
  <c r="U228" i="16"/>
  <c r="T228" i="16"/>
  <c r="S228" i="16"/>
  <c r="R228" i="16"/>
  <c r="R267" i="16" s="1"/>
  <c r="Q228" i="16"/>
  <c r="P228" i="16"/>
  <c r="P267" i="16" s="1"/>
  <c r="O228" i="16"/>
  <c r="N228" i="16"/>
  <c r="M228" i="16"/>
  <c r="L228" i="16"/>
  <c r="K228" i="16"/>
  <c r="J228" i="16"/>
  <c r="I228" i="16"/>
  <c r="H228" i="16"/>
  <c r="H267" i="16" s="1"/>
  <c r="G228" i="16"/>
  <c r="G267" i="16" s="1"/>
  <c r="F228" i="16"/>
  <c r="E228" i="16"/>
  <c r="D228" i="16"/>
  <c r="V227" i="16"/>
  <c r="U227" i="16"/>
  <c r="U266" i="16" s="1"/>
  <c r="T227" i="16"/>
  <c r="S227" i="16"/>
  <c r="S266" i="16" s="1"/>
  <c r="R227" i="16"/>
  <c r="Q227" i="16"/>
  <c r="P227" i="16"/>
  <c r="O227" i="16"/>
  <c r="N227" i="16"/>
  <c r="M227" i="16"/>
  <c r="L227" i="16"/>
  <c r="K227" i="16"/>
  <c r="K266" i="16" s="1"/>
  <c r="J227" i="16"/>
  <c r="J266" i="16" s="1"/>
  <c r="I227" i="16"/>
  <c r="H227" i="16"/>
  <c r="G227" i="16"/>
  <c r="F227" i="16"/>
  <c r="E227" i="16"/>
  <c r="E266" i="16" s="1"/>
  <c r="D227" i="16"/>
  <c r="V226" i="16"/>
  <c r="V265" i="16" s="1"/>
  <c r="U226" i="16"/>
  <c r="T226" i="16"/>
  <c r="S226" i="16"/>
  <c r="R226" i="16"/>
  <c r="Q226" i="16"/>
  <c r="P226" i="16"/>
  <c r="O226" i="16"/>
  <c r="N226" i="16"/>
  <c r="N265" i="16" s="1"/>
  <c r="M226" i="16"/>
  <c r="M265" i="16" s="1"/>
  <c r="L226" i="16"/>
  <c r="K226" i="16"/>
  <c r="J226" i="16"/>
  <c r="I226" i="16"/>
  <c r="H226" i="16"/>
  <c r="H265" i="16" s="1"/>
  <c r="G226" i="16"/>
  <c r="F226" i="16"/>
  <c r="F265" i="16" s="1"/>
  <c r="E226" i="16"/>
  <c r="D226" i="16"/>
  <c r="V225" i="16"/>
  <c r="U225" i="16"/>
  <c r="T225" i="16"/>
  <c r="S225" i="16"/>
  <c r="R225" i="16"/>
  <c r="Q225" i="16"/>
  <c r="Q264" i="16" s="1"/>
  <c r="P225" i="16"/>
  <c r="P264" i="16" s="1"/>
  <c r="O225" i="16"/>
  <c r="N225" i="16"/>
  <c r="M225" i="16"/>
  <c r="L225" i="16"/>
  <c r="K225" i="16"/>
  <c r="K264" i="16" s="1"/>
  <c r="J225" i="16"/>
  <c r="I225" i="16"/>
  <c r="I264" i="16" s="1"/>
  <c r="H225" i="16"/>
  <c r="G225" i="16"/>
  <c r="F225" i="16"/>
  <c r="E225" i="16"/>
  <c r="D225" i="16"/>
  <c r="V224" i="16"/>
  <c r="U224" i="16"/>
  <c r="T224" i="16"/>
  <c r="T263" i="16" s="1"/>
  <c r="S224" i="16"/>
  <c r="S263" i="16" s="1"/>
  <c r="R224" i="16"/>
  <c r="Q224" i="16"/>
  <c r="P224" i="16"/>
  <c r="O224" i="16"/>
  <c r="N224" i="16"/>
  <c r="N263" i="16" s="1"/>
  <c r="M224" i="16"/>
  <c r="L224" i="16"/>
  <c r="L263" i="16" s="1"/>
  <c r="K224" i="16"/>
  <c r="J224" i="16"/>
  <c r="I224" i="16"/>
  <c r="H224" i="16"/>
  <c r="G224" i="16"/>
  <c r="F224" i="16"/>
  <c r="E224" i="16"/>
  <c r="D224" i="16"/>
  <c r="D263" i="16" s="1"/>
  <c r="V223" i="16"/>
  <c r="V262" i="16" s="1"/>
  <c r="U223" i="16"/>
  <c r="T223" i="16"/>
  <c r="S223" i="16"/>
  <c r="R223" i="16"/>
  <c r="Q223" i="16"/>
  <c r="Q262" i="16" s="1"/>
  <c r="P223" i="16"/>
  <c r="O223" i="16"/>
  <c r="O262" i="16" s="1"/>
  <c r="N223" i="16"/>
  <c r="M223" i="16"/>
  <c r="L223" i="16"/>
  <c r="K223" i="16"/>
  <c r="J223" i="16"/>
  <c r="I223" i="16"/>
  <c r="H223" i="16"/>
  <c r="G223" i="16"/>
  <c r="G262" i="16" s="1"/>
  <c r="F223" i="16"/>
  <c r="F262" i="16" s="1"/>
  <c r="E223" i="16"/>
  <c r="E262" i="16" s="1"/>
  <c r="D223" i="16"/>
  <c r="V222" i="16"/>
  <c r="U222" i="16"/>
  <c r="T222" i="16"/>
  <c r="T261" i="16" s="1"/>
  <c r="S222" i="16"/>
  <c r="R222" i="16"/>
  <c r="R261" i="16" s="1"/>
  <c r="Q222" i="16"/>
  <c r="P222" i="16"/>
  <c r="O222" i="16"/>
  <c r="N222" i="16"/>
  <c r="M222" i="16"/>
  <c r="L222" i="16"/>
  <c r="K222" i="16"/>
  <c r="J222" i="16"/>
  <c r="J261" i="16" s="1"/>
  <c r="I222" i="16"/>
  <c r="I261" i="16" s="1"/>
  <c r="H222" i="16"/>
  <c r="H261" i="16" s="1"/>
  <c r="G222" i="16"/>
  <c r="F222" i="16"/>
  <c r="E222" i="16"/>
  <c r="D222" i="16"/>
  <c r="D261" i="16" s="1"/>
  <c r="V221" i="16"/>
  <c r="U221" i="16"/>
  <c r="U260" i="16" s="1"/>
  <c r="T221" i="16"/>
  <c r="S221" i="16"/>
  <c r="R221" i="16"/>
  <c r="Q221" i="16"/>
  <c r="P221" i="16"/>
  <c r="O221" i="16"/>
  <c r="N221" i="16"/>
  <c r="M221" i="16"/>
  <c r="M260" i="16" s="1"/>
  <c r="L221" i="16"/>
  <c r="L260" i="16" s="1"/>
  <c r="K221" i="16"/>
  <c r="K260" i="16" s="1"/>
  <c r="J221" i="16"/>
  <c r="I221" i="16"/>
  <c r="H221" i="16"/>
  <c r="G221" i="16"/>
  <c r="G260" i="16" s="1"/>
  <c r="F221" i="16"/>
  <c r="E221" i="16"/>
  <c r="E260" i="16" s="1"/>
  <c r="D221" i="16"/>
  <c r="V220" i="16"/>
  <c r="U220" i="16"/>
  <c r="T220" i="16"/>
  <c r="S220" i="16"/>
  <c r="R220" i="16"/>
  <c r="Q220" i="16"/>
  <c r="P220" i="16"/>
  <c r="P259" i="16" s="1"/>
  <c r="O220" i="16"/>
  <c r="O259" i="16" s="1"/>
  <c r="N220" i="16"/>
  <c r="M220" i="16"/>
  <c r="L220" i="16"/>
  <c r="K220" i="16"/>
  <c r="J220" i="16"/>
  <c r="J259" i="16" s="1"/>
  <c r="I220" i="16"/>
  <c r="H220" i="16"/>
  <c r="H259" i="16" s="1"/>
  <c r="G220" i="16"/>
  <c r="F220" i="16"/>
  <c r="E220" i="16"/>
  <c r="D220" i="16"/>
  <c r="V218" i="16"/>
  <c r="U218" i="16"/>
  <c r="T218" i="16"/>
  <c r="S218" i="16"/>
  <c r="R218" i="16"/>
  <c r="R257" i="16" s="1"/>
  <c r="Q218" i="16"/>
  <c r="Q257" i="16" s="1"/>
  <c r="P218" i="16"/>
  <c r="O218" i="16"/>
  <c r="N218" i="16"/>
  <c r="M218" i="16"/>
  <c r="M257" i="16" s="1"/>
  <c r="L218" i="16"/>
  <c r="K218" i="16"/>
  <c r="K257" i="16" s="1"/>
  <c r="J218" i="16"/>
  <c r="I218" i="16"/>
  <c r="H218" i="16"/>
  <c r="G218" i="16"/>
  <c r="F218" i="16"/>
  <c r="E218" i="16"/>
  <c r="D218" i="16"/>
  <c r="V217" i="16"/>
  <c r="U217" i="16"/>
  <c r="U256" i="16" s="1"/>
  <c r="T217" i="16"/>
  <c r="T256" i="16" s="1"/>
  <c r="S217" i="16"/>
  <c r="R217" i="16"/>
  <c r="Q217" i="16"/>
  <c r="P217" i="16"/>
  <c r="P256" i="16" s="1"/>
  <c r="O217" i="16"/>
  <c r="N217" i="16"/>
  <c r="N256" i="16" s="1"/>
  <c r="M217" i="16"/>
  <c r="L217" i="16"/>
  <c r="K217" i="16"/>
  <c r="J217" i="16"/>
  <c r="I217" i="16"/>
  <c r="H217" i="16"/>
  <c r="G217" i="16"/>
  <c r="F217" i="16"/>
  <c r="E217" i="16"/>
  <c r="E256" i="16" s="1"/>
  <c r="D217" i="16"/>
  <c r="D256" i="16" s="1"/>
  <c r="V216" i="16"/>
  <c r="U216" i="16"/>
  <c r="T216" i="16"/>
  <c r="S216" i="16"/>
  <c r="S255" i="16" s="1"/>
  <c r="R216" i="16"/>
  <c r="Q216" i="16"/>
  <c r="Q255" i="16" s="1"/>
  <c r="P216" i="16"/>
  <c r="O216" i="16"/>
  <c r="N216" i="16"/>
  <c r="M216" i="16"/>
  <c r="L216" i="16"/>
  <c r="K216" i="16"/>
  <c r="J216" i="16"/>
  <c r="I216" i="16"/>
  <c r="H216" i="16"/>
  <c r="H255" i="16" s="1"/>
  <c r="G216" i="16"/>
  <c r="G255" i="16" s="1"/>
  <c r="F216" i="16"/>
  <c r="E216" i="16"/>
  <c r="D216" i="16"/>
  <c r="V215" i="16"/>
  <c r="V254" i="16" s="1"/>
  <c r="U215" i="16"/>
  <c r="T215" i="16"/>
  <c r="T254" i="16" s="1"/>
  <c r="S215" i="16"/>
  <c r="R215" i="16"/>
  <c r="Q215" i="16"/>
  <c r="P215" i="16"/>
  <c r="O215" i="16"/>
  <c r="N215" i="16"/>
  <c r="M215" i="16"/>
  <c r="L215" i="16"/>
  <c r="K215" i="16"/>
  <c r="K254" i="16" s="1"/>
  <c r="J215" i="16"/>
  <c r="J254" i="16" s="1"/>
  <c r="I215" i="16"/>
  <c r="H215" i="16"/>
  <c r="G215" i="16"/>
  <c r="F215" i="16"/>
  <c r="F254" i="16" s="1"/>
  <c r="E215" i="16"/>
  <c r="D215" i="16"/>
  <c r="D254" i="16" s="1"/>
  <c r="V214" i="16"/>
  <c r="U214" i="16"/>
  <c r="T214" i="16"/>
  <c r="S214" i="16"/>
  <c r="R214" i="16"/>
  <c r="Q214" i="16"/>
  <c r="P214" i="16"/>
  <c r="O214" i="16"/>
  <c r="N214" i="16"/>
  <c r="N253" i="16" s="1"/>
  <c r="M214" i="16"/>
  <c r="M253" i="16" s="1"/>
  <c r="L214" i="16"/>
  <c r="K214" i="16"/>
  <c r="J214" i="16"/>
  <c r="I214" i="16"/>
  <c r="I253" i="16" s="1"/>
  <c r="H214" i="16"/>
  <c r="G214" i="16"/>
  <c r="G253" i="16" s="1"/>
  <c r="F214" i="16"/>
  <c r="E214" i="16"/>
  <c r="D214" i="16"/>
  <c r="V213" i="16"/>
  <c r="U213" i="16"/>
  <c r="T213" i="16"/>
  <c r="S213" i="16"/>
  <c r="R213" i="16"/>
  <c r="Q213" i="16"/>
  <c r="Q252" i="16" s="1"/>
  <c r="P213" i="16"/>
  <c r="P252" i="16" s="1"/>
  <c r="O213" i="16"/>
  <c r="N213" i="16"/>
  <c r="M213" i="16"/>
  <c r="L213" i="16"/>
  <c r="L252" i="16" s="1"/>
  <c r="K213" i="16"/>
  <c r="J213" i="16"/>
  <c r="J252" i="16" s="1"/>
  <c r="I213" i="16"/>
  <c r="H213" i="16"/>
  <c r="G213" i="16"/>
  <c r="F213" i="16"/>
  <c r="E213" i="16"/>
  <c r="D213" i="16"/>
  <c r="V212" i="16"/>
  <c r="U212" i="16"/>
  <c r="T212" i="16"/>
  <c r="T251" i="16" s="1"/>
  <c r="S212" i="16"/>
  <c r="S251" i="16" s="1"/>
  <c r="R212" i="16"/>
  <c r="Q212" i="16"/>
  <c r="P212" i="16"/>
  <c r="O212" i="16"/>
  <c r="O251" i="16" s="1"/>
  <c r="N212" i="16"/>
  <c r="M212" i="16"/>
  <c r="M251" i="16" s="1"/>
  <c r="L212" i="16"/>
  <c r="K212" i="16"/>
  <c r="J212" i="16"/>
  <c r="I212" i="16"/>
  <c r="H212" i="16"/>
  <c r="G212" i="16"/>
  <c r="F212" i="16"/>
  <c r="E212" i="16"/>
  <c r="D212" i="16"/>
  <c r="D251" i="16" s="1"/>
  <c r="V211" i="16"/>
  <c r="V250" i="16" s="1"/>
  <c r="U211" i="16"/>
  <c r="T211" i="16"/>
  <c r="S211" i="16"/>
  <c r="R211" i="16"/>
  <c r="R250" i="16" s="1"/>
  <c r="Q211" i="16"/>
  <c r="P211" i="16"/>
  <c r="P250" i="16" s="1"/>
  <c r="O211" i="16"/>
  <c r="N211" i="16"/>
  <c r="M211" i="16"/>
  <c r="L211" i="16"/>
  <c r="K211" i="16"/>
  <c r="J211" i="16"/>
  <c r="I211" i="16"/>
  <c r="H211" i="16"/>
  <c r="G211" i="16"/>
  <c r="G250" i="16" s="1"/>
  <c r="F211" i="16"/>
  <c r="F250" i="16" s="1"/>
  <c r="E211" i="16"/>
  <c r="D211" i="16"/>
  <c r="V210" i="16"/>
  <c r="U210" i="16"/>
  <c r="U249" i="16" s="1"/>
  <c r="T210" i="16"/>
  <c r="S210" i="16"/>
  <c r="S249" i="16" s="1"/>
  <c r="R210" i="16"/>
  <c r="Q210" i="16"/>
  <c r="P210" i="16"/>
  <c r="O210" i="16"/>
  <c r="N210" i="16"/>
  <c r="M210" i="16"/>
  <c r="L210" i="16"/>
  <c r="K210" i="16"/>
  <c r="J210" i="16"/>
  <c r="J249" i="16" s="1"/>
  <c r="I210" i="16"/>
  <c r="I249" i="16" s="1"/>
  <c r="H210" i="16"/>
  <c r="G210" i="16"/>
  <c r="F210" i="16"/>
  <c r="E210" i="16"/>
  <c r="E249" i="16" s="1"/>
  <c r="D210" i="16"/>
  <c r="V209" i="16"/>
  <c r="V248" i="16" s="1"/>
  <c r="U209" i="16"/>
  <c r="T209" i="16"/>
  <c r="S209" i="16"/>
  <c r="R209" i="16"/>
  <c r="Q209" i="16"/>
  <c r="P209" i="16"/>
  <c r="O209" i="16"/>
  <c r="N209" i="16"/>
  <c r="M209" i="16"/>
  <c r="M248" i="16" s="1"/>
  <c r="L209" i="16"/>
  <c r="L248" i="16" s="1"/>
  <c r="K209" i="16"/>
  <c r="J209" i="16"/>
  <c r="I209" i="16"/>
  <c r="H209" i="16"/>
  <c r="H248" i="16" s="1"/>
  <c r="G209" i="16"/>
  <c r="F209" i="16"/>
  <c r="F248" i="16" s="1"/>
  <c r="E209" i="16"/>
  <c r="D209" i="16"/>
  <c r="V208" i="16"/>
  <c r="U208" i="16"/>
  <c r="T208" i="16"/>
  <c r="S208" i="16"/>
  <c r="R208" i="16"/>
  <c r="Q208" i="16"/>
  <c r="P208" i="16"/>
  <c r="P247" i="16" s="1"/>
  <c r="O208" i="16"/>
  <c r="O247" i="16" s="1"/>
  <c r="N208" i="16"/>
  <c r="M208" i="16"/>
  <c r="L208" i="16"/>
  <c r="K208" i="16"/>
  <c r="K247" i="16" s="1"/>
  <c r="J208" i="16"/>
  <c r="I208" i="16"/>
  <c r="I247" i="16" s="1"/>
  <c r="H208" i="16"/>
  <c r="G208" i="16"/>
  <c r="F208" i="16"/>
  <c r="E208" i="16"/>
  <c r="D208" i="16"/>
  <c r="V207" i="16"/>
  <c r="U207" i="16"/>
  <c r="T207" i="16"/>
  <c r="S207" i="16"/>
  <c r="S246" i="16" s="1"/>
  <c r="R207" i="16"/>
  <c r="Q207" i="16"/>
  <c r="P207" i="16"/>
  <c r="O207" i="16"/>
  <c r="N207" i="16"/>
  <c r="N246" i="16" s="1"/>
  <c r="M207" i="16"/>
  <c r="L207" i="16"/>
  <c r="K207" i="16"/>
  <c r="J207" i="16"/>
  <c r="I207" i="16"/>
  <c r="H207" i="16"/>
  <c r="G207" i="16"/>
  <c r="F207" i="16"/>
  <c r="E207" i="16"/>
  <c r="D207" i="16"/>
  <c r="M197" i="16"/>
  <c r="U196" i="16"/>
  <c r="T196" i="16"/>
  <c r="P196" i="16"/>
  <c r="S195" i="16"/>
  <c r="V194" i="16"/>
  <c r="R194" i="16"/>
  <c r="Q194" i="16"/>
  <c r="P194" i="16"/>
  <c r="O194" i="16"/>
  <c r="N194" i="16"/>
  <c r="K194" i="16"/>
  <c r="F194" i="16"/>
  <c r="S193" i="16"/>
  <c r="I193" i="16"/>
  <c r="Q192" i="16"/>
  <c r="L192" i="16"/>
  <c r="O191" i="16"/>
  <c r="R190" i="16"/>
  <c r="N190" i="16"/>
  <c r="U189" i="16"/>
  <c r="E189" i="16"/>
  <c r="R188" i="16"/>
  <c r="Q188" i="16"/>
  <c r="H188" i="16"/>
  <c r="T187" i="16"/>
  <c r="K187" i="16"/>
  <c r="S186" i="16"/>
  <c r="N186" i="16"/>
  <c r="V185" i="16"/>
  <c r="Q185" i="16"/>
  <c r="H185" i="16"/>
  <c r="F185" i="16"/>
  <c r="T184" i="16"/>
  <c r="L184" i="16"/>
  <c r="D184" i="16"/>
  <c r="P183" i="16"/>
  <c r="O183" i="16"/>
  <c r="G183" i="16"/>
  <c r="T182" i="16"/>
  <c r="J182" i="16"/>
  <c r="F182" i="16"/>
  <c r="V181" i="16"/>
  <c r="U181" i="16"/>
  <c r="T181" i="16"/>
  <c r="S181" i="16"/>
  <c r="R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P180" i="16"/>
  <c r="M180" i="16"/>
  <c r="G180" i="16"/>
  <c r="E180" i="16"/>
  <c r="P179" i="16"/>
  <c r="M179" i="16"/>
  <c r="S178" i="16"/>
  <c r="R178" i="16"/>
  <c r="J178" i="16"/>
  <c r="V177" i="16"/>
  <c r="R177" i="16"/>
  <c r="F177" i="16"/>
  <c r="P176" i="16"/>
  <c r="O176" i="16"/>
  <c r="I176" i="16"/>
  <c r="E176" i="16"/>
  <c r="L175" i="16"/>
  <c r="K175" i="16"/>
  <c r="V174" i="16"/>
  <c r="O174" i="16"/>
  <c r="K174" i="16"/>
  <c r="R173" i="16"/>
  <c r="I173" i="16"/>
  <c r="H173" i="16"/>
  <c r="U172" i="16"/>
  <c r="Q172" i="16"/>
  <c r="E172" i="16"/>
  <c r="D172" i="16"/>
  <c r="O171" i="16"/>
  <c r="H171" i="16"/>
  <c r="D171" i="16"/>
  <c r="K170" i="16"/>
  <c r="U169" i="16"/>
  <c r="T169" i="16"/>
  <c r="J169" i="16"/>
  <c r="V158" i="16"/>
  <c r="U158" i="16"/>
  <c r="T158" i="16"/>
  <c r="S158" i="16"/>
  <c r="R158" i="16"/>
  <c r="Q158" i="16"/>
  <c r="Q197" i="16" s="1"/>
  <c r="P158" i="16"/>
  <c r="O158" i="16"/>
  <c r="N158" i="16"/>
  <c r="M158" i="16"/>
  <c r="L158" i="16"/>
  <c r="K158" i="16"/>
  <c r="J158" i="16"/>
  <c r="I158" i="16"/>
  <c r="H158" i="16"/>
  <c r="G158" i="16"/>
  <c r="F158" i="16"/>
  <c r="F197" i="16" s="1"/>
  <c r="E158" i="16"/>
  <c r="D158" i="16"/>
  <c r="V157" i="16"/>
  <c r="U157" i="16"/>
  <c r="T157" i="16"/>
  <c r="S157" i="16"/>
  <c r="R157" i="16"/>
  <c r="Q157" i="16"/>
  <c r="P157" i="16"/>
  <c r="O157" i="16"/>
  <c r="N157" i="16"/>
  <c r="M157" i="16"/>
  <c r="L157" i="16"/>
  <c r="K157" i="16"/>
  <c r="J157" i="16"/>
  <c r="I157" i="16"/>
  <c r="H157" i="16"/>
  <c r="G157" i="16"/>
  <c r="F157" i="16"/>
  <c r="E157" i="16"/>
  <c r="D157" i="16"/>
  <c r="D196" i="16" s="1"/>
  <c r="V156" i="16"/>
  <c r="U156" i="16"/>
  <c r="T156" i="16"/>
  <c r="S156" i="16"/>
  <c r="R156" i="16"/>
  <c r="Q156" i="16"/>
  <c r="P156" i="16"/>
  <c r="O156" i="16"/>
  <c r="N156" i="16"/>
  <c r="M156" i="16"/>
  <c r="M195" i="16" s="1"/>
  <c r="L156" i="16"/>
  <c r="L195" i="16" s="1"/>
  <c r="K156" i="16"/>
  <c r="J156" i="16"/>
  <c r="I156" i="16"/>
  <c r="H156" i="16"/>
  <c r="H195" i="16" s="1"/>
  <c r="G156" i="16"/>
  <c r="G195" i="16" s="1"/>
  <c r="F156" i="16"/>
  <c r="E156" i="16"/>
  <c r="D156" i="16"/>
  <c r="V155" i="16"/>
  <c r="U155" i="16"/>
  <c r="T155" i="16"/>
  <c r="T194" i="16" s="1"/>
  <c r="S155" i="16"/>
  <c r="S194" i="16" s="1"/>
  <c r="R155" i="16"/>
  <c r="Q155" i="16"/>
  <c r="P155" i="16"/>
  <c r="O155" i="16"/>
  <c r="N155" i="16"/>
  <c r="M155" i="16"/>
  <c r="M194" i="16" s="1"/>
  <c r="L155" i="16"/>
  <c r="L194" i="16" s="1"/>
  <c r="K155" i="16"/>
  <c r="J155" i="16"/>
  <c r="J194" i="16" s="1"/>
  <c r="I155" i="16"/>
  <c r="I194" i="16" s="1"/>
  <c r="H155" i="16"/>
  <c r="H194" i="16" s="1"/>
  <c r="G155" i="16"/>
  <c r="G194" i="16" s="1"/>
  <c r="F155" i="16"/>
  <c r="E155" i="16"/>
  <c r="E194" i="16" s="1"/>
  <c r="D155" i="16"/>
  <c r="D194" i="16" s="1"/>
  <c r="V154" i="16"/>
  <c r="U154" i="16"/>
  <c r="T154" i="16"/>
  <c r="S154" i="16"/>
  <c r="R154" i="16"/>
  <c r="Q154" i="16"/>
  <c r="P154" i="16"/>
  <c r="O154" i="16"/>
  <c r="N154" i="16"/>
  <c r="M154" i="16"/>
  <c r="M193" i="16" s="1"/>
  <c r="L154" i="16"/>
  <c r="K154" i="16"/>
  <c r="J154" i="16"/>
  <c r="I154" i="16"/>
  <c r="H154" i="16"/>
  <c r="G154" i="16"/>
  <c r="F154" i="16"/>
  <c r="E154" i="16"/>
  <c r="D154" i="16"/>
  <c r="V153" i="16"/>
  <c r="U153" i="16"/>
  <c r="U192" i="16" s="1"/>
  <c r="T153" i="16"/>
  <c r="S153" i="16"/>
  <c r="R153" i="16"/>
  <c r="Q153" i="16"/>
  <c r="P153" i="16"/>
  <c r="P192" i="16" s="1"/>
  <c r="O153" i="16"/>
  <c r="N153" i="16"/>
  <c r="M153" i="16"/>
  <c r="L153" i="16"/>
  <c r="K153" i="16"/>
  <c r="J153" i="16"/>
  <c r="I153" i="16"/>
  <c r="H153" i="16"/>
  <c r="G153" i="16"/>
  <c r="F153" i="16"/>
  <c r="E153" i="16"/>
  <c r="D153" i="16"/>
  <c r="V152" i="16"/>
  <c r="U152" i="16"/>
  <c r="T152" i="16"/>
  <c r="S152" i="16"/>
  <c r="S191" i="16" s="1"/>
  <c r="R152" i="16"/>
  <c r="Q152" i="16"/>
  <c r="P152" i="16"/>
  <c r="O152" i="16"/>
  <c r="N152" i="16"/>
  <c r="M152" i="16"/>
  <c r="L152" i="16"/>
  <c r="K152" i="16"/>
  <c r="J152" i="16"/>
  <c r="I152" i="16"/>
  <c r="I191" i="16" s="1"/>
  <c r="H152" i="16"/>
  <c r="H191" i="16" s="1"/>
  <c r="G152" i="16"/>
  <c r="F152" i="16"/>
  <c r="E152" i="16"/>
  <c r="D152" i="16"/>
  <c r="V151" i="16"/>
  <c r="V190" i="16" s="1"/>
  <c r="U151" i="16"/>
  <c r="T151" i="16"/>
  <c r="S151" i="16"/>
  <c r="R151" i="16"/>
  <c r="Q151" i="16"/>
  <c r="P151" i="16"/>
  <c r="O151" i="16"/>
  <c r="N151" i="16"/>
  <c r="M151" i="16"/>
  <c r="L151" i="16"/>
  <c r="K151" i="16"/>
  <c r="J151" i="16"/>
  <c r="I151" i="16"/>
  <c r="H151" i="16"/>
  <c r="G151" i="16"/>
  <c r="F151" i="16"/>
  <c r="F190" i="16" s="1"/>
  <c r="E151" i="16"/>
  <c r="D151" i="16"/>
  <c r="V150" i="16"/>
  <c r="U150" i="16"/>
  <c r="T150" i="16"/>
  <c r="S150" i="16"/>
  <c r="R150" i="16"/>
  <c r="Q150" i="16"/>
  <c r="P150" i="16"/>
  <c r="O150" i="16"/>
  <c r="N150" i="16"/>
  <c r="M150" i="16"/>
  <c r="L150" i="16"/>
  <c r="K150" i="16"/>
  <c r="J150" i="16"/>
  <c r="J189" i="16" s="1"/>
  <c r="I150" i="16"/>
  <c r="I189" i="16" s="1"/>
  <c r="H150" i="16"/>
  <c r="G150" i="16"/>
  <c r="F150" i="16"/>
  <c r="E150" i="16"/>
  <c r="D150" i="16"/>
  <c r="V149" i="16"/>
  <c r="U149" i="16"/>
  <c r="T149" i="16"/>
  <c r="S149" i="16"/>
  <c r="R149" i="16"/>
  <c r="Q149" i="16"/>
  <c r="P149" i="16"/>
  <c r="O149" i="16"/>
  <c r="N149" i="16"/>
  <c r="M149" i="16"/>
  <c r="L149" i="16"/>
  <c r="L188" i="16" s="1"/>
  <c r="K149" i="16"/>
  <c r="J149" i="16"/>
  <c r="I149" i="16"/>
  <c r="H149" i="16"/>
  <c r="G149" i="16"/>
  <c r="F149" i="16"/>
  <c r="E149" i="16"/>
  <c r="D149" i="16"/>
  <c r="V148" i="16"/>
  <c r="U148" i="16"/>
  <c r="U187" i="16" s="1"/>
  <c r="T148" i="16"/>
  <c r="S148" i="16"/>
  <c r="R148" i="16"/>
  <c r="Q148" i="16"/>
  <c r="P148" i="16"/>
  <c r="O148" i="16"/>
  <c r="O187" i="16" s="1"/>
  <c r="N148" i="16"/>
  <c r="M148" i="16"/>
  <c r="L148" i="16"/>
  <c r="K148" i="16"/>
  <c r="J148" i="16"/>
  <c r="I148" i="16"/>
  <c r="H148" i="16"/>
  <c r="G148" i="16"/>
  <c r="F148" i="16"/>
  <c r="E148" i="16"/>
  <c r="D148" i="16"/>
  <c r="D187" i="16" s="1"/>
  <c r="V147" i="16"/>
  <c r="U147" i="16"/>
  <c r="T147" i="16"/>
  <c r="S147" i="16"/>
  <c r="R147" i="16"/>
  <c r="R186" i="16" s="1"/>
  <c r="Q147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E186" i="16" s="1"/>
  <c r="D147" i="16"/>
  <c r="V146" i="16"/>
  <c r="U146" i="16"/>
  <c r="U185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H146" i="16"/>
  <c r="G146" i="16"/>
  <c r="F146" i="16"/>
  <c r="E146" i="16"/>
  <c r="E185" i="16" s="1"/>
  <c r="D146" i="16"/>
  <c r="V145" i="16"/>
  <c r="U145" i="16"/>
  <c r="T145" i="16"/>
  <c r="S145" i="16"/>
  <c r="R145" i="16"/>
  <c r="Q145" i="16"/>
  <c r="P145" i="16"/>
  <c r="O145" i="16"/>
  <c r="N145" i="16"/>
  <c r="M145" i="16"/>
  <c r="L145" i="16"/>
  <c r="K145" i="16"/>
  <c r="K184" i="16" s="1"/>
  <c r="J145" i="16"/>
  <c r="I145" i="16"/>
  <c r="I184" i="16" s="1"/>
  <c r="H145" i="16"/>
  <c r="H184" i="16" s="1"/>
  <c r="G145" i="16"/>
  <c r="F145" i="16"/>
  <c r="E145" i="16"/>
  <c r="D145" i="16"/>
  <c r="V144" i="16"/>
  <c r="U144" i="16"/>
  <c r="T144" i="16"/>
  <c r="S144" i="16"/>
  <c r="R144" i="16"/>
  <c r="Q144" i="16"/>
  <c r="Q183" i="16" s="1"/>
  <c r="P144" i="16"/>
  <c r="O144" i="16"/>
  <c r="N144" i="16"/>
  <c r="N183" i="16" s="1"/>
  <c r="M144" i="16"/>
  <c r="L144" i="16"/>
  <c r="L183" i="16" s="1"/>
  <c r="K144" i="16"/>
  <c r="K183" i="16" s="1"/>
  <c r="J144" i="16"/>
  <c r="I144" i="16"/>
  <c r="H144" i="16"/>
  <c r="G144" i="16"/>
  <c r="F144" i="16"/>
  <c r="E144" i="16"/>
  <c r="D144" i="16"/>
  <c r="V143" i="16"/>
  <c r="U143" i="16"/>
  <c r="T143" i="16"/>
  <c r="S143" i="16"/>
  <c r="R143" i="16"/>
  <c r="Q143" i="16"/>
  <c r="Q182" i="16" s="1"/>
  <c r="P143" i="16"/>
  <c r="O143" i="16"/>
  <c r="O182" i="16" s="1"/>
  <c r="N143" i="16"/>
  <c r="N182" i="16" s="1"/>
  <c r="M143" i="16"/>
  <c r="L143" i="16"/>
  <c r="K143" i="16"/>
  <c r="J143" i="16"/>
  <c r="I143" i="16"/>
  <c r="I182" i="16" s="1"/>
  <c r="H143" i="16"/>
  <c r="G143" i="16"/>
  <c r="F143" i="16"/>
  <c r="E143" i="16"/>
  <c r="D143" i="16"/>
  <c r="V141" i="16"/>
  <c r="U141" i="16"/>
  <c r="T141" i="16"/>
  <c r="T180" i="16" s="1"/>
  <c r="S141" i="16"/>
  <c r="R141" i="16"/>
  <c r="Q141" i="16"/>
  <c r="Q180" i="16" s="1"/>
  <c r="P141" i="16"/>
  <c r="O141" i="16"/>
  <c r="O180" i="16" s="1"/>
  <c r="N141" i="16"/>
  <c r="M141" i="16"/>
  <c r="L141" i="16"/>
  <c r="L180" i="16" s="1"/>
  <c r="K141" i="16"/>
  <c r="K180" i="16" s="1"/>
  <c r="J141" i="16"/>
  <c r="J180" i="16" s="1"/>
  <c r="I141" i="16"/>
  <c r="H141" i="16"/>
  <c r="G141" i="16"/>
  <c r="F141" i="16"/>
  <c r="E141" i="16"/>
  <c r="D141" i="16"/>
  <c r="D180" i="16" s="1"/>
  <c r="V140" i="16"/>
  <c r="U140" i="16"/>
  <c r="T140" i="16"/>
  <c r="T179" i="16" s="1"/>
  <c r="S140" i="16"/>
  <c r="R140" i="16"/>
  <c r="R179" i="16" s="1"/>
  <c r="Q140" i="16"/>
  <c r="P140" i="16"/>
  <c r="O140" i="16"/>
  <c r="O179" i="16" s="1"/>
  <c r="N140" i="16"/>
  <c r="N179" i="16" s="1"/>
  <c r="M140" i="16"/>
  <c r="L140" i="16"/>
  <c r="K140" i="16"/>
  <c r="J140" i="16"/>
  <c r="J179" i="16" s="1"/>
  <c r="I140" i="16"/>
  <c r="H140" i="16"/>
  <c r="G140" i="16"/>
  <c r="G179" i="16" s="1"/>
  <c r="F140" i="16"/>
  <c r="E140" i="16"/>
  <c r="D140" i="16"/>
  <c r="D179" i="16" s="1"/>
  <c r="V139" i="16"/>
  <c r="U139" i="16"/>
  <c r="U178" i="16" s="1"/>
  <c r="T139" i="16"/>
  <c r="S139" i="16"/>
  <c r="R139" i="16"/>
  <c r="Q139" i="16"/>
  <c r="Q178" i="16" s="1"/>
  <c r="P139" i="16"/>
  <c r="P178" i="16" s="1"/>
  <c r="O139" i="16"/>
  <c r="N139" i="16"/>
  <c r="M139" i="16"/>
  <c r="L139" i="16"/>
  <c r="K139" i="16"/>
  <c r="J139" i="16"/>
  <c r="I139" i="16"/>
  <c r="I178" i="16" s="1"/>
  <c r="H139" i="16"/>
  <c r="G139" i="16"/>
  <c r="G178" i="16" s="1"/>
  <c r="F139" i="16"/>
  <c r="E139" i="16"/>
  <c r="E178" i="16" s="1"/>
  <c r="D139" i="16"/>
  <c r="V138" i="16"/>
  <c r="U138" i="16"/>
  <c r="U177" i="16" s="1"/>
  <c r="T138" i="16"/>
  <c r="T177" i="16" s="1"/>
  <c r="S138" i="16"/>
  <c r="S177" i="16" s="1"/>
  <c r="R138" i="16"/>
  <c r="Q138" i="16"/>
  <c r="P138" i="16"/>
  <c r="O138" i="16"/>
  <c r="N138" i="16"/>
  <c r="M138" i="16"/>
  <c r="M177" i="16" s="1"/>
  <c r="L138" i="16"/>
  <c r="L177" i="16" s="1"/>
  <c r="K138" i="16"/>
  <c r="J138" i="16"/>
  <c r="J177" i="16" s="1"/>
  <c r="I138" i="16"/>
  <c r="H138" i="16"/>
  <c r="H177" i="16" s="1"/>
  <c r="G138" i="16"/>
  <c r="F138" i="16"/>
  <c r="E138" i="16"/>
  <c r="E177" i="16" s="1"/>
  <c r="D138" i="16"/>
  <c r="D177" i="16" s="1"/>
  <c r="V137" i="16"/>
  <c r="V176" i="16" s="1"/>
  <c r="U137" i="16"/>
  <c r="T137" i="16"/>
  <c r="S137" i="16"/>
  <c r="S176" i="16" s="1"/>
  <c r="R137" i="16"/>
  <c r="Q137" i="16"/>
  <c r="P137" i="16"/>
  <c r="O137" i="16"/>
  <c r="N137" i="16"/>
  <c r="M137" i="16"/>
  <c r="M176" i="16" s="1"/>
  <c r="L137" i="16"/>
  <c r="K137" i="16"/>
  <c r="K176" i="16" s="1"/>
  <c r="J137" i="16"/>
  <c r="I137" i="16"/>
  <c r="H137" i="16"/>
  <c r="H176" i="16" s="1"/>
  <c r="G137" i="16"/>
  <c r="G176" i="16" s="1"/>
  <c r="F137" i="16"/>
  <c r="F176" i="16" s="1"/>
  <c r="E137" i="16"/>
  <c r="D137" i="16"/>
  <c r="V136" i="16"/>
  <c r="V175" i="16" s="1"/>
  <c r="U136" i="16"/>
  <c r="T136" i="16"/>
  <c r="S136" i="16"/>
  <c r="S175" i="16" s="1"/>
  <c r="R136" i="16"/>
  <c r="R175" i="16" s="1"/>
  <c r="Q136" i="16"/>
  <c r="P136" i="16"/>
  <c r="P175" i="16" s="1"/>
  <c r="O136" i="16"/>
  <c r="N136" i="16"/>
  <c r="N175" i="16" s="1"/>
  <c r="M136" i="16"/>
  <c r="L136" i="16"/>
  <c r="K136" i="16"/>
  <c r="J136" i="16"/>
  <c r="J175" i="16" s="1"/>
  <c r="I136" i="16"/>
  <c r="I175" i="16" s="1"/>
  <c r="H136" i="16"/>
  <c r="G136" i="16"/>
  <c r="F136" i="16"/>
  <c r="F175" i="16" s="1"/>
  <c r="E136" i="16"/>
  <c r="D136" i="16"/>
  <c r="V135" i="16"/>
  <c r="U135" i="16"/>
  <c r="U174" i="16" s="1"/>
  <c r="T135" i="16"/>
  <c r="S135" i="16"/>
  <c r="S174" i="16" s="1"/>
  <c r="R135" i="16"/>
  <c r="Q135" i="16"/>
  <c r="Q174" i="16" s="1"/>
  <c r="P135" i="16"/>
  <c r="O135" i="16"/>
  <c r="N135" i="16"/>
  <c r="N174" i="16" s="1"/>
  <c r="M135" i="16"/>
  <c r="M174" i="16" s="1"/>
  <c r="L135" i="16"/>
  <c r="L174" i="16" s="1"/>
  <c r="K135" i="16"/>
  <c r="J135" i="16"/>
  <c r="I135" i="16"/>
  <c r="H135" i="16"/>
  <c r="G135" i="16"/>
  <c r="F135" i="16"/>
  <c r="F174" i="16" s="1"/>
  <c r="E135" i="16"/>
  <c r="E174" i="16" s="1"/>
  <c r="D135" i="16"/>
  <c r="V134" i="16"/>
  <c r="V173" i="16" s="1"/>
  <c r="U134" i="16"/>
  <c r="T134" i="16"/>
  <c r="T173" i="16" s="1"/>
  <c r="S134" i="16"/>
  <c r="R134" i="16"/>
  <c r="Q134" i="16"/>
  <c r="Q173" i="16" s="1"/>
  <c r="P134" i="16"/>
  <c r="P173" i="16" s="1"/>
  <c r="O134" i="16"/>
  <c r="O173" i="16" s="1"/>
  <c r="N134" i="16"/>
  <c r="M134" i="16"/>
  <c r="L134" i="16"/>
  <c r="L173" i="16" s="1"/>
  <c r="K134" i="16"/>
  <c r="J134" i="16"/>
  <c r="I134" i="16"/>
  <c r="H134" i="16"/>
  <c r="G134" i="16"/>
  <c r="F134" i="16"/>
  <c r="F173" i="16" s="1"/>
  <c r="E134" i="16"/>
  <c r="D134" i="16"/>
  <c r="D173" i="16" s="1"/>
  <c r="V133" i="16"/>
  <c r="U133" i="16"/>
  <c r="T133" i="16"/>
  <c r="T172" i="16" s="1"/>
  <c r="S133" i="16"/>
  <c r="S172" i="16" s="1"/>
  <c r="R133" i="16"/>
  <c r="R172" i="16" s="1"/>
  <c r="Q133" i="16"/>
  <c r="P133" i="16"/>
  <c r="O133" i="16"/>
  <c r="O172" i="16" s="1"/>
  <c r="N133" i="16"/>
  <c r="M133" i="16"/>
  <c r="L133" i="16"/>
  <c r="L172" i="16" s="1"/>
  <c r="K133" i="16"/>
  <c r="K172" i="16" s="1"/>
  <c r="J133" i="16"/>
  <c r="I133" i="16"/>
  <c r="I172" i="16" s="1"/>
  <c r="H133" i="16"/>
  <c r="G133" i="16"/>
  <c r="G172" i="16" s="1"/>
  <c r="F133" i="16"/>
  <c r="E133" i="16"/>
  <c r="D133" i="16"/>
  <c r="V132" i="16"/>
  <c r="V171" i="16" s="1"/>
  <c r="U132" i="16"/>
  <c r="U171" i="16" s="1"/>
  <c r="T132" i="16"/>
  <c r="S132" i="16"/>
  <c r="R132" i="16"/>
  <c r="R171" i="16" s="1"/>
  <c r="Q132" i="16"/>
  <c r="P132" i="16"/>
  <c r="O132" i="16"/>
  <c r="N132" i="16"/>
  <c r="N171" i="16" s="1"/>
  <c r="M132" i="16"/>
  <c r="L132" i="16"/>
  <c r="L171" i="16" s="1"/>
  <c r="K132" i="16"/>
  <c r="J132" i="16"/>
  <c r="J171" i="16" s="1"/>
  <c r="I132" i="16"/>
  <c r="H132" i="16"/>
  <c r="G132" i="16"/>
  <c r="G159" i="16" s="1"/>
  <c r="F132" i="16"/>
  <c r="F171" i="16" s="1"/>
  <c r="E132" i="16"/>
  <c r="E171" i="16" s="1"/>
  <c r="D132" i="16"/>
  <c r="V131" i="16"/>
  <c r="U131" i="16"/>
  <c r="T131" i="16"/>
  <c r="S131" i="16"/>
  <c r="R131" i="16"/>
  <c r="R170" i="16" s="1"/>
  <c r="Q131" i="16"/>
  <c r="Q170" i="16" s="1"/>
  <c r="P131" i="16"/>
  <c r="O131" i="16"/>
  <c r="O170" i="16" s="1"/>
  <c r="N131" i="16"/>
  <c r="M131" i="16"/>
  <c r="M170" i="16" s="1"/>
  <c r="L131" i="16"/>
  <c r="K131" i="16"/>
  <c r="J131" i="16"/>
  <c r="I131" i="16"/>
  <c r="I170" i="16" s="1"/>
  <c r="H131" i="16"/>
  <c r="H170" i="16" s="1"/>
  <c r="G131" i="16"/>
  <c r="F131" i="16"/>
  <c r="E131" i="16"/>
  <c r="E170" i="16" s="1"/>
  <c r="D131" i="16"/>
  <c r="V130" i="16"/>
  <c r="U130" i="16"/>
  <c r="T130" i="16"/>
  <c r="T159" i="16" s="1"/>
  <c r="S130" i="16"/>
  <c r="R130" i="16"/>
  <c r="Q130" i="16"/>
  <c r="P130" i="16"/>
  <c r="P169" i="16" s="1"/>
  <c r="O130" i="16"/>
  <c r="N130" i="16"/>
  <c r="M130" i="16"/>
  <c r="M159" i="16" s="1"/>
  <c r="L130" i="16"/>
  <c r="K130" i="16"/>
  <c r="J130" i="16"/>
  <c r="I130" i="16"/>
  <c r="H130" i="16"/>
  <c r="H169" i="16" s="1"/>
  <c r="G130" i="16"/>
  <c r="F130" i="16"/>
  <c r="E130" i="16"/>
  <c r="D130" i="16"/>
  <c r="D159" i="16" s="1"/>
  <c r="V119" i="16"/>
  <c r="U119" i="16"/>
  <c r="T119" i="16"/>
  <c r="Q119" i="16"/>
  <c r="M119" i="16"/>
  <c r="D119" i="16"/>
  <c r="T118" i="16"/>
  <c r="M118" i="16"/>
  <c r="E118" i="16"/>
  <c r="D118" i="16"/>
  <c r="D117" i="16"/>
  <c r="V116" i="16"/>
  <c r="S116" i="16"/>
  <c r="P116" i="16"/>
  <c r="O116" i="16"/>
  <c r="J116" i="16"/>
  <c r="H116" i="16"/>
  <c r="F116" i="16"/>
  <c r="P115" i="16"/>
  <c r="F115" i="16"/>
  <c r="E115" i="16"/>
  <c r="Q114" i="16"/>
  <c r="F114" i="16"/>
  <c r="E114" i="16"/>
  <c r="H113" i="16"/>
  <c r="G113" i="16"/>
  <c r="F113" i="16"/>
  <c r="V112" i="16"/>
  <c r="R112" i="16"/>
  <c r="I112" i="16"/>
  <c r="F112" i="16"/>
  <c r="R111" i="16"/>
  <c r="J111" i="16"/>
  <c r="I111" i="16"/>
  <c r="J110" i="16"/>
  <c r="I110" i="16"/>
  <c r="H110" i="16"/>
  <c r="T109" i="16"/>
  <c r="O109" i="16"/>
  <c r="K109" i="16"/>
  <c r="U108" i="16"/>
  <c r="K108" i="16"/>
  <c r="J108" i="16"/>
  <c r="V107" i="16"/>
  <c r="K107" i="16"/>
  <c r="M106" i="16"/>
  <c r="L106" i="16"/>
  <c r="K106" i="16"/>
  <c r="H106" i="16"/>
  <c r="D106" i="16"/>
  <c r="N105" i="16"/>
  <c r="D105" i="16"/>
  <c r="O104" i="16"/>
  <c r="N104" i="16"/>
  <c r="V103" i="16"/>
  <c r="U103" i="16"/>
  <c r="T103" i="16"/>
  <c r="S103" i="16"/>
  <c r="R103" i="16"/>
  <c r="Q103" i="16"/>
  <c r="P103" i="16"/>
  <c r="O103" i="16"/>
  <c r="N103" i="16"/>
  <c r="M103" i="16"/>
  <c r="L103" i="16"/>
  <c r="K103" i="16"/>
  <c r="J103" i="16"/>
  <c r="I103" i="16"/>
  <c r="H103" i="16"/>
  <c r="G103" i="16"/>
  <c r="F103" i="16"/>
  <c r="E103" i="16"/>
  <c r="D103" i="16"/>
  <c r="R102" i="16"/>
  <c r="Q102" i="16"/>
  <c r="I102" i="16"/>
  <c r="Q101" i="16"/>
  <c r="P101" i="16"/>
  <c r="J101" i="16"/>
  <c r="D101" i="16"/>
  <c r="S100" i="16"/>
  <c r="R100" i="16"/>
  <c r="K100" i="16"/>
  <c r="T99" i="16"/>
  <c r="S99" i="16"/>
  <c r="K99" i="16"/>
  <c r="U98" i="16"/>
  <c r="P98" i="16"/>
  <c r="V97" i="16"/>
  <c r="U97" i="16"/>
  <c r="P97" i="16"/>
  <c r="L97" i="16"/>
  <c r="D97" i="16"/>
  <c r="V96" i="16"/>
  <c r="D96" i="16"/>
  <c r="V95" i="16"/>
  <c r="N95" i="16"/>
  <c r="V94" i="16"/>
  <c r="U94" i="16"/>
  <c r="O94" i="16"/>
  <c r="I94" i="16"/>
  <c r="E94" i="16"/>
  <c r="D94" i="16"/>
  <c r="P93" i="16"/>
  <c r="E93" i="16"/>
  <c r="P92" i="16"/>
  <c r="G92" i="16"/>
  <c r="H91" i="16"/>
  <c r="G91" i="16"/>
  <c r="V80" i="16"/>
  <c r="U80" i="16"/>
  <c r="T80" i="16"/>
  <c r="S80" i="16"/>
  <c r="S119" i="16" s="1"/>
  <c r="R80" i="16"/>
  <c r="R119" i="16" s="1"/>
  <c r="Q80" i="16"/>
  <c r="P80" i="16"/>
  <c r="O80" i="16"/>
  <c r="N80" i="16"/>
  <c r="N119" i="16" s="1"/>
  <c r="M80" i="16"/>
  <c r="L80" i="16"/>
  <c r="K80" i="16"/>
  <c r="K119" i="16" s="1"/>
  <c r="J80" i="16"/>
  <c r="I80" i="16"/>
  <c r="I119" i="16" s="1"/>
  <c r="H80" i="16"/>
  <c r="G80" i="16"/>
  <c r="F80" i="16"/>
  <c r="E80" i="16"/>
  <c r="E119" i="16" s="1"/>
  <c r="D80" i="16"/>
  <c r="V79" i="16"/>
  <c r="V118" i="16" s="1"/>
  <c r="U79" i="16"/>
  <c r="T79" i="16"/>
  <c r="S79" i="16"/>
  <c r="R79" i="16"/>
  <c r="Q79" i="16"/>
  <c r="Q118" i="16" s="1"/>
  <c r="P79" i="16"/>
  <c r="P118" i="16" s="1"/>
  <c r="O79" i="16"/>
  <c r="N79" i="16"/>
  <c r="N118" i="16" s="1"/>
  <c r="M79" i="16"/>
  <c r="L79" i="16"/>
  <c r="L118" i="16" s="1"/>
  <c r="K79" i="16"/>
  <c r="J79" i="16"/>
  <c r="J118" i="16" s="1"/>
  <c r="I79" i="16"/>
  <c r="H79" i="16"/>
  <c r="H118" i="16" s="1"/>
  <c r="G79" i="16"/>
  <c r="G118" i="16" s="1"/>
  <c r="F79" i="16"/>
  <c r="F118" i="16" s="1"/>
  <c r="E79" i="16"/>
  <c r="D79" i="16"/>
  <c r="V78" i="16"/>
  <c r="U78" i="16"/>
  <c r="T78" i="16"/>
  <c r="T117" i="16" s="1"/>
  <c r="S78" i="16"/>
  <c r="S117" i="16" s="1"/>
  <c r="R78" i="16"/>
  <c r="Q78" i="16"/>
  <c r="Q117" i="16" s="1"/>
  <c r="P78" i="16"/>
  <c r="O78" i="16"/>
  <c r="O117" i="16" s="1"/>
  <c r="N78" i="16"/>
  <c r="M78" i="16"/>
  <c r="L78" i="16"/>
  <c r="K78" i="16"/>
  <c r="K117" i="16" s="1"/>
  <c r="J78" i="16"/>
  <c r="J117" i="16" s="1"/>
  <c r="I78" i="16"/>
  <c r="I117" i="16" s="1"/>
  <c r="H78" i="16"/>
  <c r="H117" i="16" s="1"/>
  <c r="G78" i="16"/>
  <c r="G117" i="16" s="1"/>
  <c r="F78" i="16"/>
  <c r="E78" i="16"/>
  <c r="D78" i="16"/>
  <c r="V77" i="16"/>
  <c r="U77" i="16"/>
  <c r="T77" i="16"/>
  <c r="T116" i="16" s="1"/>
  <c r="S77" i="16"/>
  <c r="R77" i="16"/>
  <c r="R116" i="16" s="1"/>
  <c r="Q77" i="16"/>
  <c r="Q116" i="16" s="1"/>
  <c r="P77" i="16"/>
  <c r="O77" i="16"/>
  <c r="N77" i="16"/>
  <c r="N116" i="16" s="1"/>
  <c r="M77" i="16"/>
  <c r="M116" i="16" s="1"/>
  <c r="L77" i="16"/>
  <c r="L116" i="16" s="1"/>
  <c r="K77" i="16"/>
  <c r="K116" i="16" s="1"/>
  <c r="J77" i="16"/>
  <c r="I77" i="16"/>
  <c r="I116" i="16" s="1"/>
  <c r="H77" i="16"/>
  <c r="G77" i="16"/>
  <c r="G116" i="16" s="1"/>
  <c r="F77" i="16"/>
  <c r="E77" i="16"/>
  <c r="E116" i="16" s="1"/>
  <c r="D77" i="16"/>
  <c r="D116" i="16" s="1"/>
  <c r="V76" i="16"/>
  <c r="U76" i="16"/>
  <c r="U115" i="16" s="1"/>
  <c r="T76" i="16"/>
  <c r="S76" i="16"/>
  <c r="R76" i="16"/>
  <c r="Q76" i="16"/>
  <c r="Q115" i="16" s="1"/>
  <c r="P76" i="16"/>
  <c r="O76" i="16"/>
  <c r="O115" i="16" s="1"/>
  <c r="N76" i="16"/>
  <c r="N115" i="16" s="1"/>
  <c r="M76" i="16"/>
  <c r="M115" i="16" s="1"/>
  <c r="L76" i="16"/>
  <c r="K76" i="16"/>
  <c r="J76" i="16"/>
  <c r="J115" i="16" s="1"/>
  <c r="I76" i="16"/>
  <c r="I115" i="16" s="1"/>
  <c r="H76" i="16"/>
  <c r="G76" i="16"/>
  <c r="G115" i="16" s="1"/>
  <c r="F76" i="16"/>
  <c r="E76" i="16"/>
  <c r="D76" i="16"/>
  <c r="V75" i="16"/>
  <c r="U75" i="16"/>
  <c r="T75" i="16"/>
  <c r="T114" i="16" s="1"/>
  <c r="S75" i="16"/>
  <c r="S114" i="16" s="1"/>
  <c r="R75" i="16"/>
  <c r="R114" i="16" s="1"/>
  <c r="Q75" i="16"/>
  <c r="P75" i="16"/>
  <c r="P114" i="16" s="1"/>
  <c r="O75" i="16"/>
  <c r="N75" i="16"/>
  <c r="M75" i="16"/>
  <c r="M114" i="16" s="1"/>
  <c r="L75" i="16"/>
  <c r="L114" i="16" s="1"/>
  <c r="K75" i="16"/>
  <c r="J75" i="16"/>
  <c r="J114" i="16" s="1"/>
  <c r="I75" i="16"/>
  <c r="H75" i="16"/>
  <c r="H114" i="16" s="1"/>
  <c r="G75" i="16"/>
  <c r="F75" i="16"/>
  <c r="E75" i="16"/>
  <c r="D75" i="16"/>
  <c r="D114" i="16" s="1"/>
  <c r="V74" i="16"/>
  <c r="V113" i="16" s="1"/>
  <c r="U74" i="16"/>
  <c r="U113" i="16" s="1"/>
  <c r="T74" i="16"/>
  <c r="T113" i="16" s="1"/>
  <c r="S74" i="16"/>
  <c r="S113" i="16" s="1"/>
  <c r="R74" i="16"/>
  <c r="Q74" i="16"/>
  <c r="P74" i="16"/>
  <c r="P113" i="16" s="1"/>
  <c r="O74" i="16"/>
  <c r="O113" i="16" s="1"/>
  <c r="N74" i="16"/>
  <c r="M74" i="16"/>
  <c r="M113" i="16" s="1"/>
  <c r="L74" i="16"/>
  <c r="K74" i="16"/>
  <c r="K113" i="16" s="1"/>
  <c r="J74" i="16"/>
  <c r="I74" i="16"/>
  <c r="I113" i="16" s="1"/>
  <c r="H74" i="16"/>
  <c r="G74" i="16"/>
  <c r="F74" i="16"/>
  <c r="E74" i="16"/>
  <c r="E113" i="16" s="1"/>
  <c r="D74" i="16"/>
  <c r="D113" i="16" s="1"/>
  <c r="V73" i="16"/>
  <c r="U73" i="16"/>
  <c r="T73" i="16"/>
  <c r="S73" i="16"/>
  <c r="S112" i="16" s="1"/>
  <c r="R73" i="16"/>
  <c r="Q73" i="16"/>
  <c r="P73" i="16"/>
  <c r="P112" i="16" s="1"/>
  <c r="O73" i="16"/>
  <c r="N73" i="16"/>
  <c r="N112" i="16" s="1"/>
  <c r="M73" i="16"/>
  <c r="L73" i="16"/>
  <c r="K73" i="16"/>
  <c r="J73" i="16"/>
  <c r="J112" i="16" s="1"/>
  <c r="I73" i="16"/>
  <c r="H73" i="16"/>
  <c r="H112" i="16" s="1"/>
  <c r="G73" i="16"/>
  <c r="F73" i="16"/>
  <c r="E73" i="16"/>
  <c r="D73" i="16"/>
  <c r="V72" i="16"/>
  <c r="V111" i="16" s="1"/>
  <c r="U72" i="16"/>
  <c r="U111" i="16" s="1"/>
  <c r="T72" i="16"/>
  <c r="S72" i="16"/>
  <c r="S111" i="16" s="1"/>
  <c r="R72" i="16"/>
  <c r="Q72" i="16"/>
  <c r="Q111" i="16" s="1"/>
  <c r="P72" i="16"/>
  <c r="O72" i="16"/>
  <c r="O111" i="16" s="1"/>
  <c r="N72" i="16"/>
  <c r="M72" i="16"/>
  <c r="M111" i="16" s="1"/>
  <c r="L72" i="16"/>
  <c r="L111" i="16" s="1"/>
  <c r="K72" i="16"/>
  <c r="K111" i="16" s="1"/>
  <c r="J72" i="16"/>
  <c r="I72" i="16"/>
  <c r="H72" i="16"/>
  <c r="G72" i="16"/>
  <c r="F72" i="16"/>
  <c r="F111" i="16" s="1"/>
  <c r="E72" i="16"/>
  <c r="E111" i="16" s="1"/>
  <c r="D72" i="16"/>
  <c r="V71" i="16"/>
  <c r="V110" i="16" s="1"/>
  <c r="U71" i="16"/>
  <c r="T71" i="16"/>
  <c r="T110" i="16" s="1"/>
  <c r="S71" i="16"/>
  <c r="R71" i="16"/>
  <c r="Q71" i="16"/>
  <c r="P71" i="16"/>
  <c r="P110" i="16" s="1"/>
  <c r="O71" i="16"/>
  <c r="O110" i="16" s="1"/>
  <c r="N71" i="16"/>
  <c r="N110" i="16" s="1"/>
  <c r="M71" i="16"/>
  <c r="M110" i="16" s="1"/>
  <c r="L71" i="16"/>
  <c r="L110" i="16" s="1"/>
  <c r="K71" i="16"/>
  <c r="J71" i="16"/>
  <c r="I71" i="16"/>
  <c r="H71" i="16"/>
  <c r="G71" i="16"/>
  <c r="F71" i="16"/>
  <c r="F110" i="16" s="1"/>
  <c r="E71" i="16"/>
  <c r="D71" i="16"/>
  <c r="D110" i="16" s="1"/>
  <c r="V70" i="16"/>
  <c r="U70" i="16"/>
  <c r="U109" i="16" s="1"/>
  <c r="T70" i="16"/>
  <c r="S70" i="16"/>
  <c r="S109" i="16" s="1"/>
  <c r="R70" i="16"/>
  <c r="R109" i="16" s="1"/>
  <c r="Q70" i="16"/>
  <c r="Q109" i="16" s="1"/>
  <c r="P70" i="16"/>
  <c r="P109" i="16" s="1"/>
  <c r="O70" i="16"/>
  <c r="N70" i="16"/>
  <c r="M70" i="16"/>
  <c r="L70" i="16"/>
  <c r="L109" i="16" s="1"/>
  <c r="K70" i="16"/>
  <c r="J70" i="16"/>
  <c r="I70" i="16"/>
  <c r="I109" i="16" s="1"/>
  <c r="H70" i="16"/>
  <c r="G70" i="16"/>
  <c r="G109" i="16" s="1"/>
  <c r="F70" i="16"/>
  <c r="E70" i="16"/>
  <c r="D70" i="16"/>
  <c r="V69" i="16"/>
  <c r="V108" i="16" s="1"/>
  <c r="U69" i="16"/>
  <c r="T69" i="16"/>
  <c r="T108" i="16" s="1"/>
  <c r="S69" i="16"/>
  <c r="S108" i="16" s="1"/>
  <c r="R69" i="16"/>
  <c r="R108" i="16" s="1"/>
  <c r="Q69" i="16"/>
  <c r="P69" i="16"/>
  <c r="O69" i="16"/>
  <c r="O108" i="16" s="1"/>
  <c r="N69" i="16"/>
  <c r="N108" i="16" s="1"/>
  <c r="M69" i="16"/>
  <c r="L69" i="16"/>
  <c r="L108" i="16" s="1"/>
  <c r="K69" i="16"/>
  <c r="J69" i="16"/>
  <c r="I69" i="16"/>
  <c r="H69" i="16"/>
  <c r="G69" i="16"/>
  <c r="F69" i="16"/>
  <c r="F108" i="16" s="1"/>
  <c r="E69" i="16"/>
  <c r="E108" i="16" s="1"/>
  <c r="D69" i="16"/>
  <c r="D108" i="16" s="1"/>
  <c r="V68" i="16"/>
  <c r="U68" i="16"/>
  <c r="U107" i="16" s="1"/>
  <c r="T68" i="16"/>
  <c r="S68" i="16"/>
  <c r="R68" i="16"/>
  <c r="R107" i="16" s="1"/>
  <c r="Q68" i="16"/>
  <c r="Q107" i="16" s="1"/>
  <c r="P68" i="16"/>
  <c r="O68" i="16"/>
  <c r="O107" i="16" s="1"/>
  <c r="N68" i="16"/>
  <c r="M68" i="16"/>
  <c r="M107" i="16" s="1"/>
  <c r="L68" i="16"/>
  <c r="K68" i="16"/>
  <c r="J68" i="16"/>
  <c r="I68" i="16"/>
  <c r="I107" i="16" s="1"/>
  <c r="H68" i="16"/>
  <c r="H107" i="16" s="1"/>
  <c r="G68" i="16"/>
  <c r="G107" i="16" s="1"/>
  <c r="F68" i="16"/>
  <c r="F107" i="16" s="1"/>
  <c r="E68" i="16"/>
  <c r="E107" i="16" s="1"/>
  <c r="D68" i="16"/>
  <c r="V67" i="16"/>
  <c r="U67" i="16"/>
  <c r="U106" i="16" s="1"/>
  <c r="T67" i="16"/>
  <c r="T106" i="16" s="1"/>
  <c r="S67" i="16"/>
  <c r="R67" i="16"/>
  <c r="R106" i="16" s="1"/>
  <c r="Q67" i="16"/>
  <c r="P67" i="16"/>
  <c r="P106" i="16" s="1"/>
  <c r="O67" i="16"/>
  <c r="N67" i="16"/>
  <c r="N106" i="16" s="1"/>
  <c r="M67" i="16"/>
  <c r="L67" i="16"/>
  <c r="K67" i="16"/>
  <c r="J67" i="16"/>
  <c r="J106" i="16" s="1"/>
  <c r="I67" i="16"/>
  <c r="I106" i="16" s="1"/>
  <c r="H67" i="16"/>
  <c r="G67" i="16"/>
  <c r="F67" i="16"/>
  <c r="E67" i="16"/>
  <c r="E106" i="16" s="1"/>
  <c r="D67" i="16"/>
  <c r="V66" i="16"/>
  <c r="U66" i="16"/>
  <c r="U105" i="16" s="1"/>
  <c r="T66" i="16"/>
  <c r="S66" i="16"/>
  <c r="S105" i="16" s="1"/>
  <c r="R66" i="16"/>
  <c r="Q66" i="16"/>
  <c r="P66" i="16"/>
  <c r="O66" i="16"/>
  <c r="O105" i="16" s="1"/>
  <c r="N66" i="16"/>
  <c r="M66" i="16"/>
  <c r="M105" i="16" s="1"/>
  <c r="L66" i="16"/>
  <c r="K66" i="16"/>
  <c r="K105" i="16" s="1"/>
  <c r="J66" i="16"/>
  <c r="I66" i="16"/>
  <c r="H66" i="16"/>
  <c r="H105" i="16" s="1"/>
  <c r="G66" i="16"/>
  <c r="G105" i="16" s="1"/>
  <c r="F66" i="16"/>
  <c r="E66" i="16"/>
  <c r="E105" i="16" s="1"/>
  <c r="D66" i="16"/>
  <c r="V65" i="16"/>
  <c r="V104" i="16" s="1"/>
  <c r="U65" i="16"/>
  <c r="T65" i="16"/>
  <c r="T104" i="16" s="1"/>
  <c r="S65" i="16"/>
  <c r="R65" i="16"/>
  <c r="R104" i="16" s="1"/>
  <c r="Q65" i="16"/>
  <c r="Q104" i="16" s="1"/>
  <c r="P65" i="16"/>
  <c r="P104" i="16" s="1"/>
  <c r="O65" i="16"/>
  <c r="N65" i="16"/>
  <c r="M65" i="16"/>
  <c r="L65" i="16"/>
  <c r="K65" i="16"/>
  <c r="K104" i="16" s="1"/>
  <c r="J65" i="16"/>
  <c r="J104" i="16" s="1"/>
  <c r="I65" i="16"/>
  <c r="H65" i="16"/>
  <c r="H104" i="16" s="1"/>
  <c r="G65" i="16"/>
  <c r="F65" i="16"/>
  <c r="F104" i="16" s="1"/>
  <c r="E65" i="16"/>
  <c r="D65" i="16"/>
  <c r="V63" i="16"/>
  <c r="U63" i="16"/>
  <c r="U102" i="16" s="1"/>
  <c r="T63" i="16"/>
  <c r="T102" i="16" s="1"/>
  <c r="S63" i="16"/>
  <c r="S102" i="16" s="1"/>
  <c r="R63" i="16"/>
  <c r="Q63" i="16"/>
  <c r="P63" i="16"/>
  <c r="O63" i="16"/>
  <c r="N63" i="16"/>
  <c r="N102" i="16" s="1"/>
  <c r="M63" i="16"/>
  <c r="M102" i="16" s="1"/>
  <c r="L63" i="16"/>
  <c r="K63" i="16"/>
  <c r="K102" i="16" s="1"/>
  <c r="J63" i="16"/>
  <c r="I63" i="16"/>
  <c r="H63" i="16"/>
  <c r="G63" i="16"/>
  <c r="G102" i="16" s="1"/>
  <c r="F63" i="16"/>
  <c r="E63" i="16"/>
  <c r="E102" i="16" s="1"/>
  <c r="D63" i="16"/>
  <c r="D102" i="16" s="1"/>
  <c r="V62" i="16"/>
  <c r="V101" i="16" s="1"/>
  <c r="U62" i="16"/>
  <c r="U101" i="16" s="1"/>
  <c r="T62" i="16"/>
  <c r="T101" i="16" s="1"/>
  <c r="S62" i="16"/>
  <c r="R62" i="16"/>
  <c r="Q62" i="16"/>
  <c r="P62" i="16"/>
  <c r="O62" i="16"/>
  <c r="O101" i="16" s="1"/>
  <c r="N62" i="16"/>
  <c r="N101" i="16" s="1"/>
  <c r="M62" i="16"/>
  <c r="L62" i="16"/>
  <c r="L101" i="16" s="1"/>
  <c r="K62" i="16"/>
  <c r="J62" i="16"/>
  <c r="I62" i="16"/>
  <c r="H62" i="16"/>
  <c r="H101" i="16" s="1"/>
  <c r="G62" i="16"/>
  <c r="G101" i="16" s="1"/>
  <c r="F62" i="16"/>
  <c r="F101" i="16" s="1"/>
  <c r="E62" i="16"/>
  <c r="E101" i="16" s="1"/>
  <c r="D62" i="16"/>
  <c r="V61" i="16"/>
  <c r="U61" i="16"/>
  <c r="T61" i="16"/>
  <c r="T100" i="16" s="1"/>
  <c r="S61" i="16"/>
  <c r="R61" i="16"/>
  <c r="Q61" i="16"/>
  <c r="Q100" i="16" s="1"/>
  <c r="P61" i="16"/>
  <c r="O61" i="16"/>
  <c r="O100" i="16" s="1"/>
  <c r="N61" i="16"/>
  <c r="M61" i="16"/>
  <c r="L61" i="16"/>
  <c r="K61" i="16"/>
  <c r="J61" i="16"/>
  <c r="J100" i="16" s="1"/>
  <c r="I61" i="16"/>
  <c r="I100" i="16" s="1"/>
  <c r="H61" i="16"/>
  <c r="H100" i="16" s="1"/>
  <c r="G61" i="16"/>
  <c r="G100" i="16" s="1"/>
  <c r="F61" i="16"/>
  <c r="E61" i="16"/>
  <c r="D61" i="16"/>
  <c r="D100" i="16" s="1"/>
  <c r="V60" i="16"/>
  <c r="V99" i="16" s="1"/>
  <c r="U60" i="16"/>
  <c r="U99" i="16" s="1"/>
  <c r="T60" i="16"/>
  <c r="S60" i="16"/>
  <c r="R60" i="16"/>
  <c r="R99" i="16" s="1"/>
  <c r="Q60" i="16"/>
  <c r="P60" i="16"/>
  <c r="P99" i="16" s="1"/>
  <c r="O60" i="16"/>
  <c r="N60" i="16"/>
  <c r="N99" i="16" s="1"/>
  <c r="M60" i="16"/>
  <c r="M99" i="16" s="1"/>
  <c r="L60" i="16"/>
  <c r="L99" i="16" s="1"/>
  <c r="K60" i="16"/>
  <c r="J60" i="16"/>
  <c r="J99" i="16" s="1"/>
  <c r="I60" i="16"/>
  <c r="H60" i="16"/>
  <c r="G60" i="16"/>
  <c r="G99" i="16" s="1"/>
  <c r="F60" i="16"/>
  <c r="F99" i="16" s="1"/>
  <c r="E60" i="16"/>
  <c r="D60" i="16"/>
  <c r="D99" i="16" s="1"/>
  <c r="V59" i="16"/>
  <c r="U59" i="16"/>
  <c r="T59" i="16"/>
  <c r="S59" i="16"/>
  <c r="R59" i="16"/>
  <c r="Q59" i="16"/>
  <c r="Q98" i="16" s="1"/>
  <c r="P59" i="16"/>
  <c r="O59" i="16"/>
  <c r="O98" i="16" s="1"/>
  <c r="N59" i="16"/>
  <c r="N98" i="16" s="1"/>
  <c r="M59" i="16"/>
  <c r="M98" i="16" s="1"/>
  <c r="L59" i="16"/>
  <c r="K59" i="16"/>
  <c r="J59" i="16"/>
  <c r="J98" i="16" s="1"/>
  <c r="I59" i="16"/>
  <c r="I98" i="16" s="1"/>
  <c r="H59" i="16"/>
  <c r="H98" i="16" s="1"/>
  <c r="G59" i="16"/>
  <c r="G98" i="16" s="1"/>
  <c r="F59" i="16"/>
  <c r="E59" i="16"/>
  <c r="E98" i="16" s="1"/>
  <c r="D59" i="16"/>
  <c r="V58" i="16"/>
  <c r="U58" i="16"/>
  <c r="T58" i="16"/>
  <c r="T97" i="16" s="1"/>
  <c r="S58" i="16"/>
  <c r="S97" i="16" s="1"/>
  <c r="R58" i="16"/>
  <c r="R97" i="16" s="1"/>
  <c r="Q58" i="16"/>
  <c r="Q97" i="16" s="1"/>
  <c r="P58" i="16"/>
  <c r="O58" i="16"/>
  <c r="N58" i="16"/>
  <c r="M58" i="16"/>
  <c r="M97" i="16" s="1"/>
  <c r="L58" i="16"/>
  <c r="K58" i="16"/>
  <c r="K97" i="16" s="1"/>
  <c r="J58" i="16"/>
  <c r="J97" i="16" s="1"/>
  <c r="I58" i="16"/>
  <c r="H58" i="16"/>
  <c r="H97" i="16" s="1"/>
  <c r="G58" i="16"/>
  <c r="F58" i="16"/>
  <c r="E58" i="16"/>
  <c r="D58" i="16"/>
  <c r="V57" i="16"/>
  <c r="U57" i="16"/>
  <c r="U96" i="16" s="1"/>
  <c r="T57" i="16"/>
  <c r="S57" i="16"/>
  <c r="S96" i="16" s="1"/>
  <c r="R57" i="16"/>
  <c r="Q57" i="16"/>
  <c r="P57" i="16"/>
  <c r="P96" i="16" s="1"/>
  <c r="O57" i="16"/>
  <c r="O96" i="16" s="1"/>
  <c r="N57" i="16"/>
  <c r="N96" i="16" s="1"/>
  <c r="M57" i="16"/>
  <c r="M96" i="16" s="1"/>
  <c r="L57" i="16"/>
  <c r="K57" i="16"/>
  <c r="K96" i="16" s="1"/>
  <c r="J57" i="16"/>
  <c r="I57" i="16"/>
  <c r="I96" i="16" s="1"/>
  <c r="H57" i="16"/>
  <c r="G57" i="16"/>
  <c r="G96" i="16" s="1"/>
  <c r="F57" i="16"/>
  <c r="F96" i="16" s="1"/>
  <c r="E57" i="16"/>
  <c r="E96" i="16" s="1"/>
  <c r="D57" i="16"/>
  <c r="V56" i="16"/>
  <c r="U56" i="16"/>
  <c r="T56" i="16"/>
  <c r="S56" i="16"/>
  <c r="S95" i="16" s="1"/>
  <c r="R56" i="16"/>
  <c r="R95" i="16" s="1"/>
  <c r="Q56" i="16"/>
  <c r="P56" i="16"/>
  <c r="P95" i="16" s="1"/>
  <c r="O56" i="16"/>
  <c r="N56" i="16"/>
  <c r="M56" i="16"/>
  <c r="L56" i="16"/>
  <c r="L95" i="16" s="1"/>
  <c r="K56" i="16"/>
  <c r="J56" i="16"/>
  <c r="J95" i="16" s="1"/>
  <c r="I56" i="16"/>
  <c r="I95" i="16" s="1"/>
  <c r="H56" i="16"/>
  <c r="H95" i="16" s="1"/>
  <c r="G56" i="16"/>
  <c r="G95" i="16" s="1"/>
  <c r="F56" i="16"/>
  <c r="F95" i="16" s="1"/>
  <c r="E56" i="16"/>
  <c r="D56" i="16"/>
  <c r="V55" i="16"/>
  <c r="U55" i="16"/>
  <c r="T55" i="16"/>
  <c r="T94" i="16" s="1"/>
  <c r="S55" i="16"/>
  <c r="S94" i="16" s="1"/>
  <c r="R55" i="16"/>
  <c r="Q55" i="16"/>
  <c r="Q94" i="16" s="1"/>
  <c r="P55" i="16"/>
  <c r="O55" i="16"/>
  <c r="N55" i="16"/>
  <c r="M55" i="16"/>
  <c r="M94" i="16" s="1"/>
  <c r="L55" i="16"/>
  <c r="L94" i="16" s="1"/>
  <c r="K55" i="16"/>
  <c r="K94" i="16" s="1"/>
  <c r="J55" i="16"/>
  <c r="J94" i="16" s="1"/>
  <c r="I55" i="16"/>
  <c r="H55" i="16"/>
  <c r="G55" i="16"/>
  <c r="F55" i="16"/>
  <c r="F94" i="16" s="1"/>
  <c r="E55" i="16"/>
  <c r="D55" i="16"/>
  <c r="V54" i="16"/>
  <c r="V93" i="16" s="1"/>
  <c r="U54" i="16"/>
  <c r="T54" i="16"/>
  <c r="T93" i="16" s="1"/>
  <c r="S54" i="16"/>
  <c r="R54" i="16"/>
  <c r="Q54" i="16"/>
  <c r="P54" i="16"/>
  <c r="O54" i="16"/>
  <c r="O93" i="16" s="1"/>
  <c r="N54" i="16"/>
  <c r="N93" i="16" s="1"/>
  <c r="M54" i="16"/>
  <c r="M93" i="16" s="1"/>
  <c r="L54" i="16"/>
  <c r="L93" i="16" s="1"/>
  <c r="K54" i="16"/>
  <c r="J54" i="16"/>
  <c r="I54" i="16"/>
  <c r="I93" i="16" s="1"/>
  <c r="H54" i="16"/>
  <c r="H93" i="16" s="1"/>
  <c r="G54" i="16"/>
  <c r="G93" i="16" s="1"/>
  <c r="F54" i="16"/>
  <c r="F93" i="16" s="1"/>
  <c r="E54" i="16"/>
  <c r="D54" i="16"/>
  <c r="D93" i="16" s="1"/>
  <c r="V53" i="16"/>
  <c r="U53" i="16"/>
  <c r="U92" i="16" s="1"/>
  <c r="T53" i="16"/>
  <c r="S53" i="16"/>
  <c r="S92" i="16" s="1"/>
  <c r="R53" i="16"/>
  <c r="R92" i="16" s="1"/>
  <c r="Q53" i="16"/>
  <c r="Q92" i="16" s="1"/>
  <c r="P53" i="16"/>
  <c r="O53" i="16"/>
  <c r="O92" i="16" s="1"/>
  <c r="N53" i="16"/>
  <c r="M53" i="16"/>
  <c r="L53" i="16"/>
  <c r="L92" i="16" s="1"/>
  <c r="K53" i="16"/>
  <c r="K92" i="16" s="1"/>
  <c r="J53" i="16"/>
  <c r="I53" i="16"/>
  <c r="H53" i="16"/>
  <c r="G53" i="16"/>
  <c r="F53" i="16"/>
  <c r="E53" i="16"/>
  <c r="D53" i="16"/>
  <c r="V52" i="16"/>
  <c r="V91" i="16" s="1"/>
  <c r="U52" i="16"/>
  <c r="U91" i="16" s="1"/>
  <c r="T52" i="16"/>
  <c r="S52" i="16"/>
  <c r="S91" i="16" s="1"/>
  <c r="R52" i="16"/>
  <c r="R91" i="16" s="1"/>
  <c r="Q52" i="16"/>
  <c r="P52" i="16"/>
  <c r="O52" i="16"/>
  <c r="O91" i="16" s="1"/>
  <c r="N52" i="16"/>
  <c r="N91" i="16" s="1"/>
  <c r="M52" i="16"/>
  <c r="M91" i="16" s="1"/>
  <c r="L52" i="16"/>
  <c r="K52" i="16"/>
  <c r="J52" i="16"/>
  <c r="J91" i="16" s="1"/>
  <c r="I52" i="16"/>
  <c r="H52" i="16"/>
  <c r="G52" i="16"/>
  <c r="F52" i="16"/>
  <c r="F91" i="16" s="1"/>
  <c r="E52" i="16"/>
  <c r="E91" i="16" s="1"/>
  <c r="D52" i="16"/>
  <c r="V41" i="16"/>
  <c r="V197" i="16" s="1"/>
  <c r="U41" i="16"/>
  <c r="U197" i="16" s="1"/>
  <c r="T41" i="16"/>
  <c r="T274" i="16" s="1"/>
  <c r="S41" i="16"/>
  <c r="R41" i="16"/>
  <c r="R197" i="16" s="1"/>
  <c r="Q41" i="16"/>
  <c r="P41" i="16"/>
  <c r="P274" i="16" s="1"/>
  <c r="O41" i="16"/>
  <c r="O119" i="16" s="1"/>
  <c r="N41" i="16"/>
  <c r="M41" i="16"/>
  <c r="L41" i="16"/>
  <c r="L274" i="16" s="1"/>
  <c r="K41" i="16"/>
  <c r="J41" i="16"/>
  <c r="J119" i="16" s="1"/>
  <c r="I41" i="16"/>
  <c r="I197" i="16" s="1"/>
  <c r="H41" i="16"/>
  <c r="G41" i="16"/>
  <c r="G274" i="16" s="1"/>
  <c r="F41" i="16"/>
  <c r="F119" i="16" s="1"/>
  <c r="E41" i="16"/>
  <c r="E197" i="16" s="1"/>
  <c r="D41" i="16"/>
  <c r="D274" i="16" s="1"/>
  <c r="V40" i="16"/>
  <c r="U40" i="16"/>
  <c r="U118" i="16" s="1"/>
  <c r="T40" i="16"/>
  <c r="S40" i="16"/>
  <c r="S273" i="16" s="1"/>
  <c r="R40" i="16"/>
  <c r="R118" i="16" s="1"/>
  <c r="Q40" i="16"/>
  <c r="P40" i="16"/>
  <c r="O40" i="16"/>
  <c r="O273" i="16" s="1"/>
  <c r="N40" i="16"/>
  <c r="M40" i="16"/>
  <c r="L40" i="16"/>
  <c r="L196" i="16" s="1"/>
  <c r="K40" i="16"/>
  <c r="J40" i="16"/>
  <c r="J273" i="16" s="1"/>
  <c r="I40" i="16"/>
  <c r="I118" i="16" s="1"/>
  <c r="H40" i="16"/>
  <c r="H196" i="16" s="1"/>
  <c r="G40" i="16"/>
  <c r="G273" i="16" s="1"/>
  <c r="F40" i="16"/>
  <c r="E40" i="16"/>
  <c r="E196" i="16" s="1"/>
  <c r="D40" i="16"/>
  <c r="V39" i="16"/>
  <c r="V272" i="16" s="1"/>
  <c r="U39" i="16"/>
  <c r="U117" i="16" s="1"/>
  <c r="T39" i="16"/>
  <c r="S39" i="16"/>
  <c r="R39" i="16"/>
  <c r="R272" i="16" s="1"/>
  <c r="Q39" i="16"/>
  <c r="P39" i="16"/>
  <c r="P117" i="16" s="1"/>
  <c r="O39" i="16"/>
  <c r="O195" i="16" s="1"/>
  <c r="N39" i="16"/>
  <c r="M39" i="16"/>
  <c r="M272" i="16" s="1"/>
  <c r="L39" i="16"/>
  <c r="L117" i="16" s="1"/>
  <c r="K39" i="16"/>
  <c r="K195" i="16" s="1"/>
  <c r="J39" i="16"/>
  <c r="J272" i="16" s="1"/>
  <c r="I39" i="16"/>
  <c r="H39" i="16"/>
  <c r="G39" i="16"/>
  <c r="F39" i="16"/>
  <c r="F272" i="16" s="1"/>
  <c r="E39" i="16"/>
  <c r="E117" i="16" s="1"/>
  <c r="D39" i="16"/>
  <c r="V38" i="16"/>
  <c r="U38" i="16"/>
  <c r="U271" i="16" s="1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V37" i="16"/>
  <c r="V115" i="16" s="1"/>
  <c r="U37" i="16"/>
  <c r="U193" i="16" s="1"/>
  <c r="T37" i="16"/>
  <c r="S37" i="16"/>
  <c r="S270" i="16" s="1"/>
  <c r="R37" i="16"/>
  <c r="R193" i="16" s="1"/>
  <c r="Q37" i="16"/>
  <c r="Q193" i="16" s="1"/>
  <c r="P37" i="16"/>
  <c r="P270" i="16" s="1"/>
  <c r="O37" i="16"/>
  <c r="N37" i="16"/>
  <c r="N193" i="16" s="1"/>
  <c r="M37" i="16"/>
  <c r="L37" i="16"/>
  <c r="L270" i="16" s="1"/>
  <c r="K37" i="16"/>
  <c r="J37" i="16"/>
  <c r="I37" i="16"/>
  <c r="H37" i="16"/>
  <c r="H270" i="16" s="1"/>
  <c r="G37" i="16"/>
  <c r="F37" i="16"/>
  <c r="E37" i="16"/>
  <c r="E193" i="16" s="1"/>
  <c r="D37" i="16"/>
  <c r="V36" i="16"/>
  <c r="V269" i="16" s="1"/>
  <c r="U36" i="16"/>
  <c r="U114" i="16" s="1"/>
  <c r="T36" i="16"/>
  <c r="T192" i="16" s="1"/>
  <c r="S36" i="16"/>
  <c r="S269" i="16" s="1"/>
  <c r="R36" i="16"/>
  <c r="Q36" i="16"/>
  <c r="P36" i="16"/>
  <c r="O36" i="16"/>
  <c r="O269" i="16" s="1"/>
  <c r="N36" i="16"/>
  <c r="N114" i="16" s="1"/>
  <c r="M36" i="16"/>
  <c r="L36" i="16"/>
  <c r="K36" i="16"/>
  <c r="K269" i="16" s="1"/>
  <c r="J36" i="16"/>
  <c r="I36" i="16"/>
  <c r="I114" i="16" s="1"/>
  <c r="H36" i="16"/>
  <c r="H192" i="16" s="1"/>
  <c r="G36" i="16"/>
  <c r="F36" i="16"/>
  <c r="F269" i="16" s="1"/>
  <c r="E36" i="16"/>
  <c r="E192" i="16" s="1"/>
  <c r="D36" i="16"/>
  <c r="D192" i="16" s="1"/>
  <c r="V35" i="16"/>
  <c r="V268" i="16" s="1"/>
  <c r="U35" i="16"/>
  <c r="T35" i="16"/>
  <c r="T191" i="16" s="1"/>
  <c r="S35" i="16"/>
  <c r="R35" i="16"/>
  <c r="R268" i="16" s="1"/>
  <c r="Q35" i="16"/>
  <c r="Q113" i="16" s="1"/>
  <c r="P35" i="16"/>
  <c r="O35" i="16"/>
  <c r="N35" i="16"/>
  <c r="N268" i="16" s="1"/>
  <c r="M35" i="16"/>
  <c r="L35" i="16"/>
  <c r="L113" i="16" s="1"/>
  <c r="K35" i="16"/>
  <c r="K191" i="16" s="1"/>
  <c r="J35" i="16"/>
  <c r="I35" i="16"/>
  <c r="I268" i="16" s="1"/>
  <c r="H35" i="16"/>
  <c r="G35" i="16"/>
  <c r="G191" i="16" s="1"/>
  <c r="F35" i="16"/>
  <c r="F268" i="16" s="1"/>
  <c r="E35" i="16"/>
  <c r="D35" i="16"/>
  <c r="D191" i="16" s="1"/>
  <c r="V34" i="16"/>
  <c r="U34" i="16"/>
  <c r="U267" i="16" s="1"/>
  <c r="T34" i="16"/>
  <c r="T112" i="16" s="1"/>
  <c r="S34" i="16"/>
  <c r="R34" i="16"/>
  <c r="Q34" i="16"/>
  <c r="Q267" i="16" s="1"/>
  <c r="P34" i="16"/>
  <c r="O34" i="16"/>
  <c r="O112" i="16" s="1"/>
  <c r="N34" i="16"/>
  <c r="M34" i="16"/>
  <c r="L34" i="16"/>
  <c r="L267" i="16" s="1"/>
  <c r="K34" i="16"/>
  <c r="K112" i="16" s="1"/>
  <c r="J34" i="16"/>
  <c r="J190" i="16" s="1"/>
  <c r="I34" i="16"/>
  <c r="I267" i="16" s="1"/>
  <c r="H34" i="16"/>
  <c r="G34" i="16"/>
  <c r="G112" i="16" s="1"/>
  <c r="F34" i="16"/>
  <c r="E34" i="16"/>
  <c r="E267" i="16" s="1"/>
  <c r="D34" i="16"/>
  <c r="D112" i="16" s="1"/>
  <c r="V33" i="16"/>
  <c r="U33" i="16"/>
  <c r="T33" i="16"/>
  <c r="T266" i="16" s="1"/>
  <c r="S33" i="16"/>
  <c r="R33" i="16"/>
  <c r="Q33" i="16"/>
  <c r="Q189" i="16" s="1"/>
  <c r="P33" i="16"/>
  <c r="O33" i="16"/>
  <c r="O266" i="16" s="1"/>
  <c r="N33" i="16"/>
  <c r="N189" i="16" s="1"/>
  <c r="M33" i="16"/>
  <c r="M189" i="16" s="1"/>
  <c r="L33" i="16"/>
  <c r="L266" i="16" s="1"/>
  <c r="K33" i="16"/>
  <c r="J33" i="16"/>
  <c r="I33" i="16"/>
  <c r="H33" i="16"/>
  <c r="H266" i="16" s="1"/>
  <c r="G33" i="16"/>
  <c r="G111" i="16" s="1"/>
  <c r="F33" i="16"/>
  <c r="E33" i="16"/>
  <c r="D33" i="16"/>
  <c r="D266" i="16" s="1"/>
  <c r="V32" i="16"/>
  <c r="U32" i="16"/>
  <c r="U110" i="16" s="1"/>
  <c r="T32" i="16"/>
  <c r="T188" i="16" s="1"/>
  <c r="S32" i="16"/>
  <c r="R32" i="16"/>
  <c r="R265" i="16" s="1"/>
  <c r="Q32" i="16"/>
  <c r="Q110" i="16" s="1"/>
  <c r="P32" i="16"/>
  <c r="P188" i="16" s="1"/>
  <c r="O32" i="16"/>
  <c r="O265" i="16" s="1"/>
  <c r="N32" i="16"/>
  <c r="M32" i="16"/>
  <c r="M188" i="16" s="1"/>
  <c r="L32" i="16"/>
  <c r="K32" i="16"/>
  <c r="K265" i="16" s="1"/>
  <c r="J32" i="16"/>
  <c r="I32" i="16"/>
  <c r="H32" i="16"/>
  <c r="G32" i="16"/>
  <c r="G265" i="16" s="1"/>
  <c r="F32" i="16"/>
  <c r="E32" i="16"/>
  <c r="E110" i="16" s="1"/>
  <c r="D32" i="16"/>
  <c r="D188" i="16" s="1"/>
  <c r="V31" i="16"/>
  <c r="U31" i="16"/>
  <c r="U264" i="16" s="1"/>
  <c r="T31" i="16"/>
  <c r="S31" i="16"/>
  <c r="S187" i="16" s="1"/>
  <c r="R31" i="16"/>
  <c r="R264" i="16" s="1"/>
  <c r="Q31" i="16"/>
  <c r="P31" i="16"/>
  <c r="P187" i="16" s="1"/>
  <c r="O31" i="16"/>
  <c r="N31" i="16"/>
  <c r="N264" i="16" s="1"/>
  <c r="M31" i="16"/>
  <c r="M109" i="16" s="1"/>
  <c r="L31" i="16"/>
  <c r="K31" i="16"/>
  <c r="J31" i="16"/>
  <c r="J264" i="16" s="1"/>
  <c r="I31" i="16"/>
  <c r="H31" i="16"/>
  <c r="H109" i="16" s="1"/>
  <c r="G31" i="16"/>
  <c r="G187" i="16" s="1"/>
  <c r="F31" i="16"/>
  <c r="E31" i="16"/>
  <c r="E264" i="16" s="1"/>
  <c r="D31" i="16"/>
  <c r="D109" i="16" s="1"/>
  <c r="V30" i="16"/>
  <c r="V186" i="16" s="1"/>
  <c r="U30" i="16"/>
  <c r="U263" i="16" s="1"/>
  <c r="T30" i="16"/>
  <c r="S30" i="16"/>
  <c r="R30" i="16"/>
  <c r="Q30" i="16"/>
  <c r="Q263" i="16" s="1"/>
  <c r="P30" i="16"/>
  <c r="O30" i="16"/>
  <c r="N30" i="16"/>
  <c r="M30" i="16"/>
  <c r="M263" i="16" s="1"/>
  <c r="L30" i="16"/>
  <c r="K30" i="16"/>
  <c r="J30" i="16"/>
  <c r="J186" i="16" s="1"/>
  <c r="I30" i="16"/>
  <c r="H30" i="16"/>
  <c r="H263" i="16" s="1"/>
  <c r="G30" i="16"/>
  <c r="G108" i="16" s="1"/>
  <c r="F30" i="16"/>
  <c r="F186" i="16" s="1"/>
  <c r="E30" i="16"/>
  <c r="E263" i="16" s="1"/>
  <c r="D30" i="16"/>
  <c r="V29" i="16"/>
  <c r="U29" i="16"/>
  <c r="T29" i="16"/>
  <c r="T262" i="16" s="1"/>
  <c r="S29" i="16"/>
  <c r="S107" i="16" s="1"/>
  <c r="R29" i="16"/>
  <c r="Q29" i="16"/>
  <c r="P29" i="16"/>
  <c r="P262" i="16" s="1"/>
  <c r="O29" i="16"/>
  <c r="N29" i="16"/>
  <c r="N107" i="16" s="1"/>
  <c r="M29" i="16"/>
  <c r="M185" i="16" s="1"/>
  <c r="L29" i="16"/>
  <c r="K29" i="16"/>
  <c r="K262" i="16" s="1"/>
  <c r="J29" i="16"/>
  <c r="J185" i="16" s="1"/>
  <c r="I29" i="16"/>
  <c r="I185" i="16" s="1"/>
  <c r="H29" i="16"/>
  <c r="H262" i="16" s="1"/>
  <c r="G29" i="16"/>
  <c r="F29" i="16"/>
  <c r="E29" i="16"/>
  <c r="D29" i="16"/>
  <c r="D262" i="16" s="1"/>
  <c r="V28" i="16"/>
  <c r="V106" i="16" s="1"/>
  <c r="U28" i="16"/>
  <c r="T28" i="16"/>
  <c r="S28" i="16"/>
  <c r="S261" i="16" s="1"/>
  <c r="R28" i="16"/>
  <c r="Q28" i="16"/>
  <c r="Q106" i="16" s="1"/>
  <c r="P28" i="16"/>
  <c r="P184" i="16" s="1"/>
  <c r="O28" i="16"/>
  <c r="N28" i="16"/>
  <c r="N261" i="16" s="1"/>
  <c r="M28" i="16"/>
  <c r="M184" i="16" s="1"/>
  <c r="L28" i="16"/>
  <c r="K28" i="16"/>
  <c r="K261" i="16" s="1"/>
  <c r="J28" i="16"/>
  <c r="I28" i="16"/>
  <c r="H28" i="16"/>
  <c r="G28" i="16"/>
  <c r="G261" i="16" s="1"/>
  <c r="F28" i="16"/>
  <c r="F106" i="16" s="1"/>
  <c r="E28" i="16"/>
  <c r="D28" i="16"/>
  <c r="V27" i="16"/>
  <c r="V260" i="16" s="1"/>
  <c r="U27" i="16"/>
  <c r="T27" i="16"/>
  <c r="T105" i="16" s="1"/>
  <c r="S27" i="16"/>
  <c r="S183" i="16" s="1"/>
  <c r="R27" i="16"/>
  <c r="Q27" i="16"/>
  <c r="Q260" i="16" s="1"/>
  <c r="P27" i="16"/>
  <c r="P105" i="16" s="1"/>
  <c r="O27" i="16"/>
  <c r="N27" i="16"/>
  <c r="N260" i="16" s="1"/>
  <c r="M27" i="16"/>
  <c r="L27" i="16"/>
  <c r="L105" i="16" s="1"/>
  <c r="K27" i="16"/>
  <c r="J27" i="16"/>
  <c r="J260" i="16" s="1"/>
  <c r="I27" i="16"/>
  <c r="I105" i="16" s="1"/>
  <c r="H27" i="16"/>
  <c r="G27" i="16"/>
  <c r="F27" i="16"/>
  <c r="F260" i="16" s="1"/>
  <c r="E27" i="16"/>
  <c r="D27" i="16"/>
  <c r="V26" i="16"/>
  <c r="V182" i="16" s="1"/>
  <c r="U26" i="16"/>
  <c r="T26" i="16"/>
  <c r="T259" i="16" s="1"/>
  <c r="S26" i="16"/>
  <c r="S182" i="16" s="1"/>
  <c r="R26" i="16"/>
  <c r="R182" i="16" s="1"/>
  <c r="Q26" i="16"/>
  <c r="Q259" i="16" s="1"/>
  <c r="P26" i="16"/>
  <c r="O26" i="16"/>
  <c r="N26" i="16"/>
  <c r="M26" i="16"/>
  <c r="M259" i="16" s="1"/>
  <c r="L26" i="16"/>
  <c r="L104" i="16" s="1"/>
  <c r="K26" i="16"/>
  <c r="J26" i="16"/>
  <c r="I26" i="16"/>
  <c r="I259" i="16" s="1"/>
  <c r="H26" i="16"/>
  <c r="G26" i="16"/>
  <c r="G104" i="16" s="1"/>
  <c r="F26" i="16"/>
  <c r="E26" i="16"/>
  <c r="D26" i="16"/>
  <c r="D259" i="16" s="1"/>
  <c r="V24" i="16"/>
  <c r="V102" i="16" s="1"/>
  <c r="U24" i="16"/>
  <c r="U180" i="16" s="1"/>
  <c r="T24" i="16"/>
  <c r="T257" i="16" s="1"/>
  <c r="S24" i="16"/>
  <c r="S257" i="16" s="1"/>
  <c r="R24" i="16"/>
  <c r="Q24" i="16"/>
  <c r="P24" i="16"/>
  <c r="P102" i="16" s="1"/>
  <c r="O24" i="16"/>
  <c r="N24" i="16"/>
  <c r="M24" i="16"/>
  <c r="L24" i="16"/>
  <c r="L257" i="16" s="1"/>
  <c r="K24" i="16"/>
  <c r="J24" i="16"/>
  <c r="J102" i="16" s="1"/>
  <c r="I24" i="16"/>
  <c r="I257" i="16" s="1"/>
  <c r="H24" i="16"/>
  <c r="G24" i="16"/>
  <c r="G257" i="16" s="1"/>
  <c r="F24" i="16"/>
  <c r="F102" i="16" s="1"/>
  <c r="E24" i="16"/>
  <c r="D24" i="16"/>
  <c r="D257" i="16" s="1"/>
  <c r="V23" i="16"/>
  <c r="U23" i="16"/>
  <c r="T23" i="16"/>
  <c r="S23" i="16"/>
  <c r="S101" i="16" s="1"/>
  <c r="R23" i="16"/>
  <c r="Q23" i="16"/>
  <c r="P23" i="16"/>
  <c r="O23" i="16"/>
  <c r="O256" i="16" s="1"/>
  <c r="N23" i="16"/>
  <c r="M23" i="16"/>
  <c r="M101" i="16" s="1"/>
  <c r="L23" i="16"/>
  <c r="L256" i="16" s="1"/>
  <c r="K23" i="16"/>
  <c r="J23" i="16"/>
  <c r="J256" i="16" s="1"/>
  <c r="I23" i="16"/>
  <c r="I101" i="16" s="1"/>
  <c r="H23" i="16"/>
  <c r="H179" i="16" s="1"/>
  <c r="G23" i="16"/>
  <c r="F23" i="16"/>
  <c r="F256" i="16" s="1"/>
  <c r="E23" i="16"/>
  <c r="D23" i="16"/>
  <c r="V22" i="16"/>
  <c r="V100" i="16" s="1"/>
  <c r="U22" i="16"/>
  <c r="T22" i="16"/>
  <c r="S22" i="16"/>
  <c r="R22" i="16"/>
  <c r="R255" i="16" s="1"/>
  <c r="Q22" i="16"/>
  <c r="P22" i="16"/>
  <c r="P100" i="16" s="1"/>
  <c r="O22" i="16"/>
  <c r="O255" i="16" s="1"/>
  <c r="N22" i="16"/>
  <c r="M22" i="16"/>
  <c r="M255" i="16" s="1"/>
  <c r="L22" i="16"/>
  <c r="L100" i="16" s="1"/>
  <c r="K22" i="16"/>
  <c r="K178" i="16" s="1"/>
  <c r="J22" i="16"/>
  <c r="J255" i="16" s="1"/>
  <c r="I22" i="16"/>
  <c r="I255" i="16" s="1"/>
  <c r="H22" i="16"/>
  <c r="G22" i="16"/>
  <c r="F22" i="16"/>
  <c r="E22" i="16"/>
  <c r="D22" i="16"/>
  <c r="V21" i="16"/>
  <c r="U21" i="16"/>
  <c r="U254" i="16" s="1"/>
  <c r="T21" i="16"/>
  <c r="S21" i="16"/>
  <c r="R21" i="16"/>
  <c r="R254" i="16" s="1"/>
  <c r="Q21" i="16"/>
  <c r="P21" i="16"/>
  <c r="P254" i="16" s="1"/>
  <c r="O21" i="16"/>
  <c r="O99" i="16" s="1"/>
  <c r="N21" i="16"/>
  <c r="N177" i="16" s="1"/>
  <c r="M21" i="16"/>
  <c r="M254" i="16" s="1"/>
  <c r="L21" i="16"/>
  <c r="L254" i="16" s="1"/>
  <c r="K21" i="16"/>
  <c r="J21" i="16"/>
  <c r="I21" i="16"/>
  <c r="H21" i="16"/>
  <c r="G21" i="16"/>
  <c r="F21" i="16"/>
  <c r="E21" i="16"/>
  <c r="E254" i="16" s="1"/>
  <c r="D21" i="16"/>
  <c r="V20" i="16"/>
  <c r="V98" i="16" s="1"/>
  <c r="U20" i="16"/>
  <c r="U176" i="16" s="1"/>
  <c r="T20" i="16"/>
  <c r="S20" i="16"/>
  <c r="S253" i="16" s="1"/>
  <c r="R20" i="16"/>
  <c r="R98" i="16" s="1"/>
  <c r="Q20" i="16"/>
  <c r="Q176" i="16" s="1"/>
  <c r="P20" i="16"/>
  <c r="P253" i="16" s="1"/>
  <c r="O20" i="16"/>
  <c r="N20" i="16"/>
  <c r="M20" i="16"/>
  <c r="L20" i="16"/>
  <c r="L98" i="16" s="1"/>
  <c r="K20" i="16"/>
  <c r="J20" i="16"/>
  <c r="I20" i="16"/>
  <c r="H20" i="16"/>
  <c r="H253" i="16" s="1"/>
  <c r="G20" i="16"/>
  <c r="F20" i="16"/>
  <c r="F98" i="16" s="1"/>
  <c r="E20" i="16"/>
  <c r="D20" i="16"/>
  <c r="V19" i="16"/>
  <c r="V252" i="16" s="1"/>
  <c r="U19" i="16"/>
  <c r="T19" i="16"/>
  <c r="T175" i="16" s="1"/>
  <c r="S19" i="16"/>
  <c r="S252" i="16" s="1"/>
  <c r="R19" i="16"/>
  <c r="R252" i="16" s="1"/>
  <c r="Q19" i="16"/>
  <c r="P19" i="16"/>
  <c r="O19" i="16"/>
  <c r="O97" i="16" s="1"/>
  <c r="N19" i="16"/>
  <c r="M19" i="16"/>
  <c r="L19" i="16"/>
  <c r="K19" i="16"/>
  <c r="K252" i="16" s="1"/>
  <c r="J19" i="16"/>
  <c r="I19" i="16"/>
  <c r="I97" i="16" s="1"/>
  <c r="H19" i="16"/>
  <c r="H175" i="16" s="1"/>
  <c r="G19" i="16"/>
  <c r="F19" i="16"/>
  <c r="F252" i="16" s="1"/>
  <c r="E19" i="16"/>
  <c r="E97" i="16" s="1"/>
  <c r="D19" i="16"/>
  <c r="D175" i="16" s="1"/>
  <c r="V18" i="16"/>
  <c r="V251" i="16" s="1"/>
  <c r="U18" i="16"/>
  <c r="U251" i="16" s="1"/>
  <c r="T18" i="16"/>
  <c r="T96" i="16" s="1"/>
  <c r="S18" i="16"/>
  <c r="R18" i="16"/>
  <c r="Q18" i="16"/>
  <c r="P18" i="16"/>
  <c r="O18" i="16"/>
  <c r="N18" i="16"/>
  <c r="N251" i="16" s="1"/>
  <c r="M18" i="16"/>
  <c r="L18" i="16"/>
  <c r="L96" i="16" s="1"/>
  <c r="K18" i="16"/>
  <c r="J18" i="16"/>
  <c r="I18" i="16"/>
  <c r="I251" i="16" s="1"/>
  <c r="H18" i="16"/>
  <c r="H96" i="16" s="1"/>
  <c r="G18" i="16"/>
  <c r="G174" i="16" s="1"/>
  <c r="F18" i="16"/>
  <c r="F251" i="16" s="1"/>
  <c r="E18" i="16"/>
  <c r="E251" i="16" s="1"/>
  <c r="D18" i="16"/>
  <c r="V17" i="16"/>
  <c r="U17" i="16"/>
  <c r="U95" i="16" s="1"/>
  <c r="T17" i="16"/>
  <c r="S17" i="16"/>
  <c r="R17" i="16"/>
  <c r="Q17" i="16"/>
  <c r="Q250" i="16" s="1"/>
  <c r="P17" i="16"/>
  <c r="O17" i="16"/>
  <c r="O95" i="16" s="1"/>
  <c r="N17" i="16"/>
  <c r="N173" i="16" s="1"/>
  <c r="M17" i="16"/>
  <c r="M250" i="16" s="1"/>
  <c r="L17" i="16"/>
  <c r="L250" i="16" s="1"/>
  <c r="K17" i="16"/>
  <c r="K95" i="16" s="1"/>
  <c r="J17" i="16"/>
  <c r="J173" i="16" s="1"/>
  <c r="I17" i="16"/>
  <c r="I250" i="16" s="1"/>
  <c r="H17" i="16"/>
  <c r="G17" i="16"/>
  <c r="F17" i="16"/>
  <c r="E17" i="16"/>
  <c r="E95" i="16" s="1"/>
  <c r="D17" i="16"/>
  <c r="V16" i="16"/>
  <c r="U16" i="16"/>
  <c r="T16" i="16"/>
  <c r="T249" i="16" s="1"/>
  <c r="S16" i="16"/>
  <c r="R16" i="16"/>
  <c r="R94" i="16" s="1"/>
  <c r="Q16" i="16"/>
  <c r="P16" i="16"/>
  <c r="P249" i="16" s="1"/>
  <c r="O16" i="16"/>
  <c r="O249" i="16" s="1"/>
  <c r="N16" i="16"/>
  <c r="N94" i="16" s="1"/>
  <c r="M16" i="16"/>
  <c r="M172" i="16" s="1"/>
  <c r="L16" i="16"/>
  <c r="K16" i="16"/>
  <c r="K249" i="16" s="1"/>
  <c r="J16" i="16"/>
  <c r="I16" i="16"/>
  <c r="H16" i="16"/>
  <c r="H94" i="16" s="1"/>
  <c r="G16" i="16"/>
  <c r="F16" i="16"/>
  <c r="E16" i="16"/>
  <c r="D16" i="16"/>
  <c r="D249" i="16" s="1"/>
  <c r="V15" i="16"/>
  <c r="U15" i="16"/>
  <c r="U93" i="16" s="1"/>
  <c r="T15" i="16"/>
  <c r="T171" i="16" s="1"/>
  <c r="S15" i="16"/>
  <c r="S248" i="16" s="1"/>
  <c r="R15" i="16"/>
  <c r="R248" i="16" s="1"/>
  <c r="Q15" i="16"/>
  <c r="Q93" i="16" s="1"/>
  <c r="P15" i="16"/>
  <c r="P171" i="16" s="1"/>
  <c r="O15" i="16"/>
  <c r="O248" i="16" s="1"/>
  <c r="N15" i="16"/>
  <c r="N248" i="16" s="1"/>
  <c r="M15" i="16"/>
  <c r="L15" i="16"/>
  <c r="K15" i="16"/>
  <c r="J15" i="16"/>
  <c r="I15" i="16"/>
  <c r="H15" i="16"/>
  <c r="G15" i="16"/>
  <c r="G248" i="16" s="1"/>
  <c r="F15" i="16"/>
  <c r="E15" i="16"/>
  <c r="D15" i="16"/>
  <c r="V14" i="16"/>
  <c r="U14" i="16"/>
  <c r="U247" i="16" s="1"/>
  <c r="T14" i="16"/>
  <c r="T92" i="16" s="1"/>
  <c r="S14" i="16"/>
  <c r="S170" i="16" s="1"/>
  <c r="R14" i="16"/>
  <c r="R247" i="16" s="1"/>
  <c r="Q14" i="16"/>
  <c r="Q247" i="16" s="1"/>
  <c r="P14" i="16"/>
  <c r="O14" i="16"/>
  <c r="N14" i="16"/>
  <c r="M14" i="16"/>
  <c r="L14" i="16"/>
  <c r="K14" i="16"/>
  <c r="J14" i="16"/>
  <c r="J247" i="16" s="1"/>
  <c r="I14" i="16"/>
  <c r="H14" i="16"/>
  <c r="H92" i="16" s="1"/>
  <c r="G14" i="16"/>
  <c r="G170" i="16" s="1"/>
  <c r="F14" i="16"/>
  <c r="E14" i="16"/>
  <c r="E247" i="16" s="1"/>
  <c r="D14" i="16"/>
  <c r="D92" i="16" s="1"/>
  <c r="V13" i="16"/>
  <c r="U13" i="16"/>
  <c r="T13" i="16"/>
  <c r="S13" i="16"/>
  <c r="R13" i="16"/>
  <c r="Q13" i="16"/>
  <c r="Q91" i="16" s="1"/>
  <c r="P13" i="16"/>
  <c r="O13" i="16"/>
  <c r="N13" i="16"/>
  <c r="M13" i="16"/>
  <c r="M246" i="16" s="1"/>
  <c r="L13" i="16"/>
  <c r="K13" i="16"/>
  <c r="K91" i="16" s="1"/>
  <c r="J13" i="16"/>
  <c r="I13" i="16"/>
  <c r="H13" i="16"/>
  <c r="H246" i="16" s="1"/>
  <c r="G13" i="16"/>
  <c r="F13" i="16"/>
  <c r="F169" i="16" s="1"/>
  <c r="E13" i="16"/>
  <c r="E246" i="16" s="1"/>
  <c r="D13" i="16"/>
  <c r="C296" i="15"/>
  <c r="J294" i="15"/>
  <c r="I294" i="15"/>
  <c r="H294" i="15"/>
  <c r="F293" i="15"/>
  <c r="F292" i="15"/>
  <c r="F291" i="15"/>
  <c r="D291" i="15"/>
  <c r="J290" i="15"/>
  <c r="H290" i="15"/>
  <c r="D290" i="15"/>
  <c r="I288" i="15"/>
  <c r="F287" i="15"/>
  <c r="J286" i="15"/>
  <c r="H286" i="15"/>
  <c r="G286" i="15"/>
  <c r="F286" i="15"/>
  <c r="F285" i="15"/>
  <c r="F284" i="15"/>
  <c r="F283" i="15"/>
  <c r="I279" i="15"/>
  <c r="H279" i="15"/>
  <c r="F279" i="15"/>
  <c r="F277" i="15"/>
  <c r="H276" i="15"/>
  <c r="F276" i="15"/>
  <c r="F275" i="15"/>
  <c r="K274" i="15"/>
  <c r="J271" i="15"/>
  <c r="I271" i="15"/>
  <c r="F271" i="15"/>
  <c r="F269" i="15"/>
  <c r="J268" i="15"/>
  <c r="I268" i="15"/>
  <c r="G268" i="15"/>
  <c r="F268" i="15"/>
  <c r="F267" i="15"/>
  <c r="I266" i="15"/>
  <c r="H266" i="15"/>
  <c r="F266" i="15"/>
  <c r="E266" i="15"/>
  <c r="F265" i="15"/>
  <c r="C254" i="15"/>
  <c r="K252" i="15"/>
  <c r="K294" i="15" s="1"/>
  <c r="J252" i="15"/>
  <c r="I252" i="15"/>
  <c r="H252" i="15"/>
  <c r="G252" i="15"/>
  <c r="G294" i="15" s="1"/>
  <c r="F252" i="15"/>
  <c r="F294" i="15" s="1"/>
  <c r="E252" i="15"/>
  <c r="E294" i="15" s="1"/>
  <c r="D252" i="15"/>
  <c r="D294" i="15" s="1"/>
  <c r="K251" i="15"/>
  <c r="J251" i="15"/>
  <c r="I251" i="15"/>
  <c r="H251" i="15"/>
  <c r="G251" i="15"/>
  <c r="F251" i="15"/>
  <c r="E251" i="15"/>
  <c r="E293" i="15" s="1"/>
  <c r="D251" i="15"/>
  <c r="K250" i="15"/>
  <c r="K292" i="15" s="1"/>
  <c r="J250" i="15"/>
  <c r="I250" i="15"/>
  <c r="H250" i="15"/>
  <c r="G250" i="15"/>
  <c r="G292" i="15" s="1"/>
  <c r="F250" i="15"/>
  <c r="E250" i="15"/>
  <c r="D250" i="15"/>
  <c r="K249" i="15"/>
  <c r="J249" i="15"/>
  <c r="I249" i="15"/>
  <c r="H249" i="15"/>
  <c r="G249" i="15"/>
  <c r="F249" i="15"/>
  <c r="E249" i="15"/>
  <c r="E291" i="15" s="1"/>
  <c r="D249" i="15"/>
  <c r="K248" i="15"/>
  <c r="K290" i="15" s="1"/>
  <c r="J248" i="15"/>
  <c r="I248" i="15"/>
  <c r="I290" i="15" s="1"/>
  <c r="H248" i="15"/>
  <c r="G248" i="15"/>
  <c r="G290" i="15" s="1"/>
  <c r="F248" i="15"/>
  <c r="F290" i="15" s="1"/>
  <c r="E248" i="15"/>
  <c r="E290" i="15" s="1"/>
  <c r="D248" i="15"/>
  <c r="K247" i="15"/>
  <c r="J247" i="15"/>
  <c r="I247" i="15"/>
  <c r="H247" i="15"/>
  <c r="G247" i="15"/>
  <c r="F247" i="15"/>
  <c r="F289" i="15" s="1"/>
  <c r="E247" i="15"/>
  <c r="E289" i="15" s="1"/>
  <c r="D247" i="15"/>
  <c r="K246" i="15"/>
  <c r="K288" i="15" s="1"/>
  <c r="J246" i="15"/>
  <c r="I246" i="15"/>
  <c r="H246" i="15"/>
  <c r="G246" i="15"/>
  <c r="G288" i="15" s="1"/>
  <c r="F246" i="15"/>
  <c r="F288" i="15" s="1"/>
  <c r="E246" i="15"/>
  <c r="D246" i="15"/>
  <c r="K245" i="15"/>
  <c r="J245" i="15"/>
  <c r="I245" i="15"/>
  <c r="H245" i="15"/>
  <c r="G245" i="15"/>
  <c r="F245" i="15"/>
  <c r="E245" i="15"/>
  <c r="E287" i="15" s="1"/>
  <c r="D245" i="15"/>
  <c r="K244" i="15"/>
  <c r="K286" i="15" s="1"/>
  <c r="J244" i="15"/>
  <c r="I244" i="15"/>
  <c r="I286" i="15" s="1"/>
  <c r="H244" i="15"/>
  <c r="G244" i="15"/>
  <c r="F244" i="15"/>
  <c r="E244" i="15"/>
  <c r="E286" i="15" s="1"/>
  <c r="D244" i="15"/>
  <c r="D286" i="15" s="1"/>
  <c r="K243" i="15"/>
  <c r="J243" i="15"/>
  <c r="I243" i="15"/>
  <c r="H243" i="15"/>
  <c r="G243" i="15"/>
  <c r="F243" i="15"/>
  <c r="E243" i="15"/>
  <c r="E285" i="15" s="1"/>
  <c r="D243" i="15"/>
  <c r="K242" i="15"/>
  <c r="K284" i="15" s="1"/>
  <c r="J242" i="15"/>
  <c r="I242" i="15"/>
  <c r="H242" i="15"/>
  <c r="G242" i="15"/>
  <c r="G284" i="15" s="1"/>
  <c r="F242" i="15"/>
  <c r="E242" i="15"/>
  <c r="E284" i="15" s="1"/>
  <c r="D242" i="15"/>
  <c r="K241" i="15"/>
  <c r="J241" i="15"/>
  <c r="I241" i="15"/>
  <c r="H241" i="15"/>
  <c r="G241" i="15"/>
  <c r="F241" i="15"/>
  <c r="E241" i="15"/>
  <c r="E283" i="15" s="1"/>
  <c r="D241" i="15"/>
  <c r="D283" i="15" s="1"/>
  <c r="K240" i="15"/>
  <c r="K282" i="15" s="1"/>
  <c r="J240" i="15"/>
  <c r="I240" i="15"/>
  <c r="H240" i="15"/>
  <c r="G240" i="15"/>
  <c r="G282" i="15" s="1"/>
  <c r="F240" i="15"/>
  <c r="F282" i="15" s="1"/>
  <c r="E240" i="15"/>
  <c r="D240" i="15"/>
  <c r="K239" i="15"/>
  <c r="J239" i="15"/>
  <c r="I239" i="15"/>
  <c r="H239" i="15"/>
  <c r="G239" i="15"/>
  <c r="F239" i="15"/>
  <c r="E239" i="15"/>
  <c r="E281" i="15" s="1"/>
  <c r="D239" i="15"/>
  <c r="K238" i="15"/>
  <c r="K280" i="15" s="1"/>
  <c r="J238" i="15"/>
  <c r="I238" i="15"/>
  <c r="H238" i="15"/>
  <c r="G238" i="15"/>
  <c r="G280" i="15" s="1"/>
  <c r="F238" i="15"/>
  <c r="F280" i="15" s="1"/>
  <c r="E238" i="15"/>
  <c r="D238" i="15"/>
  <c r="K237" i="15"/>
  <c r="K279" i="15" s="1"/>
  <c r="J237" i="15"/>
  <c r="J279" i="15" s="1"/>
  <c r="I237" i="15"/>
  <c r="H237" i="15"/>
  <c r="G237" i="15"/>
  <c r="G279" i="15" s="1"/>
  <c r="F237" i="15"/>
  <c r="E237" i="15"/>
  <c r="E279" i="15" s="1"/>
  <c r="D237" i="15"/>
  <c r="D279" i="15" s="1"/>
  <c r="K236" i="15"/>
  <c r="K278" i="15" s="1"/>
  <c r="J236" i="15"/>
  <c r="I236" i="15"/>
  <c r="H236" i="15"/>
  <c r="G236" i="15"/>
  <c r="G278" i="15" s="1"/>
  <c r="F236" i="15"/>
  <c r="F278" i="15" s="1"/>
  <c r="E236" i="15"/>
  <c r="D236" i="15"/>
  <c r="K235" i="15"/>
  <c r="J235" i="15"/>
  <c r="I235" i="15"/>
  <c r="H235" i="15"/>
  <c r="G235" i="15"/>
  <c r="F235" i="15"/>
  <c r="E235" i="15"/>
  <c r="E277" i="15" s="1"/>
  <c r="D235" i="15"/>
  <c r="D277" i="15" s="1"/>
  <c r="K234" i="15"/>
  <c r="K276" i="15" s="1"/>
  <c r="J234" i="15"/>
  <c r="I234" i="15"/>
  <c r="H234" i="15"/>
  <c r="G234" i="15"/>
  <c r="G276" i="15" s="1"/>
  <c r="F234" i="15"/>
  <c r="E234" i="15"/>
  <c r="E276" i="15" s="1"/>
  <c r="D234" i="15"/>
  <c r="D276" i="15" s="1"/>
  <c r="K233" i="15"/>
  <c r="J233" i="15"/>
  <c r="I233" i="15"/>
  <c r="H233" i="15"/>
  <c r="G233" i="15"/>
  <c r="F233" i="15"/>
  <c r="E233" i="15"/>
  <c r="E275" i="15" s="1"/>
  <c r="D233" i="15"/>
  <c r="D275" i="15" s="1"/>
  <c r="K232" i="15"/>
  <c r="J232" i="15"/>
  <c r="I232" i="15"/>
  <c r="H232" i="15"/>
  <c r="G232" i="15"/>
  <c r="G274" i="15" s="1"/>
  <c r="F232" i="15"/>
  <c r="F274" i="15" s="1"/>
  <c r="E232" i="15"/>
  <c r="D232" i="15"/>
  <c r="K231" i="15"/>
  <c r="J231" i="15"/>
  <c r="I231" i="15"/>
  <c r="H231" i="15"/>
  <c r="G231" i="15"/>
  <c r="F231" i="15"/>
  <c r="F273" i="15" s="1"/>
  <c r="E231" i="15"/>
  <c r="E273" i="15" s="1"/>
  <c r="D231" i="15"/>
  <c r="K230" i="15"/>
  <c r="K272" i="15" s="1"/>
  <c r="J230" i="15"/>
  <c r="I230" i="15"/>
  <c r="H230" i="15"/>
  <c r="G230" i="15"/>
  <c r="G272" i="15" s="1"/>
  <c r="F230" i="15"/>
  <c r="F272" i="15" s="1"/>
  <c r="E230" i="15"/>
  <c r="D230" i="15"/>
  <c r="K229" i="15"/>
  <c r="K271" i="15" s="1"/>
  <c r="J229" i="15"/>
  <c r="I229" i="15"/>
  <c r="H229" i="15"/>
  <c r="H271" i="15" s="1"/>
  <c r="G229" i="15"/>
  <c r="G271" i="15" s="1"/>
  <c r="F229" i="15"/>
  <c r="E229" i="15"/>
  <c r="E271" i="15" s="1"/>
  <c r="D229" i="15"/>
  <c r="D271" i="15" s="1"/>
  <c r="K228" i="15"/>
  <c r="K270" i="15" s="1"/>
  <c r="J228" i="15"/>
  <c r="I228" i="15"/>
  <c r="H228" i="15"/>
  <c r="G228" i="15"/>
  <c r="G270" i="15" s="1"/>
  <c r="F228" i="15"/>
  <c r="E228" i="15"/>
  <c r="D228" i="15"/>
  <c r="K227" i="15"/>
  <c r="J227" i="15"/>
  <c r="I227" i="15"/>
  <c r="H227" i="15"/>
  <c r="H269" i="15" s="1"/>
  <c r="G227" i="15"/>
  <c r="F227" i="15"/>
  <c r="E227" i="15"/>
  <c r="E269" i="15" s="1"/>
  <c r="D227" i="15"/>
  <c r="K226" i="15"/>
  <c r="K268" i="15" s="1"/>
  <c r="J226" i="15"/>
  <c r="I226" i="15"/>
  <c r="H226" i="15"/>
  <c r="H268" i="15" s="1"/>
  <c r="G226" i="15"/>
  <c r="F226" i="15"/>
  <c r="E226" i="15"/>
  <c r="E268" i="15" s="1"/>
  <c r="D226" i="15"/>
  <c r="D268" i="15" s="1"/>
  <c r="K225" i="15"/>
  <c r="J225" i="15"/>
  <c r="I225" i="15"/>
  <c r="H225" i="15"/>
  <c r="G225" i="15"/>
  <c r="F225" i="15"/>
  <c r="E225" i="15"/>
  <c r="E267" i="15" s="1"/>
  <c r="D225" i="15"/>
  <c r="K224" i="15"/>
  <c r="K266" i="15" s="1"/>
  <c r="J224" i="15"/>
  <c r="J266" i="15" s="1"/>
  <c r="I224" i="15"/>
  <c r="H224" i="15"/>
  <c r="G224" i="15"/>
  <c r="G266" i="15" s="1"/>
  <c r="F224" i="15"/>
  <c r="E224" i="15"/>
  <c r="D224" i="15"/>
  <c r="D266" i="15" s="1"/>
  <c r="K223" i="15"/>
  <c r="J223" i="15"/>
  <c r="I223" i="15"/>
  <c r="H223" i="15"/>
  <c r="G223" i="15"/>
  <c r="F223" i="15"/>
  <c r="E223" i="15"/>
  <c r="E265" i="15" s="1"/>
  <c r="D223" i="15"/>
  <c r="K222" i="15"/>
  <c r="J222" i="15"/>
  <c r="I222" i="15"/>
  <c r="H222" i="15"/>
  <c r="G222" i="15"/>
  <c r="F222" i="15"/>
  <c r="F264" i="15" s="1"/>
  <c r="E222" i="15"/>
  <c r="E264" i="15" s="1"/>
  <c r="D222" i="15"/>
  <c r="D264" i="15" s="1"/>
  <c r="C213" i="15"/>
  <c r="K211" i="15"/>
  <c r="H211" i="15"/>
  <c r="F211" i="15"/>
  <c r="F210" i="15"/>
  <c r="E210" i="15"/>
  <c r="F208" i="15"/>
  <c r="D208" i="15"/>
  <c r="K207" i="15"/>
  <c r="H207" i="15"/>
  <c r="H206" i="15"/>
  <c r="F206" i="15"/>
  <c r="D206" i="15"/>
  <c r="K205" i="15"/>
  <c r="F204" i="15"/>
  <c r="K203" i="15"/>
  <c r="H203" i="15"/>
  <c r="F203" i="15"/>
  <c r="E203" i="15"/>
  <c r="F202" i="15"/>
  <c r="K201" i="15"/>
  <c r="F201" i="15"/>
  <c r="F200" i="15"/>
  <c r="K199" i="15"/>
  <c r="H199" i="15"/>
  <c r="G199" i="15"/>
  <c r="F199" i="15"/>
  <c r="D198" i="15"/>
  <c r="K197" i="15"/>
  <c r="H197" i="15"/>
  <c r="F197" i="15"/>
  <c r="H196" i="15"/>
  <c r="F196" i="15"/>
  <c r="D196" i="15"/>
  <c r="K195" i="15"/>
  <c r="I194" i="15"/>
  <c r="F194" i="15"/>
  <c r="K193" i="15"/>
  <c r="H193" i="15"/>
  <c r="G193" i="15"/>
  <c r="F193" i="15"/>
  <c r="K191" i="15"/>
  <c r="I190" i="15"/>
  <c r="H190" i="15"/>
  <c r="F190" i="15"/>
  <c r="K189" i="15"/>
  <c r="F189" i="15"/>
  <c r="D189" i="15"/>
  <c r="H188" i="15"/>
  <c r="D188" i="15"/>
  <c r="K187" i="15"/>
  <c r="H187" i="15"/>
  <c r="G187" i="15"/>
  <c r="F187" i="15"/>
  <c r="F186" i="15"/>
  <c r="D186" i="15"/>
  <c r="K185" i="15"/>
  <c r="H185" i="15"/>
  <c r="F185" i="15"/>
  <c r="D185" i="15"/>
  <c r="I184" i="15"/>
  <c r="F184" i="15"/>
  <c r="K183" i="15"/>
  <c r="H183" i="15"/>
  <c r="G183" i="15"/>
  <c r="E183" i="15"/>
  <c r="D182" i="15"/>
  <c r="K181" i="15"/>
  <c r="G181" i="15"/>
  <c r="C171" i="15"/>
  <c r="H170" i="15"/>
  <c r="F170" i="15"/>
  <c r="K169" i="15"/>
  <c r="J169" i="15"/>
  <c r="J211" i="15" s="1"/>
  <c r="I169" i="15"/>
  <c r="I211" i="15" s="1"/>
  <c r="H169" i="15"/>
  <c r="G169" i="15"/>
  <c r="G211" i="15" s="1"/>
  <c r="F169" i="15"/>
  <c r="E169" i="15"/>
  <c r="E211" i="15" s="1"/>
  <c r="D169" i="15"/>
  <c r="D211" i="15" s="1"/>
  <c r="K168" i="15"/>
  <c r="K210" i="15" s="1"/>
  <c r="J168" i="15"/>
  <c r="I168" i="15"/>
  <c r="I210" i="15" s="1"/>
  <c r="H168" i="15"/>
  <c r="G168" i="15"/>
  <c r="F168" i="15"/>
  <c r="E168" i="15"/>
  <c r="D168" i="15"/>
  <c r="K167" i="15"/>
  <c r="J167" i="15"/>
  <c r="I167" i="15"/>
  <c r="H167" i="15"/>
  <c r="G167" i="15"/>
  <c r="F167" i="15"/>
  <c r="F209" i="15" s="1"/>
  <c r="E167" i="15"/>
  <c r="E209" i="15" s="1"/>
  <c r="D167" i="15"/>
  <c r="K166" i="15"/>
  <c r="K208" i="15" s="1"/>
  <c r="J166" i="15"/>
  <c r="I166" i="15"/>
  <c r="I208" i="15" s="1"/>
  <c r="H166" i="15"/>
  <c r="H208" i="15" s="1"/>
  <c r="G166" i="15"/>
  <c r="F166" i="15"/>
  <c r="E166" i="15"/>
  <c r="E208" i="15" s="1"/>
  <c r="D166" i="15"/>
  <c r="K165" i="15"/>
  <c r="J165" i="15"/>
  <c r="J207" i="15" s="1"/>
  <c r="I165" i="15"/>
  <c r="I207" i="15" s="1"/>
  <c r="H165" i="15"/>
  <c r="G165" i="15"/>
  <c r="G207" i="15" s="1"/>
  <c r="F165" i="15"/>
  <c r="F207" i="15" s="1"/>
  <c r="E165" i="15"/>
  <c r="E207" i="15" s="1"/>
  <c r="D165" i="15"/>
  <c r="D207" i="15" s="1"/>
  <c r="K164" i="15"/>
  <c r="K206" i="15" s="1"/>
  <c r="J164" i="15"/>
  <c r="I164" i="15"/>
  <c r="I206" i="15" s="1"/>
  <c r="H164" i="15"/>
  <c r="G164" i="15"/>
  <c r="F164" i="15"/>
  <c r="E164" i="15"/>
  <c r="E206" i="15" s="1"/>
  <c r="D164" i="15"/>
  <c r="K163" i="15"/>
  <c r="J163" i="15"/>
  <c r="I163" i="15"/>
  <c r="H163" i="15"/>
  <c r="G163" i="15"/>
  <c r="F163" i="15"/>
  <c r="F205" i="15" s="1"/>
  <c r="E163" i="15"/>
  <c r="E205" i="15" s="1"/>
  <c r="D163" i="15"/>
  <c r="K162" i="15"/>
  <c r="K204" i="15" s="1"/>
  <c r="J162" i="15"/>
  <c r="I162" i="15"/>
  <c r="H162" i="15"/>
  <c r="H204" i="15" s="1"/>
  <c r="G162" i="15"/>
  <c r="F162" i="15"/>
  <c r="E162" i="15"/>
  <c r="E204" i="15" s="1"/>
  <c r="D162" i="15"/>
  <c r="K161" i="15"/>
  <c r="J161" i="15"/>
  <c r="J203" i="15" s="1"/>
  <c r="I161" i="15"/>
  <c r="I203" i="15" s="1"/>
  <c r="H161" i="15"/>
  <c r="G161" i="15"/>
  <c r="G203" i="15" s="1"/>
  <c r="F161" i="15"/>
  <c r="E161" i="15"/>
  <c r="D161" i="15"/>
  <c r="D203" i="15" s="1"/>
  <c r="K160" i="15"/>
  <c r="K202" i="15" s="1"/>
  <c r="J160" i="15"/>
  <c r="I160" i="15"/>
  <c r="H160" i="15"/>
  <c r="G160" i="15"/>
  <c r="F160" i="15"/>
  <c r="E160" i="15"/>
  <c r="E202" i="15" s="1"/>
  <c r="D160" i="15"/>
  <c r="K159" i="15"/>
  <c r="J159" i="15"/>
  <c r="I159" i="15"/>
  <c r="H159" i="15"/>
  <c r="G159" i="15"/>
  <c r="F159" i="15"/>
  <c r="E159" i="15"/>
  <c r="E201" i="15" s="1"/>
  <c r="D159" i="15"/>
  <c r="K158" i="15"/>
  <c r="K200" i="15" s="1"/>
  <c r="J158" i="15"/>
  <c r="I158" i="15"/>
  <c r="H158" i="15"/>
  <c r="G158" i="15"/>
  <c r="F158" i="15"/>
  <c r="E158" i="15"/>
  <c r="E200" i="15" s="1"/>
  <c r="D158" i="15"/>
  <c r="K157" i="15"/>
  <c r="J157" i="15"/>
  <c r="I157" i="15"/>
  <c r="H157" i="15"/>
  <c r="G157" i="15"/>
  <c r="F157" i="15"/>
  <c r="E157" i="15"/>
  <c r="E199" i="15" s="1"/>
  <c r="D157" i="15"/>
  <c r="K156" i="15"/>
  <c r="K198" i="15" s="1"/>
  <c r="J156" i="15"/>
  <c r="I156" i="15"/>
  <c r="I198" i="15" s="1"/>
  <c r="H156" i="15"/>
  <c r="H198" i="15" s="1"/>
  <c r="G156" i="15"/>
  <c r="F156" i="15"/>
  <c r="F198" i="15" s="1"/>
  <c r="E156" i="15"/>
  <c r="E198" i="15" s="1"/>
  <c r="D156" i="15"/>
  <c r="K155" i="15"/>
  <c r="J155" i="15"/>
  <c r="I155" i="15"/>
  <c r="H155" i="15"/>
  <c r="G155" i="15"/>
  <c r="F155" i="15"/>
  <c r="E155" i="15"/>
  <c r="E197" i="15" s="1"/>
  <c r="D155" i="15"/>
  <c r="K154" i="15"/>
  <c r="K196" i="15" s="1"/>
  <c r="J154" i="15"/>
  <c r="J196" i="15" s="1"/>
  <c r="I154" i="15"/>
  <c r="I196" i="15" s="1"/>
  <c r="H154" i="15"/>
  <c r="G154" i="15"/>
  <c r="G196" i="15" s="1"/>
  <c r="F154" i="15"/>
  <c r="E154" i="15"/>
  <c r="E196" i="15" s="1"/>
  <c r="D154" i="15"/>
  <c r="K153" i="15"/>
  <c r="J153" i="15"/>
  <c r="I153" i="15"/>
  <c r="H153" i="15"/>
  <c r="G153" i="15"/>
  <c r="G195" i="15" s="1"/>
  <c r="F153" i="15"/>
  <c r="F195" i="15" s="1"/>
  <c r="E153" i="15"/>
  <c r="E195" i="15" s="1"/>
  <c r="D153" i="15"/>
  <c r="D195" i="15" s="1"/>
  <c r="K152" i="15"/>
  <c r="K194" i="15" s="1"/>
  <c r="J152" i="15"/>
  <c r="I152" i="15"/>
  <c r="H152" i="15"/>
  <c r="G152" i="15"/>
  <c r="F152" i="15"/>
  <c r="E152" i="15"/>
  <c r="E194" i="15" s="1"/>
  <c r="D152" i="15"/>
  <c r="K151" i="15"/>
  <c r="J151" i="15"/>
  <c r="I151" i="15"/>
  <c r="H151" i="15"/>
  <c r="G151" i="15"/>
  <c r="F151" i="15"/>
  <c r="E151" i="15"/>
  <c r="E193" i="15" s="1"/>
  <c r="D151" i="15"/>
  <c r="D193" i="15" s="1"/>
  <c r="K150" i="15"/>
  <c r="K192" i="15" s="1"/>
  <c r="J150" i="15"/>
  <c r="I150" i="15"/>
  <c r="I192" i="15" s="1"/>
  <c r="H150" i="15"/>
  <c r="H192" i="15" s="1"/>
  <c r="G150" i="15"/>
  <c r="F150" i="15"/>
  <c r="F192" i="15" s="1"/>
  <c r="E150" i="15"/>
  <c r="E192" i="15" s="1"/>
  <c r="D150" i="15"/>
  <c r="K149" i="15"/>
  <c r="J149" i="15"/>
  <c r="I149" i="15"/>
  <c r="H149" i="15"/>
  <c r="G149" i="15"/>
  <c r="F149" i="15"/>
  <c r="F191" i="15" s="1"/>
  <c r="E149" i="15"/>
  <c r="E191" i="15" s="1"/>
  <c r="D149" i="15"/>
  <c r="K148" i="15"/>
  <c r="K190" i="15" s="1"/>
  <c r="J148" i="15"/>
  <c r="I148" i="15"/>
  <c r="H148" i="15"/>
  <c r="G148" i="15"/>
  <c r="F148" i="15"/>
  <c r="E148" i="15"/>
  <c r="E190" i="15" s="1"/>
  <c r="D148" i="15"/>
  <c r="K147" i="15"/>
  <c r="J147" i="15"/>
  <c r="I147" i="15"/>
  <c r="H147" i="15"/>
  <c r="G147" i="15"/>
  <c r="G189" i="15" s="1"/>
  <c r="F147" i="15"/>
  <c r="E147" i="15"/>
  <c r="E189" i="15" s="1"/>
  <c r="D147" i="15"/>
  <c r="K146" i="15"/>
  <c r="K188" i="15" s="1"/>
  <c r="J146" i="15"/>
  <c r="J188" i="15" s="1"/>
  <c r="I146" i="15"/>
  <c r="I188" i="15" s="1"/>
  <c r="H146" i="15"/>
  <c r="G146" i="15"/>
  <c r="G188" i="15" s="1"/>
  <c r="F146" i="15"/>
  <c r="F188" i="15" s="1"/>
  <c r="E146" i="15"/>
  <c r="E188" i="15" s="1"/>
  <c r="D146" i="15"/>
  <c r="K145" i="15"/>
  <c r="J145" i="15"/>
  <c r="I145" i="15"/>
  <c r="H145" i="15"/>
  <c r="G145" i="15"/>
  <c r="F145" i="15"/>
  <c r="E145" i="15"/>
  <c r="E187" i="15" s="1"/>
  <c r="D145" i="15"/>
  <c r="D187" i="15" s="1"/>
  <c r="K144" i="15"/>
  <c r="K186" i="15" s="1"/>
  <c r="J144" i="15"/>
  <c r="I144" i="15"/>
  <c r="I186" i="15" s="1"/>
  <c r="H144" i="15"/>
  <c r="H186" i="15" s="1"/>
  <c r="G144" i="15"/>
  <c r="F144" i="15"/>
  <c r="E144" i="15"/>
  <c r="E186" i="15" s="1"/>
  <c r="D144" i="15"/>
  <c r="K143" i="15"/>
  <c r="J143" i="15"/>
  <c r="J185" i="15" s="1"/>
  <c r="I143" i="15"/>
  <c r="I185" i="15" s="1"/>
  <c r="H143" i="15"/>
  <c r="G143" i="15"/>
  <c r="G185" i="15" s="1"/>
  <c r="F143" i="15"/>
  <c r="E143" i="15"/>
  <c r="E185" i="15" s="1"/>
  <c r="D143" i="15"/>
  <c r="K142" i="15"/>
  <c r="K184" i="15" s="1"/>
  <c r="J142" i="15"/>
  <c r="I142" i="15"/>
  <c r="H142" i="15"/>
  <c r="G142" i="15"/>
  <c r="F142" i="15"/>
  <c r="E142" i="15"/>
  <c r="E184" i="15" s="1"/>
  <c r="D142" i="15"/>
  <c r="K141" i="15"/>
  <c r="J141" i="15"/>
  <c r="J183" i="15" s="1"/>
  <c r="I141" i="15"/>
  <c r="I183" i="15" s="1"/>
  <c r="H141" i="15"/>
  <c r="G141" i="15"/>
  <c r="F141" i="15"/>
  <c r="F183" i="15" s="1"/>
  <c r="E141" i="15"/>
  <c r="D141" i="15"/>
  <c r="D183" i="15" s="1"/>
  <c r="K140" i="15"/>
  <c r="J140" i="15"/>
  <c r="I140" i="15"/>
  <c r="I182" i="15" s="1"/>
  <c r="H140" i="15"/>
  <c r="H182" i="15" s="1"/>
  <c r="G140" i="15"/>
  <c r="G170" i="15" s="1"/>
  <c r="F140" i="15"/>
  <c r="F182" i="15" s="1"/>
  <c r="E140" i="15"/>
  <c r="E182" i="15" s="1"/>
  <c r="D140" i="15"/>
  <c r="K139" i="15"/>
  <c r="J139" i="15"/>
  <c r="I139" i="15"/>
  <c r="I170" i="15" s="1"/>
  <c r="H139" i="15"/>
  <c r="G139" i="15"/>
  <c r="F139" i="15"/>
  <c r="F181" i="15" s="1"/>
  <c r="E139" i="15"/>
  <c r="E181" i="15" s="1"/>
  <c r="D139" i="15"/>
  <c r="D170" i="15" s="1"/>
  <c r="C129" i="15"/>
  <c r="F128" i="15"/>
  <c r="K127" i="15"/>
  <c r="H127" i="15"/>
  <c r="F127" i="15"/>
  <c r="E127" i="15"/>
  <c r="I126" i="15"/>
  <c r="K125" i="15"/>
  <c r="H125" i="15"/>
  <c r="G125" i="15"/>
  <c r="F125" i="15"/>
  <c r="E125" i="15"/>
  <c r="H124" i="15"/>
  <c r="F124" i="15"/>
  <c r="G123" i="15"/>
  <c r="F123" i="15"/>
  <c r="E123" i="15"/>
  <c r="D123" i="15"/>
  <c r="J122" i="15"/>
  <c r="K121" i="15"/>
  <c r="H121" i="15"/>
  <c r="G121" i="15"/>
  <c r="F121" i="15"/>
  <c r="J120" i="15"/>
  <c r="I120" i="15"/>
  <c r="G120" i="15"/>
  <c r="G119" i="15"/>
  <c r="F119" i="15"/>
  <c r="E119" i="15"/>
  <c r="G118" i="15"/>
  <c r="F118" i="15"/>
  <c r="K117" i="15"/>
  <c r="J116" i="15"/>
  <c r="F116" i="15"/>
  <c r="H115" i="15"/>
  <c r="G115" i="15"/>
  <c r="F115" i="15"/>
  <c r="G114" i="15"/>
  <c r="F114" i="15"/>
  <c r="K113" i="15"/>
  <c r="G113" i="15"/>
  <c r="F113" i="15"/>
  <c r="E113" i="15"/>
  <c r="J112" i="15"/>
  <c r="G112" i="15"/>
  <c r="F112" i="15"/>
  <c r="G111" i="15"/>
  <c r="E111" i="15"/>
  <c r="K110" i="15"/>
  <c r="J110" i="15"/>
  <c r="H110" i="15"/>
  <c r="H109" i="15"/>
  <c r="F109" i="15"/>
  <c r="E109" i="15"/>
  <c r="J108" i="15"/>
  <c r="H108" i="15"/>
  <c r="G108" i="15"/>
  <c r="F108" i="15"/>
  <c r="K107" i="15"/>
  <c r="E107" i="15"/>
  <c r="F106" i="15"/>
  <c r="K105" i="15"/>
  <c r="J105" i="15"/>
  <c r="G105" i="15"/>
  <c r="J104" i="15"/>
  <c r="H104" i="15"/>
  <c r="G104" i="15"/>
  <c r="F104" i="15"/>
  <c r="G103" i="15"/>
  <c r="F103" i="15"/>
  <c r="K101" i="15"/>
  <c r="E101" i="15"/>
  <c r="G99" i="15"/>
  <c r="E99" i="15"/>
  <c r="H98" i="15"/>
  <c r="F98" i="15"/>
  <c r="F97" i="15"/>
  <c r="C88" i="15"/>
  <c r="K86" i="15"/>
  <c r="J86" i="15"/>
  <c r="J127" i="15" s="1"/>
  <c r="I86" i="15"/>
  <c r="I127" i="15" s="1"/>
  <c r="H86" i="15"/>
  <c r="G86" i="15"/>
  <c r="G127" i="15" s="1"/>
  <c r="F86" i="15"/>
  <c r="E86" i="15"/>
  <c r="D86" i="15"/>
  <c r="D127" i="15" s="1"/>
  <c r="K85" i="15"/>
  <c r="K126" i="15" s="1"/>
  <c r="J85" i="15"/>
  <c r="I85" i="15"/>
  <c r="H85" i="15"/>
  <c r="G85" i="15"/>
  <c r="F85" i="15"/>
  <c r="F126" i="15" s="1"/>
  <c r="E85" i="15"/>
  <c r="D85" i="15"/>
  <c r="D126" i="15" s="1"/>
  <c r="K84" i="15"/>
  <c r="J84" i="15"/>
  <c r="I84" i="15"/>
  <c r="H84" i="15"/>
  <c r="G84" i="15"/>
  <c r="F84" i="15"/>
  <c r="E84" i="15"/>
  <c r="D84" i="15"/>
  <c r="D125" i="15" s="1"/>
  <c r="K83" i="15"/>
  <c r="K124" i="15" s="1"/>
  <c r="J83" i="15"/>
  <c r="I83" i="15"/>
  <c r="I124" i="15" s="1"/>
  <c r="H83" i="15"/>
  <c r="G83" i="15"/>
  <c r="F83" i="15"/>
  <c r="E83" i="15"/>
  <c r="D83" i="15"/>
  <c r="D124" i="15" s="1"/>
  <c r="K82" i="15"/>
  <c r="K123" i="15" s="1"/>
  <c r="J82" i="15"/>
  <c r="J123" i="15" s="1"/>
  <c r="I82" i="15"/>
  <c r="I123" i="15" s="1"/>
  <c r="H82" i="15"/>
  <c r="H123" i="15" s="1"/>
  <c r="G82" i="15"/>
  <c r="F82" i="15"/>
  <c r="E82" i="15"/>
  <c r="D82" i="15"/>
  <c r="K81" i="15"/>
  <c r="K122" i="15" s="1"/>
  <c r="J81" i="15"/>
  <c r="I81" i="15"/>
  <c r="I122" i="15" s="1"/>
  <c r="H81" i="15"/>
  <c r="H122" i="15" s="1"/>
  <c r="G81" i="15"/>
  <c r="F81" i="15"/>
  <c r="F122" i="15" s="1"/>
  <c r="E81" i="15"/>
  <c r="D81" i="15"/>
  <c r="D122" i="15" s="1"/>
  <c r="K80" i="15"/>
  <c r="J80" i="15"/>
  <c r="I80" i="15"/>
  <c r="H80" i="15"/>
  <c r="G80" i="15"/>
  <c r="F80" i="15"/>
  <c r="E80" i="15"/>
  <c r="D80" i="15"/>
  <c r="D121" i="15" s="1"/>
  <c r="K79" i="15"/>
  <c r="K120" i="15" s="1"/>
  <c r="J79" i="15"/>
  <c r="I79" i="15"/>
  <c r="H79" i="15"/>
  <c r="G79" i="15"/>
  <c r="F79" i="15"/>
  <c r="F120" i="15" s="1"/>
  <c r="E79" i="15"/>
  <c r="D79" i="15"/>
  <c r="D120" i="15" s="1"/>
  <c r="K78" i="15"/>
  <c r="K119" i="15" s="1"/>
  <c r="J78" i="15"/>
  <c r="J119" i="15" s="1"/>
  <c r="I78" i="15"/>
  <c r="I119" i="15" s="1"/>
  <c r="H78" i="15"/>
  <c r="H119" i="15" s="1"/>
  <c r="G78" i="15"/>
  <c r="F78" i="15"/>
  <c r="E78" i="15"/>
  <c r="D78" i="15"/>
  <c r="D119" i="15" s="1"/>
  <c r="K77" i="15"/>
  <c r="K118" i="15" s="1"/>
  <c r="J77" i="15"/>
  <c r="I77" i="15"/>
  <c r="I118" i="15" s="1"/>
  <c r="H77" i="15"/>
  <c r="G77" i="15"/>
  <c r="F77" i="15"/>
  <c r="E77" i="15"/>
  <c r="D77" i="15"/>
  <c r="D118" i="15" s="1"/>
  <c r="K76" i="15"/>
  <c r="J76" i="15"/>
  <c r="I76" i="15"/>
  <c r="H76" i="15"/>
  <c r="H117" i="15" s="1"/>
  <c r="G76" i="15"/>
  <c r="G117" i="15" s="1"/>
  <c r="F76" i="15"/>
  <c r="E76" i="15"/>
  <c r="D76" i="15"/>
  <c r="D117" i="15" s="1"/>
  <c r="K75" i="15"/>
  <c r="K116" i="15" s="1"/>
  <c r="J75" i="15"/>
  <c r="I75" i="15"/>
  <c r="I116" i="15" s="1"/>
  <c r="H75" i="15"/>
  <c r="G75" i="15"/>
  <c r="F75" i="15"/>
  <c r="E75" i="15"/>
  <c r="D75" i="15"/>
  <c r="D116" i="15" s="1"/>
  <c r="K74" i="15"/>
  <c r="K115" i="15" s="1"/>
  <c r="J74" i="15"/>
  <c r="I74" i="15"/>
  <c r="H74" i="15"/>
  <c r="G74" i="15"/>
  <c r="F74" i="15"/>
  <c r="E74" i="15"/>
  <c r="D74" i="15"/>
  <c r="D115" i="15" s="1"/>
  <c r="K73" i="15"/>
  <c r="K114" i="15" s="1"/>
  <c r="J73" i="15"/>
  <c r="I73" i="15"/>
  <c r="I114" i="15" s="1"/>
  <c r="H73" i="15"/>
  <c r="G73" i="15"/>
  <c r="F73" i="15"/>
  <c r="E73" i="15"/>
  <c r="D73" i="15"/>
  <c r="D114" i="15" s="1"/>
  <c r="K72" i="15"/>
  <c r="J72" i="15"/>
  <c r="I72" i="15"/>
  <c r="H72" i="15"/>
  <c r="H113" i="15" s="1"/>
  <c r="G72" i="15"/>
  <c r="F72" i="15"/>
  <c r="E72" i="15"/>
  <c r="D72" i="15"/>
  <c r="D113" i="15" s="1"/>
  <c r="K71" i="15"/>
  <c r="K112" i="15" s="1"/>
  <c r="J71" i="15"/>
  <c r="I71" i="15"/>
  <c r="I112" i="15" s="1"/>
  <c r="H71" i="15"/>
  <c r="H112" i="15" s="1"/>
  <c r="G71" i="15"/>
  <c r="F71" i="15"/>
  <c r="E71" i="15"/>
  <c r="E112" i="15" s="1"/>
  <c r="D71" i="15"/>
  <c r="D112" i="15" s="1"/>
  <c r="K70" i="15"/>
  <c r="K111" i="15" s="1"/>
  <c r="J70" i="15"/>
  <c r="J111" i="15" s="1"/>
  <c r="I70" i="15"/>
  <c r="H70" i="15"/>
  <c r="H111" i="15" s="1"/>
  <c r="G70" i="15"/>
  <c r="F70" i="15"/>
  <c r="E70" i="15"/>
  <c r="D70" i="15"/>
  <c r="D111" i="15" s="1"/>
  <c r="K69" i="15"/>
  <c r="J69" i="15"/>
  <c r="I69" i="15"/>
  <c r="I110" i="15" s="1"/>
  <c r="H69" i="15"/>
  <c r="G69" i="15"/>
  <c r="F69" i="15"/>
  <c r="F110" i="15" s="1"/>
  <c r="E69" i="15"/>
  <c r="D69" i="15"/>
  <c r="D110" i="15" s="1"/>
  <c r="K68" i="15"/>
  <c r="K109" i="15" s="1"/>
  <c r="J68" i="15"/>
  <c r="I68" i="15"/>
  <c r="H68" i="15"/>
  <c r="G68" i="15"/>
  <c r="G109" i="15" s="1"/>
  <c r="F68" i="15"/>
  <c r="E68" i="15"/>
  <c r="D68" i="15"/>
  <c r="D109" i="15" s="1"/>
  <c r="K67" i="15"/>
  <c r="K108" i="15" s="1"/>
  <c r="J67" i="15"/>
  <c r="I67" i="15"/>
  <c r="I108" i="15" s="1"/>
  <c r="H67" i="15"/>
  <c r="G67" i="15"/>
  <c r="F67" i="15"/>
  <c r="E67" i="15"/>
  <c r="D67" i="15"/>
  <c r="D108" i="15" s="1"/>
  <c r="K66" i="15"/>
  <c r="J66" i="15"/>
  <c r="I66" i="15"/>
  <c r="H66" i="15"/>
  <c r="H107" i="15" s="1"/>
  <c r="G66" i="15"/>
  <c r="G107" i="15" s="1"/>
  <c r="F66" i="15"/>
  <c r="E66" i="15"/>
  <c r="D66" i="15"/>
  <c r="D107" i="15" s="1"/>
  <c r="K65" i="15"/>
  <c r="K106" i="15" s="1"/>
  <c r="J65" i="15"/>
  <c r="I65" i="15"/>
  <c r="I106" i="15" s="1"/>
  <c r="H65" i="15"/>
  <c r="H106" i="15" s="1"/>
  <c r="G65" i="15"/>
  <c r="F65" i="15"/>
  <c r="E65" i="15"/>
  <c r="D65" i="15"/>
  <c r="D106" i="15" s="1"/>
  <c r="K64" i="15"/>
  <c r="J64" i="15"/>
  <c r="I64" i="15"/>
  <c r="H64" i="15"/>
  <c r="H105" i="15" s="1"/>
  <c r="G64" i="15"/>
  <c r="F64" i="15"/>
  <c r="E64" i="15"/>
  <c r="D64" i="15"/>
  <c r="D105" i="15" s="1"/>
  <c r="K63" i="15"/>
  <c r="K104" i="15" s="1"/>
  <c r="J63" i="15"/>
  <c r="I63" i="15"/>
  <c r="I104" i="15" s="1"/>
  <c r="H63" i="15"/>
  <c r="G63" i="15"/>
  <c r="F63" i="15"/>
  <c r="E63" i="15"/>
  <c r="E104" i="15" s="1"/>
  <c r="D63" i="15"/>
  <c r="D104" i="15" s="1"/>
  <c r="K62" i="15"/>
  <c r="K103" i="15" s="1"/>
  <c r="J62" i="15"/>
  <c r="I62" i="15"/>
  <c r="H62" i="15"/>
  <c r="H103" i="15" s="1"/>
  <c r="G62" i="15"/>
  <c r="F62" i="15"/>
  <c r="E62" i="15"/>
  <c r="D62" i="15"/>
  <c r="D103" i="15" s="1"/>
  <c r="K61" i="15"/>
  <c r="K102" i="15" s="1"/>
  <c r="J61" i="15"/>
  <c r="I61" i="15"/>
  <c r="I102" i="15" s="1"/>
  <c r="H61" i="15"/>
  <c r="H102" i="15" s="1"/>
  <c r="G61" i="15"/>
  <c r="F61" i="15"/>
  <c r="F102" i="15" s="1"/>
  <c r="E61" i="15"/>
  <c r="D61" i="15"/>
  <c r="D102" i="15" s="1"/>
  <c r="K60" i="15"/>
  <c r="J60" i="15"/>
  <c r="J101" i="15" s="1"/>
  <c r="I60" i="15"/>
  <c r="I101" i="15" s="1"/>
  <c r="H60" i="15"/>
  <c r="H101" i="15" s="1"/>
  <c r="G60" i="15"/>
  <c r="G101" i="15" s="1"/>
  <c r="F60" i="15"/>
  <c r="F101" i="15" s="1"/>
  <c r="E60" i="15"/>
  <c r="D60" i="15"/>
  <c r="D101" i="15" s="1"/>
  <c r="K59" i="15"/>
  <c r="K100" i="15" s="1"/>
  <c r="J59" i="15"/>
  <c r="I59" i="15"/>
  <c r="I100" i="15" s="1"/>
  <c r="H59" i="15"/>
  <c r="H100" i="15" s="1"/>
  <c r="G59" i="15"/>
  <c r="G100" i="15" s="1"/>
  <c r="F59" i="15"/>
  <c r="F100" i="15" s="1"/>
  <c r="E59" i="15"/>
  <c r="D59" i="15"/>
  <c r="D100" i="15" s="1"/>
  <c r="K58" i="15"/>
  <c r="K99" i="15" s="1"/>
  <c r="J58" i="15"/>
  <c r="J99" i="15" s="1"/>
  <c r="I58" i="15"/>
  <c r="I99" i="15" s="1"/>
  <c r="H58" i="15"/>
  <c r="H99" i="15" s="1"/>
  <c r="G58" i="15"/>
  <c r="F58" i="15"/>
  <c r="F99" i="15" s="1"/>
  <c r="E58" i="15"/>
  <c r="D58" i="15"/>
  <c r="D99" i="15" s="1"/>
  <c r="K57" i="15"/>
  <c r="J57" i="15"/>
  <c r="I57" i="15"/>
  <c r="I87" i="15" s="1"/>
  <c r="H57" i="15"/>
  <c r="G57" i="15"/>
  <c r="F57" i="15"/>
  <c r="E57" i="15"/>
  <c r="D57" i="15"/>
  <c r="D98" i="15" s="1"/>
  <c r="K56" i="15"/>
  <c r="K97" i="15" s="1"/>
  <c r="J56" i="15"/>
  <c r="I56" i="15"/>
  <c r="H56" i="15"/>
  <c r="H87" i="15" s="1"/>
  <c r="G56" i="15"/>
  <c r="G87" i="15" s="1"/>
  <c r="F56" i="15"/>
  <c r="F87" i="15" s="1"/>
  <c r="E56" i="15"/>
  <c r="D56" i="15"/>
  <c r="D87" i="15" s="1"/>
  <c r="C46" i="15"/>
  <c r="J45" i="15"/>
  <c r="K44" i="15"/>
  <c r="J44" i="15"/>
  <c r="I44" i="15"/>
  <c r="H44" i="15"/>
  <c r="G44" i="15"/>
  <c r="F44" i="15"/>
  <c r="E44" i="15"/>
  <c r="D44" i="15"/>
  <c r="K43" i="15"/>
  <c r="J43" i="15"/>
  <c r="J293" i="15" s="1"/>
  <c r="I43" i="15"/>
  <c r="I293" i="15" s="1"/>
  <c r="H43" i="15"/>
  <c r="H126" i="15" s="1"/>
  <c r="G43" i="15"/>
  <c r="G126" i="15" s="1"/>
  <c r="F43" i="15"/>
  <c r="E43" i="15"/>
  <c r="D43" i="15"/>
  <c r="D210" i="15" s="1"/>
  <c r="K42" i="15"/>
  <c r="K209" i="15" s="1"/>
  <c r="J42" i="15"/>
  <c r="I42" i="15"/>
  <c r="I292" i="15" s="1"/>
  <c r="H42" i="15"/>
  <c r="H292" i="15" s="1"/>
  <c r="G42" i="15"/>
  <c r="F42" i="15"/>
  <c r="E42" i="15"/>
  <c r="D42" i="15"/>
  <c r="K41" i="15"/>
  <c r="J41" i="15"/>
  <c r="J124" i="15" s="1"/>
  <c r="I41" i="15"/>
  <c r="H41" i="15"/>
  <c r="G41" i="15"/>
  <c r="G124" i="15" s="1"/>
  <c r="F41" i="15"/>
  <c r="E41" i="15"/>
  <c r="D41" i="15"/>
  <c r="K40" i="15"/>
  <c r="J40" i="15"/>
  <c r="I40" i="15"/>
  <c r="H40" i="15"/>
  <c r="G40" i="15"/>
  <c r="F40" i="15"/>
  <c r="E40" i="15"/>
  <c r="D40" i="15"/>
  <c r="K39" i="15"/>
  <c r="J39" i="15"/>
  <c r="J289" i="15" s="1"/>
  <c r="I39" i="15"/>
  <c r="I289" i="15" s="1"/>
  <c r="H39" i="15"/>
  <c r="G39" i="15"/>
  <c r="G122" i="15" s="1"/>
  <c r="F39" i="15"/>
  <c r="E39" i="15"/>
  <c r="D39" i="15"/>
  <c r="K38" i="15"/>
  <c r="J38" i="15"/>
  <c r="J288" i="15" s="1"/>
  <c r="I38" i="15"/>
  <c r="H38" i="15"/>
  <c r="H288" i="15" s="1"/>
  <c r="G38" i="15"/>
  <c r="F38" i="15"/>
  <c r="E38" i="15"/>
  <c r="E121" i="15" s="1"/>
  <c r="D38" i="15"/>
  <c r="K37" i="15"/>
  <c r="J37" i="15"/>
  <c r="J287" i="15" s="1"/>
  <c r="I37" i="15"/>
  <c r="I204" i="15" s="1"/>
  <c r="H37" i="15"/>
  <c r="H120" i="15" s="1"/>
  <c r="G37" i="15"/>
  <c r="F37" i="15"/>
  <c r="E37" i="15"/>
  <c r="D37" i="15"/>
  <c r="D204" i="15" s="1"/>
  <c r="K36" i="15"/>
  <c r="J36" i="15"/>
  <c r="I36" i="15"/>
  <c r="H36" i="15"/>
  <c r="G36" i="15"/>
  <c r="F36" i="15"/>
  <c r="E36" i="15"/>
  <c r="D36" i="15"/>
  <c r="K35" i="15"/>
  <c r="J35" i="15"/>
  <c r="J285" i="15" s="1"/>
  <c r="I35" i="15"/>
  <c r="I285" i="15" s="1"/>
  <c r="H35" i="15"/>
  <c r="H202" i="15" s="1"/>
  <c r="G35" i="15"/>
  <c r="F35" i="15"/>
  <c r="E35" i="15"/>
  <c r="D35" i="15"/>
  <c r="D202" i="15" s="1"/>
  <c r="K34" i="15"/>
  <c r="J34" i="15"/>
  <c r="I34" i="15"/>
  <c r="I284" i="15" s="1"/>
  <c r="H34" i="15"/>
  <c r="H284" i="15" s="1"/>
  <c r="G34" i="15"/>
  <c r="F34" i="15"/>
  <c r="F117" i="15" s="1"/>
  <c r="E34" i="15"/>
  <c r="E117" i="15" s="1"/>
  <c r="D34" i="15"/>
  <c r="D284" i="15" s="1"/>
  <c r="K33" i="15"/>
  <c r="J33" i="15"/>
  <c r="J283" i="15" s="1"/>
  <c r="I33" i="15"/>
  <c r="I283" i="15" s="1"/>
  <c r="H33" i="15"/>
  <c r="H200" i="15" s="1"/>
  <c r="G33" i="15"/>
  <c r="G116" i="15" s="1"/>
  <c r="F33" i="15"/>
  <c r="E33" i="15"/>
  <c r="D33" i="15"/>
  <c r="D200" i="15" s="1"/>
  <c r="K32" i="15"/>
  <c r="J32" i="15"/>
  <c r="J115" i="15" s="1"/>
  <c r="I32" i="15"/>
  <c r="H32" i="15"/>
  <c r="H282" i="15" s="1"/>
  <c r="G32" i="15"/>
  <c r="F32" i="15"/>
  <c r="E32" i="15"/>
  <c r="E115" i="15" s="1"/>
  <c r="D32" i="15"/>
  <c r="D282" i="15" s="1"/>
  <c r="K31" i="15"/>
  <c r="J31" i="15"/>
  <c r="J114" i="15" s="1"/>
  <c r="I31" i="15"/>
  <c r="I281" i="15" s="1"/>
  <c r="H31" i="15"/>
  <c r="H114" i="15" s="1"/>
  <c r="G31" i="15"/>
  <c r="F31" i="15"/>
  <c r="F281" i="15" s="1"/>
  <c r="E31" i="15"/>
  <c r="D31" i="15"/>
  <c r="K30" i="15"/>
  <c r="J30" i="15"/>
  <c r="J280" i="15" s="1"/>
  <c r="I30" i="15"/>
  <c r="I280" i="15" s="1"/>
  <c r="H30" i="15"/>
  <c r="H280" i="15" s="1"/>
  <c r="G30" i="15"/>
  <c r="G197" i="15" s="1"/>
  <c r="F30" i="15"/>
  <c r="E30" i="15"/>
  <c r="D30" i="15"/>
  <c r="D197" i="15" s="1"/>
  <c r="K29" i="15"/>
  <c r="J29" i="15"/>
  <c r="I29" i="15"/>
  <c r="H29" i="15"/>
  <c r="G29" i="15"/>
  <c r="F29" i="15"/>
  <c r="E29" i="15"/>
  <c r="D29" i="15"/>
  <c r="K28" i="15"/>
  <c r="J28" i="15"/>
  <c r="J278" i="15" s="1"/>
  <c r="I28" i="15"/>
  <c r="I278" i="15" s="1"/>
  <c r="H28" i="15"/>
  <c r="H278" i="15" s="1"/>
  <c r="G28" i="15"/>
  <c r="F28" i="15"/>
  <c r="F111" i="15" s="1"/>
  <c r="E28" i="15"/>
  <c r="D28" i="15"/>
  <c r="K27" i="15"/>
  <c r="J27" i="15"/>
  <c r="J277" i="15" s="1"/>
  <c r="I27" i="15"/>
  <c r="I277" i="15" s="1"/>
  <c r="H27" i="15"/>
  <c r="H194" i="15" s="1"/>
  <c r="G27" i="15"/>
  <c r="G110" i="15" s="1"/>
  <c r="F27" i="15"/>
  <c r="E27" i="15"/>
  <c r="D27" i="15"/>
  <c r="D194" i="15" s="1"/>
  <c r="K26" i="15"/>
  <c r="J26" i="15"/>
  <c r="I26" i="15"/>
  <c r="H26" i="15"/>
  <c r="G26" i="15"/>
  <c r="F26" i="15"/>
  <c r="E26" i="15"/>
  <c r="D26" i="15"/>
  <c r="K25" i="15"/>
  <c r="J25" i="15"/>
  <c r="I25" i="15"/>
  <c r="H25" i="15"/>
  <c r="G25" i="15"/>
  <c r="F25" i="15"/>
  <c r="E25" i="15"/>
  <c r="D25" i="15"/>
  <c r="D192" i="15" s="1"/>
  <c r="K24" i="15"/>
  <c r="J24" i="15"/>
  <c r="J274" i="15" s="1"/>
  <c r="I24" i="15"/>
  <c r="H24" i="15"/>
  <c r="H191" i="15" s="1"/>
  <c r="G24" i="15"/>
  <c r="G191" i="15" s="1"/>
  <c r="F24" i="15"/>
  <c r="F107" i="15" s="1"/>
  <c r="E24" i="15"/>
  <c r="D24" i="15"/>
  <c r="D274" i="15" s="1"/>
  <c r="K23" i="15"/>
  <c r="J23" i="15"/>
  <c r="J273" i="15" s="1"/>
  <c r="I23" i="15"/>
  <c r="I273" i="15" s="1"/>
  <c r="H23" i="15"/>
  <c r="G23" i="15"/>
  <c r="G106" i="15" s="1"/>
  <c r="F23" i="15"/>
  <c r="E23" i="15"/>
  <c r="D23" i="15"/>
  <c r="D190" i="15" s="1"/>
  <c r="K22" i="15"/>
  <c r="J22" i="15"/>
  <c r="J272" i="15" s="1"/>
  <c r="I22" i="15"/>
  <c r="I272" i="15" s="1"/>
  <c r="H22" i="15"/>
  <c r="H189" i="15" s="1"/>
  <c r="G22" i="15"/>
  <c r="F22" i="15"/>
  <c r="F105" i="15" s="1"/>
  <c r="E22" i="15"/>
  <c r="E105" i="15" s="1"/>
  <c r="D22" i="15"/>
  <c r="K21" i="15"/>
  <c r="J21" i="15"/>
  <c r="I21" i="15"/>
  <c r="H21" i="15"/>
  <c r="G21" i="15"/>
  <c r="F21" i="15"/>
  <c r="E21" i="15"/>
  <c r="D21" i="15"/>
  <c r="K20" i="15"/>
  <c r="J20" i="15"/>
  <c r="J270" i="15" s="1"/>
  <c r="I20" i="15"/>
  <c r="H20" i="15"/>
  <c r="H270" i="15" s="1"/>
  <c r="G20" i="15"/>
  <c r="F20" i="15"/>
  <c r="F270" i="15" s="1"/>
  <c r="E20" i="15"/>
  <c r="E103" i="15" s="1"/>
  <c r="D20" i="15"/>
  <c r="K19" i="15"/>
  <c r="J19" i="15"/>
  <c r="J269" i="15" s="1"/>
  <c r="I19" i="15"/>
  <c r="I269" i="15" s="1"/>
  <c r="H19" i="15"/>
  <c r="G19" i="15"/>
  <c r="G102" i="15" s="1"/>
  <c r="F19" i="15"/>
  <c r="E19" i="15"/>
  <c r="D19" i="15"/>
  <c r="K18" i="15"/>
  <c r="J18" i="15"/>
  <c r="I18" i="15"/>
  <c r="H18" i="15"/>
  <c r="G18" i="15"/>
  <c r="F18" i="15"/>
  <c r="E18" i="15"/>
  <c r="D18" i="15"/>
  <c r="K17" i="15"/>
  <c r="J17" i="15"/>
  <c r="J267" i="15" s="1"/>
  <c r="I17" i="15"/>
  <c r="I267" i="15" s="1"/>
  <c r="H17" i="15"/>
  <c r="H184" i="15" s="1"/>
  <c r="G17" i="15"/>
  <c r="F17" i="15"/>
  <c r="E17" i="15"/>
  <c r="D17" i="15"/>
  <c r="D184" i="15" s="1"/>
  <c r="K16" i="15"/>
  <c r="J16" i="15"/>
  <c r="I16" i="15"/>
  <c r="H16" i="15"/>
  <c r="G16" i="15"/>
  <c r="F16" i="15"/>
  <c r="E16" i="15"/>
  <c r="D16" i="15"/>
  <c r="K15" i="15"/>
  <c r="K45" i="15" s="1"/>
  <c r="J15" i="15"/>
  <c r="J265" i="15" s="1"/>
  <c r="I15" i="15"/>
  <c r="I265" i="15" s="1"/>
  <c r="H15" i="15"/>
  <c r="G15" i="15"/>
  <c r="G98" i="15" s="1"/>
  <c r="F15" i="15"/>
  <c r="E15" i="15"/>
  <c r="E45" i="15" s="1"/>
  <c r="D15" i="15"/>
  <c r="K14" i="15"/>
  <c r="J14" i="15"/>
  <c r="I14" i="15"/>
  <c r="H14" i="15"/>
  <c r="H264" i="15" s="1"/>
  <c r="G14" i="15"/>
  <c r="F14" i="15"/>
  <c r="F45" i="15" s="1"/>
  <c r="E14" i="15"/>
  <c r="E97" i="15" s="1"/>
  <c r="D14" i="15"/>
  <c r="D45" i="15" s="1"/>
  <c r="U273" i="14"/>
  <c r="S273" i="14"/>
  <c r="M273" i="14"/>
  <c r="L273" i="14"/>
  <c r="U272" i="14"/>
  <c r="N272" i="14"/>
  <c r="N271" i="14"/>
  <c r="V270" i="14"/>
  <c r="U270" i="14"/>
  <c r="T270" i="14"/>
  <c r="P270" i="14"/>
  <c r="O270" i="14"/>
  <c r="L270" i="14"/>
  <c r="E270" i="14"/>
  <c r="D270" i="14"/>
  <c r="E269" i="14"/>
  <c r="Q268" i="14"/>
  <c r="F268" i="14"/>
  <c r="R266" i="14"/>
  <c r="Q266" i="14"/>
  <c r="P266" i="14"/>
  <c r="O266" i="14"/>
  <c r="J266" i="14"/>
  <c r="H266" i="14"/>
  <c r="G266" i="14"/>
  <c r="K265" i="14"/>
  <c r="J265" i="14"/>
  <c r="S264" i="14"/>
  <c r="U263" i="14"/>
  <c r="T262" i="14"/>
  <c r="K261" i="14"/>
  <c r="U260" i="14"/>
  <c r="S260" i="14"/>
  <c r="E258" i="14"/>
  <c r="H256" i="14"/>
  <c r="R254" i="14"/>
  <c r="V252" i="14"/>
  <c r="E252" i="14"/>
  <c r="G251" i="14"/>
  <c r="I250" i="14"/>
  <c r="T249" i="14"/>
  <c r="R249" i="14"/>
  <c r="M249" i="14"/>
  <c r="K249" i="14"/>
  <c r="D249" i="14"/>
  <c r="E248" i="14"/>
  <c r="V247" i="14"/>
  <c r="Q247" i="14"/>
  <c r="N247" i="14"/>
  <c r="P246" i="14"/>
  <c r="J246" i="14"/>
  <c r="V234" i="14"/>
  <c r="V273" i="14" s="1"/>
  <c r="U234" i="14"/>
  <c r="T234" i="14"/>
  <c r="T273" i="14" s="1"/>
  <c r="S234" i="14"/>
  <c r="R234" i="14"/>
  <c r="R273" i="14" s="1"/>
  <c r="Q234" i="14"/>
  <c r="Q273" i="14" s="1"/>
  <c r="P234" i="14"/>
  <c r="P273" i="14" s="1"/>
  <c r="O234" i="14"/>
  <c r="O273" i="14" s="1"/>
  <c r="N234" i="14"/>
  <c r="N273" i="14" s="1"/>
  <c r="M234" i="14"/>
  <c r="L234" i="14"/>
  <c r="K234" i="14"/>
  <c r="J234" i="14"/>
  <c r="I234" i="14"/>
  <c r="H234" i="14"/>
  <c r="H273" i="14" s="1"/>
  <c r="G234" i="14"/>
  <c r="G273" i="14" s="1"/>
  <c r="F234" i="14"/>
  <c r="E234" i="14"/>
  <c r="D234" i="14"/>
  <c r="V233" i="14"/>
  <c r="U233" i="14"/>
  <c r="T233" i="14"/>
  <c r="S233" i="14"/>
  <c r="R233" i="14"/>
  <c r="R272" i="14" s="1"/>
  <c r="Q233" i="14"/>
  <c r="Q272" i="14" s="1"/>
  <c r="P233" i="14"/>
  <c r="O233" i="14"/>
  <c r="N233" i="14"/>
  <c r="M233" i="14"/>
  <c r="L233" i="14"/>
  <c r="K233" i="14"/>
  <c r="K272" i="14" s="1"/>
  <c r="J233" i="14"/>
  <c r="J272" i="14" s="1"/>
  <c r="I233" i="14"/>
  <c r="H233" i="14"/>
  <c r="G233" i="14"/>
  <c r="F233" i="14"/>
  <c r="E233" i="14"/>
  <c r="D233" i="14"/>
  <c r="V232" i="14"/>
  <c r="U232" i="14"/>
  <c r="U271" i="14" s="1"/>
  <c r="T232" i="14"/>
  <c r="T271" i="14" s="1"/>
  <c r="S232" i="14"/>
  <c r="R232" i="14"/>
  <c r="Q232" i="14"/>
  <c r="P232" i="14"/>
  <c r="O232" i="14"/>
  <c r="N232" i="14"/>
  <c r="M232" i="14"/>
  <c r="M271" i="14" s="1"/>
  <c r="L232" i="14"/>
  <c r="K232" i="14"/>
  <c r="J232" i="14"/>
  <c r="I232" i="14"/>
  <c r="H232" i="14"/>
  <c r="G232" i="14"/>
  <c r="F232" i="14"/>
  <c r="E232" i="14"/>
  <c r="E271" i="14" s="1"/>
  <c r="D232" i="14"/>
  <c r="D271" i="14" s="1"/>
  <c r="V231" i="14"/>
  <c r="U231" i="14"/>
  <c r="T231" i="14"/>
  <c r="S231" i="14"/>
  <c r="S270" i="14" s="1"/>
  <c r="R231" i="14"/>
  <c r="R270" i="14" s="1"/>
  <c r="Q231" i="14"/>
  <c r="Q270" i="14" s="1"/>
  <c r="P231" i="14"/>
  <c r="O231" i="14"/>
  <c r="N231" i="14"/>
  <c r="N270" i="14" s="1"/>
  <c r="M231" i="14"/>
  <c r="M270" i="14" s="1"/>
  <c r="L231" i="14"/>
  <c r="K231" i="14"/>
  <c r="K270" i="14" s="1"/>
  <c r="J231" i="14"/>
  <c r="J270" i="14" s="1"/>
  <c r="I231" i="14"/>
  <c r="I270" i="14" s="1"/>
  <c r="H231" i="14"/>
  <c r="H270" i="14" s="1"/>
  <c r="G231" i="14"/>
  <c r="G270" i="14" s="1"/>
  <c r="F231" i="14"/>
  <c r="F270" i="14" s="1"/>
  <c r="E231" i="14"/>
  <c r="D231" i="14"/>
  <c r="V230" i="14"/>
  <c r="U230" i="14"/>
  <c r="T230" i="14"/>
  <c r="T269" i="14" s="1"/>
  <c r="S230" i="14"/>
  <c r="S269" i="14" s="1"/>
  <c r="R230" i="14"/>
  <c r="Q230" i="14"/>
  <c r="P230" i="14"/>
  <c r="O230" i="14"/>
  <c r="N230" i="14"/>
  <c r="M230" i="14"/>
  <c r="L230" i="14"/>
  <c r="K230" i="14"/>
  <c r="K269" i="14" s="1"/>
  <c r="J230" i="14"/>
  <c r="J269" i="14" s="1"/>
  <c r="I230" i="14"/>
  <c r="H230" i="14"/>
  <c r="G230" i="14"/>
  <c r="F230" i="14"/>
  <c r="E230" i="14"/>
  <c r="D230" i="14"/>
  <c r="D269" i="14" s="1"/>
  <c r="V229" i="14"/>
  <c r="V268" i="14" s="1"/>
  <c r="U229" i="14"/>
  <c r="T229" i="14"/>
  <c r="S229" i="14"/>
  <c r="R229" i="14"/>
  <c r="Q229" i="14"/>
  <c r="P229" i="14"/>
  <c r="O229" i="14"/>
  <c r="N229" i="14"/>
  <c r="N268" i="14" s="1"/>
  <c r="M229" i="14"/>
  <c r="L229" i="14"/>
  <c r="K229" i="14"/>
  <c r="J229" i="14"/>
  <c r="I229" i="14"/>
  <c r="H229" i="14"/>
  <c r="G229" i="14"/>
  <c r="G268" i="14" s="1"/>
  <c r="F229" i="14"/>
  <c r="E229" i="14"/>
  <c r="D229" i="14"/>
  <c r="V228" i="14"/>
  <c r="U228" i="14"/>
  <c r="T228" i="14"/>
  <c r="S228" i="14"/>
  <c r="R228" i="14"/>
  <c r="Q228" i="14"/>
  <c r="Q267" i="14" s="1"/>
  <c r="P228" i="14"/>
  <c r="O228" i="14"/>
  <c r="N228" i="14"/>
  <c r="M228" i="14"/>
  <c r="L228" i="14"/>
  <c r="K228" i="14"/>
  <c r="J228" i="14"/>
  <c r="J267" i="14" s="1"/>
  <c r="I228" i="14"/>
  <c r="H228" i="14"/>
  <c r="G228" i="14"/>
  <c r="F228" i="14"/>
  <c r="E228" i="14"/>
  <c r="D228" i="14"/>
  <c r="V227" i="14"/>
  <c r="V266" i="14" s="1"/>
  <c r="U227" i="14"/>
  <c r="U266" i="14" s="1"/>
  <c r="T227" i="14"/>
  <c r="T266" i="14" s="1"/>
  <c r="S227" i="14"/>
  <c r="S266" i="14" s="1"/>
  <c r="R227" i="14"/>
  <c r="Q227" i="14"/>
  <c r="P227" i="14"/>
  <c r="O227" i="14"/>
  <c r="N227" i="14"/>
  <c r="N266" i="14" s="1"/>
  <c r="M227" i="14"/>
  <c r="M266" i="14" s="1"/>
  <c r="L227" i="14"/>
  <c r="L266" i="14" s="1"/>
  <c r="K227" i="14"/>
  <c r="K266" i="14" s="1"/>
  <c r="J227" i="14"/>
  <c r="I227" i="14"/>
  <c r="I266" i="14" s="1"/>
  <c r="H227" i="14"/>
  <c r="G227" i="14"/>
  <c r="F227" i="14"/>
  <c r="F266" i="14" s="1"/>
  <c r="E227" i="14"/>
  <c r="E266" i="14" s="1"/>
  <c r="D227" i="14"/>
  <c r="D266" i="14" s="1"/>
  <c r="V226" i="14"/>
  <c r="V265" i="14" s="1"/>
  <c r="U226" i="14"/>
  <c r="T226" i="14"/>
  <c r="S226" i="14"/>
  <c r="R226" i="14"/>
  <c r="Q226" i="14"/>
  <c r="P226" i="14"/>
  <c r="P265" i="14" s="1"/>
  <c r="O226" i="14"/>
  <c r="O265" i="14" s="1"/>
  <c r="N226" i="14"/>
  <c r="N265" i="14" s="1"/>
  <c r="M226" i="14"/>
  <c r="M265" i="14" s="1"/>
  <c r="L226" i="14"/>
  <c r="L265" i="14" s="1"/>
  <c r="K226" i="14"/>
  <c r="J226" i="14"/>
  <c r="I226" i="14"/>
  <c r="H226" i="14"/>
  <c r="G226" i="14"/>
  <c r="G265" i="14" s="1"/>
  <c r="F226" i="14"/>
  <c r="F265" i="14" s="1"/>
  <c r="E226" i="14"/>
  <c r="E265" i="14" s="1"/>
  <c r="D226" i="14"/>
  <c r="V225" i="14"/>
  <c r="U225" i="14"/>
  <c r="T225" i="14"/>
  <c r="S225" i="14"/>
  <c r="R225" i="14"/>
  <c r="R264" i="14" s="1"/>
  <c r="Q225" i="14"/>
  <c r="P225" i="14"/>
  <c r="O225" i="14"/>
  <c r="N225" i="14"/>
  <c r="M225" i="14"/>
  <c r="L225" i="14"/>
  <c r="K225" i="14"/>
  <c r="J225" i="14"/>
  <c r="J264" i="14" s="1"/>
  <c r="I225" i="14"/>
  <c r="I264" i="14" s="1"/>
  <c r="H225" i="14"/>
  <c r="G225" i="14"/>
  <c r="F225" i="14"/>
  <c r="E225" i="14"/>
  <c r="D225" i="14"/>
  <c r="V224" i="14"/>
  <c r="V263" i="14" s="1"/>
  <c r="U224" i="14"/>
  <c r="T224" i="14"/>
  <c r="T263" i="14" s="1"/>
  <c r="S224" i="14"/>
  <c r="R224" i="14"/>
  <c r="Q224" i="14"/>
  <c r="P224" i="14"/>
  <c r="O224" i="14"/>
  <c r="N224" i="14"/>
  <c r="M224" i="14"/>
  <c r="M263" i="14" s="1"/>
  <c r="L224" i="14"/>
  <c r="L263" i="14" s="1"/>
  <c r="K224" i="14"/>
  <c r="J224" i="14"/>
  <c r="I224" i="14"/>
  <c r="H224" i="14"/>
  <c r="G224" i="14"/>
  <c r="F224" i="14"/>
  <c r="F263" i="14" s="1"/>
  <c r="E224" i="14"/>
  <c r="E263" i="14" s="1"/>
  <c r="D224" i="14"/>
  <c r="V223" i="14"/>
  <c r="U223" i="14"/>
  <c r="T223" i="14"/>
  <c r="S223" i="14"/>
  <c r="R223" i="14"/>
  <c r="Q223" i="14"/>
  <c r="P223" i="14"/>
  <c r="P262" i="14" s="1"/>
  <c r="O223" i="14"/>
  <c r="O262" i="14" s="1"/>
  <c r="N223" i="14"/>
  <c r="M223" i="14"/>
  <c r="L223" i="14"/>
  <c r="K223" i="14"/>
  <c r="J223" i="14"/>
  <c r="I223" i="14"/>
  <c r="I262" i="14" s="1"/>
  <c r="H223" i="14"/>
  <c r="H262" i="14" s="1"/>
  <c r="G223" i="14"/>
  <c r="F223" i="14"/>
  <c r="E223" i="14"/>
  <c r="D223" i="14"/>
  <c r="V222" i="14"/>
  <c r="U222" i="14"/>
  <c r="T222" i="14"/>
  <c r="S222" i="14"/>
  <c r="S261" i="14" s="1"/>
  <c r="R222" i="14"/>
  <c r="Q222" i="14"/>
  <c r="P222" i="14"/>
  <c r="O222" i="14"/>
  <c r="N222" i="14"/>
  <c r="M222" i="14"/>
  <c r="L222" i="14"/>
  <c r="L261" i="14" s="1"/>
  <c r="K222" i="14"/>
  <c r="J222" i="14"/>
  <c r="I222" i="14"/>
  <c r="H222" i="14"/>
  <c r="G222" i="14"/>
  <c r="F222" i="14"/>
  <c r="E222" i="14"/>
  <c r="D222" i="14"/>
  <c r="V221" i="14"/>
  <c r="V260" i="14" s="1"/>
  <c r="U221" i="14"/>
  <c r="T221" i="14"/>
  <c r="T260" i="14" s="1"/>
  <c r="S221" i="14"/>
  <c r="R221" i="14"/>
  <c r="Q221" i="14"/>
  <c r="P221" i="14"/>
  <c r="O221" i="14"/>
  <c r="O260" i="14" s="1"/>
  <c r="N221" i="14"/>
  <c r="M221" i="14"/>
  <c r="L221" i="14"/>
  <c r="K221" i="14"/>
  <c r="J221" i="14"/>
  <c r="I221" i="14"/>
  <c r="H221" i="14"/>
  <c r="G221" i="14"/>
  <c r="F221" i="14"/>
  <c r="F260" i="14" s="1"/>
  <c r="E221" i="14"/>
  <c r="E260" i="14" s="1"/>
  <c r="D221" i="14"/>
  <c r="V220" i="14"/>
  <c r="U220" i="14"/>
  <c r="T220" i="14"/>
  <c r="S220" i="14"/>
  <c r="R220" i="14"/>
  <c r="R259" i="14" s="1"/>
  <c r="Q220" i="14"/>
  <c r="Q259" i="14" s="1"/>
  <c r="P220" i="14"/>
  <c r="O220" i="14"/>
  <c r="N220" i="14"/>
  <c r="M220" i="14"/>
  <c r="L220" i="14"/>
  <c r="K220" i="14"/>
  <c r="J220" i="14"/>
  <c r="I220" i="14"/>
  <c r="I259" i="14" s="1"/>
  <c r="H220" i="14"/>
  <c r="H259" i="14" s="1"/>
  <c r="G220" i="14"/>
  <c r="F220" i="14"/>
  <c r="E220" i="14"/>
  <c r="D220" i="14"/>
  <c r="V219" i="14"/>
  <c r="U219" i="14"/>
  <c r="U258" i="14" s="1"/>
  <c r="T219" i="14"/>
  <c r="T258" i="14" s="1"/>
  <c r="S219" i="14"/>
  <c r="R219" i="14"/>
  <c r="Q219" i="14"/>
  <c r="P219" i="14"/>
  <c r="O219" i="14"/>
  <c r="N219" i="14"/>
  <c r="M219" i="14"/>
  <c r="L219" i="14"/>
  <c r="L258" i="14" s="1"/>
  <c r="K219" i="14"/>
  <c r="K258" i="14" s="1"/>
  <c r="J219" i="14"/>
  <c r="I219" i="14"/>
  <c r="H219" i="14"/>
  <c r="G219" i="14"/>
  <c r="F219" i="14"/>
  <c r="E219" i="14"/>
  <c r="D219" i="14"/>
  <c r="D258" i="14" s="1"/>
  <c r="R218" i="14"/>
  <c r="V217" i="14"/>
  <c r="U217" i="14"/>
  <c r="T217" i="14"/>
  <c r="S217" i="14"/>
  <c r="R217" i="14"/>
  <c r="Q217" i="14"/>
  <c r="P217" i="14"/>
  <c r="P256" i="14" s="1"/>
  <c r="O217" i="14"/>
  <c r="O256" i="14" s="1"/>
  <c r="N217" i="14"/>
  <c r="M217" i="14"/>
  <c r="L217" i="14"/>
  <c r="K217" i="14"/>
  <c r="J217" i="14"/>
  <c r="I217" i="14"/>
  <c r="H217" i="14"/>
  <c r="G217" i="14"/>
  <c r="G256" i="14" s="1"/>
  <c r="F217" i="14"/>
  <c r="E217" i="14"/>
  <c r="D217" i="14"/>
  <c r="V216" i="14"/>
  <c r="U216" i="14"/>
  <c r="T216" i="14"/>
  <c r="S216" i="14"/>
  <c r="S255" i="14" s="1"/>
  <c r="R216" i="14"/>
  <c r="Q216" i="14"/>
  <c r="P216" i="14"/>
  <c r="O216" i="14"/>
  <c r="N216" i="14"/>
  <c r="M216" i="14"/>
  <c r="L216" i="14"/>
  <c r="K216" i="14"/>
  <c r="K255" i="14" s="1"/>
  <c r="J216" i="14"/>
  <c r="J255" i="14" s="1"/>
  <c r="I216" i="14"/>
  <c r="H216" i="14"/>
  <c r="G216" i="14"/>
  <c r="F216" i="14"/>
  <c r="E216" i="14"/>
  <c r="D216" i="14"/>
  <c r="V215" i="14"/>
  <c r="V254" i="14" s="1"/>
  <c r="U215" i="14"/>
  <c r="U254" i="14" s="1"/>
  <c r="T215" i="14"/>
  <c r="S215" i="14"/>
  <c r="R215" i="14"/>
  <c r="Q215" i="14"/>
  <c r="P215" i="14"/>
  <c r="O215" i="14"/>
  <c r="N215" i="14"/>
  <c r="N254" i="14" s="1"/>
  <c r="M215" i="14"/>
  <c r="M254" i="14" s="1"/>
  <c r="L215" i="14"/>
  <c r="K215" i="14"/>
  <c r="J215" i="14"/>
  <c r="I215" i="14"/>
  <c r="H215" i="14"/>
  <c r="G215" i="14"/>
  <c r="F215" i="14"/>
  <c r="F254" i="14" s="1"/>
  <c r="E215" i="14"/>
  <c r="E254" i="14" s="1"/>
  <c r="D215" i="14"/>
  <c r="V214" i="14"/>
  <c r="U214" i="14"/>
  <c r="T214" i="14"/>
  <c r="S214" i="14"/>
  <c r="R214" i="14"/>
  <c r="Q214" i="14"/>
  <c r="Q253" i="14" s="1"/>
  <c r="P214" i="14"/>
  <c r="P253" i="14" s="1"/>
  <c r="O214" i="14"/>
  <c r="N214" i="14"/>
  <c r="M214" i="14"/>
  <c r="L214" i="14"/>
  <c r="K214" i="14"/>
  <c r="J214" i="14"/>
  <c r="I214" i="14"/>
  <c r="I253" i="14" s="1"/>
  <c r="H214" i="14"/>
  <c r="H253" i="14" s="1"/>
  <c r="G214" i="14"/>
  <c r="F214" i="14"/>
  <c r="E214" i="14"/>
  <c r="D214" i="14"/>
  <c r="V213" i="14"/>
  <c r="U213" i="14"/>
  <c r="U252" i="14" s="1"/>
  <c r="T213" i="14"/>
  <c r="T252" i="14" s="1"/>
  <c r="S213" i="14"/>
  <c r="S252" i="14" s="1"/>
  <c r="R213" i="14"/>
  <c r="R252" i="14" s="1"/>
  <c r="Q213" i="14"/>
  <c r="Q252" i="14" s="1"/>
  <c r="P213" i="14"/>
  <c r="P252" i="14" s="1"/>
  <c r="O213" i="14"/>
  <c r="N213" i="14"/>
  <c r="M213" i="14"/>
  <c r="L213" i="14"/>
  <c r="L252" i="14" s="1"/>
  <c r="K213" i="14"/>
  <c r="K252" i="14" s="1"/>
  <c r="J213" i="14"/>
  <c r="I213" i="14"/>
  <c r="H213" i="14"/>
  <c r="G213" i="14"/>
  <c r="F213" i="14"/>
  <c r="E213" i="14"/>
  <c r="D213" i="14"/>
  <c r="D252" i="14" s="1"/>
  <c r="V212" i="14"/>
  <c r="V251" i="14" s="1"/>
  <c r="U212" i="14"/>
  <c r="T212" i="14"/>
  <c r="S212" i="14"/>
  <c r="R212" i="14"/>
  <c r="Q212" i="14"/>
  <c r="P212" i="14"/>
  <c r="P251" i="14" s="1"/>
  <c r="O212" i="14"/>
  <c r="O251" i="14" s="1"/>
  <c r="N212" i="14"/>
  <c r="M212" i="14"/>
  <c r="L212" i="14"/>
  <c r="K212" i="14"/>
  <c r="J212" i="14"/>
  <c r="I212" i="14"/>
  <c r="H212" i="14"/>
  <c r="G212" i="14"/>
  <c r="F212" i="14"/>
  <c r="F251" i="14" s="1"/>
  <c r="E212" i="14"/>
  <c r="D212" i="14"/>
  <c r="V211" i="14"/>
  <c r="U211" i="14"/>
  <c r="T211" i="14"/>
  <c r="S211" i="14"/>
  <c r="S250" i="14" s="1"/>
  <c r="R211" i="14"/>
  <c r="R250" i="14" s="1"/>
  <c r="Q211" i="14"/>
  <c r="Q250" i="14" s="1"/>
  <c r="P211" i="14"/>
  <c r="O211" i="14"/>
  <c r="N211" i="14"/>
  <c r="M211" i="14"/>
  <c r="L211" i="14"/>
  <c r="K211" i="14"/>
  <c r="J211" i="14"/>
  <c r="J250" i="14" s="1"/>
  <c r="I211" i="14"/>
  <c r="H211" i="14"/>
  <c r="G211" i="14"/>
  <c r="F211" i="14"/>
  <c r="E211" i="14"/>
  <c r="D211" i="14"/>
  <c r="V210" i="14"/>
  <c r="V249" i="14" s="1"/>
  <c r="U210" i="14"/>
  <c r="U249" i="14" s="1"/>
  <c r="T210" i="14"/>
  <c r="S210" i="14"/>
  <c r="S249" i="14" s="1"/>
  <c r="R210" i="14"/>
  <c r="Q210" i="14"/>
  <c r="Q249" i="14" s="1"/>
  <c r="P210" i="14"/>
  <c r="P249" i="14" s="1"/>
  <c r="O210" i="14"/>
  <c r="O249" i="14" s="1"/>
  <c r="N210" i="14"/>
  <c r="N249" i="14" s="1"/>
  <c r="M210" i="14"/>
  <c r="L210" i="14"/>
  <c r="L249" i="14" s="1"/>
  <c r="K210" i="14"/>
  <c r="J210" i="14"/>
  <c r="J249" i="14" s="1"/>
  <c r="I210" i="14"/>
  <c r="I249" i="14" s="1"/>
  <c r="H210" i="14"/>
  <c r="H249" i="14" s="1"/>
  <c r="G210" i="14"/>
  <c r="G249" i="14" s="1"/>
  <c r="F210" i="14"/>
  <c r="F249" i="14" s="1"/>
  <c r="E210" i="14"/>
  <c r="E249" i="14" s="1"/>
  <c r="D210" i="14"/>
  <c r="V209" i="14"/>
  <c r="U209" i="14"/>
  <c r="T209" i="14"/>
  <c r="S209" i="14"/>
  <c r="R209" i="14"/>
  <c r="Q209" i="14"/>
  <c r="P209" i="14"/>
  <c r="P248" i="14" s="1"/>
  <c r="O209" i="14"/>
  <c r="O248" i="14" s="1"/>
  <c r="N209" i="14"/>
  <c r="M209" i="14"/>
  <c r="L209" i="14"/>
  <c r="K209" i="14"/>
  <c r="J209" i="14"/>
  <c r="I209" i="14"/>
  <c r="H209" i="14"/>
  <c r="H248" i="14" s="1"/>
  <c r="G209" i="14"/>
  <c r="G248" i="14" s="1"/>
  <c r="F209" i="14"/>
  <c r="E209" i="14"/>
  <c r="D209" i="14"/>
  <c r="V208" i="14"/>
  <c r="U208" i="14"/>
  <c r="U247" i="14" s="1"/>
  <c r="T208" i="14"/>
  <c r="T247" i="14" s="1"/>
  <c r="S208" i="14"/>
  <c r="S247" i="14" s="1"/>
  <c r="R208" i="14"/>
  <c r="R247" i="14" s="1"/>
  <c r="Q208" i="14"/>
  <c r="P208" i="14"/>
  <c r="P247" i="14" s="1"/>
  <c r="O208" i="14"/>
  <c r="O247" i="14" s="1"/>
  <c r="N208" i="14"/>
  <c r="M208" i="14"/>
  <c r="L208" i="14"/>
  <c r="K208" i="14"/>
  <c r="J208" i="14"/>
  <c r="J247" i="14" s="1"/>
  <c r="I208" i="14"/>
  <c r="H208" i="14"/>
  <c r="G208" i="14"/>
  <c r="F208" i="14"/>
  <c r="E208" i="14"/>
  <c r="D208" i="14"/>
  <c r="V207" i="14"/>
  <c r="V246" i="14" s="1"/>
  <c r="U207" i="14"/>
  <c r="U246" i="14" s="1"/>
  <c r="T207" i="14"/>
  <c r="S207" i="14"/>
  <c r="R207" i="14"/>
  <c r="Q207" i="14"/>
  <c r="P207" i="14"/>
  <c r="O207" i="14"/>
  <c r="N207" i="14"/>
  <c r="M207" i="14"/>
  <c r="M246" i="14" s="1"/>
  <c r="L207" i="14"/>
  <c r="K207" i="14"/>
  <c r="J207" i="14"/>
  <c r="I207" i="14"/>
  <c r="H207" i="14"/>
  <c r="G207" i="14"/>
  <c r="F207" i="14"/>
  <c r="F246" i="14" s="1"/>
  <c r="E207" i="14"/>
  <c r="D207" i="14"/>
  <c r="V206" i="14"/>
  <c r="U206" i="14"/>
  <c r="T206" i="14"/>
  <c r="S206" i="14"/>
  <c r="R206" i="14"/>
  <c r="Q206" i="14"/>
  <c r="P206" i="14"/>
  <c r="P245" i="14" s="1"/>
  <c r="O206" i="14"/>
  <c r="N206" i="14"/>
  <c r="M206" i="14"/>
  <c r="L206" i="14"/>
  <c r="K206" i="14"/>
  <c r="J206" i="14"/>
  <c r="I206" i="14"/>
  <c r="H206" i="14"/>
  <c r="G206" i="14"/>
  <c r="F206" i="14"/>
  <c r="E206" i="14"/>
  <c r="D206" i="14"/>
  <c r="U196" i="14"/>
  <c r="P196" i="14"/>
  <c r="N196" i="14"/>
  <c r="M196" i="14"/>
  <c r="L196" i="14"/>
  <c r="H196" i="14"/>
  <c r="G196" i="14"/>
  <c r="Q195" i="14"/>
  <c r="K195" i="14"/>
  <c r="J195" i="14"/>
  <c r="N194" i="14"/>
  <c r="M194" i="14"/>
  <c r="D194" i="14"/>
  <c r="V193" i="14"/>
  <c r="U193" i="14"/>
  <c r="P193" i="14"/>
  <c r="N193" i="14"/>
  <c r="I193" i="14"/>
  <c r="G193" i="14"/>
  <c r="F193" i="14"/>
  <c r="E193" i="14"/>
  <c r="T192" i="14"/>
  <c r="S192" i="14"/>
  <c r="D192" i="14"/>
  <c r="V191" i="14"/>
  <c r="G191" i="14"/>
  <c r="F191" i="14"/>
  <c r="I190" i="14"/>
  <c r="U189" i="14"/>
  <c r="S189" i="14"/>
  <c r="R189" i="14"/>
  <c r="Q189" i="14"/>
  <c r="M189" i="14"/>
  <c r="L189" i="14"/>
  <c r="J189" i="14"/>
  <c r="E189" i="14"/>
  <c r="P188" i="14"/>
  <c r="O188" i="14"/>
  <c r="M188" i="14"/>
  <c r="F188" i="14"/>
  <c r="E188" i="14"/>
  <c r="R187" i="14"/>
  <c r="V186" i="14"/>
  <c r="U186" i="14"/>
  <c r="F186" i="14"/>
  <c r="E186" i="14"/>
  <c r="H185" i="14"/>
  <c r="L184" i="14"/>
  <c r="K184" i="14"/>
  <c r="U183" i="14"/>
  <c r="T183" i="14"/>
  <c r="S183" i="14"/>
  <c r="N183" i="14"/>
  <c r="R182" i="14"/>
  <c r="Q182" i="14"/>
  <c r="U181" i="14"/>
  <c r="T181" i="14"/>
  <c r="E181" i="14"/>
  <c r="D181" i="14"/>
  <c r="V180" i="14"/>
  <c r="U180" i="14"/>
  <c r="T180" i="14"/>
  <c r="S180" i="14"/>
  <c r="Q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D180" i="14"/>
  <c r="Q179" i="14"/>
  <c r="H179" i="14"/>
  <c r="K178" i="14"/>
  <c r="N177" i="14"/>
  <c r="S176" i="14"/>
  <c r="Q176" i="14"/>
  <c r="V175" i="14"/>
  <c r="T175" i="14"/>
  <c r="F175" i="14"/>
  <c r="D175" i="14"/>
  <c r="G174" i="14"/>
  <c r="U173" i="14"/>
  <c r="J173" i="14"/>
  <c r="V172" i="14"/>
  <c r="T172" i="14"/>
  <c r="S172" i="14"/>
  <c r="O172" i="14"/>
  <c r="M172" i="14"/>
  <c r="F172" i="14"/>
  <c r="D172" i="14"/>
  <c r="R171" i="14"/>
  <c r="P171" i="14"/>
  <c r="U170" i="14"/>
  <c r="S170" i="14"/>
  <c r="F170" i="14"/>
  <c r="V169" i="14"/>
  <c r="H169" i="14"/>
  <c r="F169" i="14"/>
  <c r="I168" i="14"/>
  <c r="V158" i="14"/>
  <c r="V196" i="14" s="1"/>
  <c r="U158" i="14"/>
  <c r="T158" i="14"/>
  <c r="T196" i="14" s="1"/>
  <c r="S158" i="14"/>
  <c r="S196" i="14" s="1"/>
  <c r="R158" i="14"/>
  <c r="R196" i="14" s="1"/>
  <c r="Q158" i="14"/>
  <c r="Q196" i="14" s="1"/>
  <c r="P158" i="14"/>
  <c r="O158" i="14"/>
  <c r="O196" i="14" s="1"/>
  <c r="N158" i="14"/>
  <c r="M158" i="14"/>
  <c r="L158" i="14"/>
  <c r="K158" i="14"/>
  <c r="J158" i="14"/>
  <c r="J196" i="14" s="1"/>
  <c r="I158" i="14"/>
  <c r="H158" i="14"/>
  <c r="G158" i="14"/>
  <c r="F158" i="14"/>
  <c r="E158" i="14"/>
  <c r="D158" i="14"/>
  <c r="D196" i="14" s="1"/>
  <c r="V157" i="14"/>
  <c r="V195" i="14" s="1"/>
  <c r="U157" i="14"/>
  <c r="U195" i="14" s="1"/>
  <c r="T157" i="14"/>
  <c r="S157" i="14"/>
  <c r="R157" i="14"/>
  <c r="Q157" i="14"/>
  <c r="P157" i="14"/>
  <c r="O157" i="14"/>
  <c r="N157" i="14"/>
  <c r="M157" i="14"/>
  <c r="M195" i="14" s="1"/>
  <c r="L157" i="14"/>
  <c r="K157" i="14"/>
  <c r="J157" i="14"/>
  <c r="I157" i="14"/>
  <c r="H157" i="14"/>
  <c r="G157" i="14"/>
  <c r="G195" i="14" s="1"/>
  <c r="F157" i="14"/>
  <c r="F195" i="14" s="1"/>
  <c r="E157" i="14"/>
  <c r="E195" i="14" s="1"/>
  <c r="D157" i="14"/>
  <c r="V156" i="14"/>
  <c r="U156" i="14"/>
  <c r="T156" i="14"/>
  <c r="S156" i="14"/>
  <c r="R156" i="14"/>
  <c r="Q156" i="14"/>
  <c r="P156" i="14"/>
  <c r="P194" i="14" s="1"/>
  <c r="O156" i="14"/>
  <c r="N156" i="14"/>
  <c r="M156" i="14"/>
  <c r="L156" i="14"/>
  <c r="K156" i="14"/>
  <c r="J156" i="14"/>
  <c r="J194" i="14" s="1"/>
  <c r="I156" i="14"/>
  <c r="I194" i="14" s="1"/>
  <c r="H156" i="14"/>
  <c r="H194" i="14" s="1"/>
  <c r="G156" i="14"/>
  <c r="F156" i="14"/>
  <c r="E156" i="14"/>
  <c r="D156" i="14"/>
  <c r="V155" i="14"/>
  <c r="U155" i="14"/>
  <c r="T155" i="14"/>
  <c r="T193" i="14" s="1"/>
  <c r="S155" i="14"/>
  <c r="S193" i="14" s="1"/>
  <c r="R155" i="14"/>
  <c r="R193" i="14" s="1"/>
  <c r="Q155" i="14"/>
  <c r="Q193" i="14" s="1"/>
  <c r="P155" i="14"/>
  <c r="O155" i="14"/>
  <c r="O193" i="14" s="1"/>
  <c r="N155" i="14"/>
  <c r="M155" i="14"/>
  <c r="M193" i="14" s="1"/>
  <c r="L155" i="14"/>
  <c r="L193" i="14" s="1"/>
  <c r="K155" i="14"/>
  <c r="K193" i="14" s="1"/>
  <c r="J155" i="14"/>
  <c r="J193" i="14" s="1"/>
  <c r="I155" i="14"/>
  <c r="H155" i="14"/>
  <c r="H193" i="14" s="1"/>
  <c r="G155" i="14"/>
  <c r="F155" i="14"/>
  <c r="E155" i="14"/>
  <c r="D155" i="14"/>
  <c r="D193" i="14" s="1"/>
  <c r="V154" i="14"/>
  <c r="V192" i="14" s="1"/>
  <c r="U154" i="14"/>
  <c r="T154" i="14"/>
  <c r="S154" i="14"/>
  <c r="R154" i="14"/>
  <c r="Q154" i="14"/>
  <c r="P154" i="14"/>
  <c r="P192" i="14" s="1"/>
  <c r="O154" i="14"/>
  <c r="O192" i="14" s="1"/>
  <c r="N154" i="14"/>
  <c r="N192" i="14" s="1"/>
  <c r="M154" i="14"/>
  <c r="L154" i="14"/>
  <c r="K154" i="14"/>
  <c r="J154" i="14"/>
  <c r="I154" i="14"/>
  <c r="H154" i="14"/>
  <c r="G154" i="14"/>
  <c r="F154" i="14"/>
  <c r="F192" i="14" s="1"/>
  <c r="E154" i="14"/>
  <c r="D154" i="14"/>
  <c r="V153" i="14"/>
  <c r="U153" i="14"/>
  <c r="T153" i="14"/>
  <c r="S153" i="14"/>
  <c r="S191" i="14" s="1"/>
  <c r="R153" i="14"/>
  <c r="R191" i="14" s="1"/>
  <c r="Q153" i="14"/>
  <c r="Q191" i="14" s="1"/>
  <c r="P153" i="14"/>
  <c r="O153" i="14"/>
  <c r="N153" i="14"/>
  <c r="M153" i="14"/>
  <c r="L153" i="14"/>
  <c r="K153" i="14"/>
  <c r="J153" i="14"/>
  <c r="I153" i="14"/>
  <c r="I191" i="14" s="1"/>
  <c r="H153" i="14"/>
  <c r="G153" i="14"/>
  <c r="F153" i="14"/>
  <c r="E153" i="14"/>
  <c r="D153" i="14"/>
  <c r="V152" i="14"/>
  <c r="V190" i="14" s="1"/>
  <c r="U152" i="14"/>
  <c r="U190" i="14" s="1"/>
  <c r="T152" i="14"/>
  <c r="T190" i="14" s="1"/>
  <c r="S152" i="14"/>
  <c r="R152" i="14"/>
  <c r="Q152" i="14"/>
  <c r="P152" i="14"/>
  <c r="O152" i="14"/>
  <c r="N152" i="14"/>
  <c r="M152" i="14"/>
  <c r="L152" i="14"/>
  <c r="L190" i="14" s="1"/>
  <c r="K152" i="14"/>
  <c r="J152" i="14"/>
  <c r="J190" i="14" s="1"/>
  <c r="I152" i="14"/>
  <c r="H152" i="14"/>
  <c r="G152" i="14"/>
  <c r="F152" i="14"/>
  <c r="F190" i="14" s="1"/>
  <c r="E152" i="14"/>
  <c r="E190" i="14" s="1"/>
  <c r="D152" i="14"/>
  <c r="D190" i="14" s="1"/>
  <c r="V151" i="14"/>
  <c r="V189" i="14" s="1"/>
  <c r="U151" i="14"/>
  <c r="T151" i="14"/>
  <c r="T189" i="14" s="1"/>
  <c r="S151" i="14"/>
  <c r="R151" i="14"/>
  <c r="Q151" i="14"/>
  <c r="P151" i="14"/>
  <c r="P189" i="14" s="1"/>
  <c r="O151" i="14"/>
  <c r="O189" i="14" s="1"/>
  <c r="N151" i="14"/>
  <c r="N189" i="14" s="1"/>
  <c r="M151" i="14"/>
  <c r="L151" i="14"/>
  <c r="K151" i="14"/>
  <c r="K189" i="14" s="1"/>
  <c r="J151" i="14"/>
  <c r="I151" i="14"/>
  <c r="I189" i="14" s="1"/>
  <c r="H151" i="14"/>
  <c r="H189" i="14" s="1"/>
  <c r="G151" i="14"/>
  <c r="G189" i="14" s="1"/>
  <c r="F151" i="14"/>
  <c r="F189" i="14" s="1"/>
  <c r="E151" i="14"/>
  <c r="D151" i="14"/>
  <c r="D189" i="14" s="1"/>
  <c r="V150" i="14"/>
  <c r="U150" i="14"/>
  <c r="T150" i="14"/>
  <c r="S150" i="14"/>
  <c r="R150" i="14"/>
  <c r="R188" i="14" s="1"/>
  <c r="Q150" i="14"/>
  <c r="P150" i="14"/>
  <c r="O150" i="14"/>
  <c r="N150" i="14"/>
  <c r="N188" i="14" s="1"/>
  <c r="M150" i="14"/>
  <c r="L150" i="14"/>
  <c r="L188" i="14" s="1"/>
  <c r="K150" i="14"/>
  <c r="K188" i="14" s="1"/>
  <c r="J150" i="14"/>
  <c r="J188" i="14" s="1"/>
  <c r="I150" i="14"/>
  <c r="H150" i="14"/>
  <c r="G150" i="14"/>
  <c r="G188" i="14" s="1"/>
  <c r="F150" i="14"/>
  <c r="E150" i="14"/>
  <c r="D150" i="14"/>
  <c r="V149" i="14"/>
  <c r="U149" i="14"/>
  <c r="U187" i="14" s="1"/>
  <c r="T149" i="14"/>
  <c r="S149" i="14"/>
  <c r="S187" i="14" s="1"/>
  <c r="R149" i="14"/>
  <c r="Q149" i="14"/>
  <c r="P149" i="14"/>
  <c r="O149" i="14"/>
  <c r="O187" i="14" s="1"/>
  <c r="N149" i="14"/>
  <c r="N187" i="14" s="1"/>
  <c r="M149" i="14"/>
  <c r="M187" i="14" s="1"/>
  <c r="L149" i="14"/>
  <c r="K149" i="14"/>
  <c r="J149" i="14"/>
  <c r="I149" i="14"/>
  <c r="H149" i="14"/>
  <c r="G149" i="14"/>
  <c r="F149" i="14"/>
  <c r="E149" i="14"/>
  <c r="E187" i="14" s="1"/>
  <c r="D149" i="14"/>
  <c r="V148" i="14"/>
  <c r="U148" i="14"/>
  <c r="T148" i="14"/>
  <c r="S148" i="14"/>
  <c r="R148" i="14"/>
  <c r="R186" i="14" s="1"/>
  <c r="Q148" i="14"/>
  <c r="Q186" i="14" s="1"/>
  <c r="P148" i="14"/>
  <c r="P186" i="14" s="1"/>
  <c r="O148" i="14"/>
  <c r="N148" i="14"/>
  <c r="M148" i="14"/>
  <c r="L148" i="14"/>
  <c r="K148" i="14"/>
  <c r="J148" i="14"/>
  <c r="I148" i="14"/>
  <c r="H148" i="14"/>
  <c r="H186" i="14" s="1"/>
  <c r="G148" i="14"/>
  <c r="F148" i="14"/>
  <c r="E148" i="14"/>
  <c r="D148" i="14"/>
  <c r="V147" i="14"/>
  <c r="U147" i="14"/>
  <c r="U185" i="14" s="1"/>
  <c r="T147" i="14"/>
  <c r="T185" i="14" s="1"/>
  <c r="S147" i="14"/>
  <c r="S185" i="14" s="1"/>
  <c r="R147" i="14"/>
  <c r="Q147" i="14"/>
  <c r="P147" i="14"/>
  <c r="O147" i="14"/>
  <c r="N147" i="14"/>
  <c r="M147" i="14"/>
  <c r="L147" i="14"/>
  <c r="K147" i="14"/>
  <c r="K185" i="14" s="1"/>
  <c r="J147" i="14"/>
  <c r="I147" i="14"/>
  <c r="I185" i="14" s="1"/>
  <c r="H147" i="14"/>
  <c r="G147" i="14"/>
  <c r="F147" i="14"/>
  <c r="E147" i="14"/>
  <c r="E185" i="14" s="1"/>
  <c r="D147" i="14"/>
  <c r="D185" i="14" s="1"/>
  <c r="V146" i="14"/>
  <c r="V184" i="14" s="1"/>
  <c r="U146" i="14"/>
  <c r="T146" i="14"/>
  <c r="S146" i="14"/>
  <c r="R146" i="14"/>
  <c r="Q146" i="14"/>
  <c r="P146" i="14"/>
  <c r="O146" i="14"/>
  <c r="N146" i="14"/>
  <c r="N184" i="14" s="1"/>
  <c r="M146" i="14"/>
  <c r="L146" i="14"/>
  <c r="K146" i="14"/>
  <c r="J146" i="14"/>
  <c r="I146" i="14"/>
  <c r="H146" i="14"/>
  <c r="H184" i="14" s="1"/>
  <c r="G146" i="14"/>
  <c r="G184" i="14" s="1"/>
  <c r="F146" i="14"/>
  <c r="F184" i="14" s="1"/>
  <c r="E146" i="14"/>
  <c r="D146" i="14"/>
  <c r="V145" i="14"/>
  <c r="V183" i="14" s="1"/>
  <c r="U145" i="14"/>
  <c r="T145" i="14"/>
  <c r="S145" i="14"/>
  <c r="R145" i="14"/>
  <c r="Q145" i="14"/>
  <c r="Q183" i="14" s="1"/>
  <c r="P145" i="14"/>
  <c r="O145" i="14"/>
  <c r="O183" i="14" s="1"/>
  <c r="N145" i="14"/>
  <c r="M145" i="14"/>
  <c r="L145" i="14"/>
  <c r="K145" i="14"/>
  <c r="K183" i="14" s="1"/>
  <c r="J145" i="14"/>
  <c r="J183" i="14" s="1"/>
  <c r="I145" i="14"/>
  <c r="I183" i="14" s="1"/>
  <c r="H145" i="14"/>
  <c r="G145" i="14"/>
  <c r="F145" i="14"/>
  <c r="E145" i="14"/>
  <c r="D145" i="14"/>
  <c r="V144" i="14"/>
  <c r="U144" i="14"/>
  <c r="T144" i="14"/>
  <c r="T182" i="14" s="1"/>
  <c r="S144" i="14"/>
  <c r="R144" i="14"/>
  <c r="Q144" i="14"/>
  <c r="P144" i="14"/>
  <c r="O144" i="14"/>
  <c r="N144" i="14"/>
  <c r="N182" i="14" s="1"/>
  <c r="M144" i="14"/>
  <c r="M182" i="14" s="1"/>
  <c r="L144" i="14"/>
  <c r="L182" i="14" s="1"/>
  <c r="K144" i="14"/>
  <c r="J144" i="14"/>
  <c r="I144" i="14"/>
  <c r="H144" i="14"/>
  <c r="G144" i="14"/>
  <c r="F144" i="14"/>
  <c r="E144" i="14"/>
  <c r="D144" i="14"/>
  <c r="D182" i="14" s="1"/>
  <c r="V143" i="14"/>
  <c r="U143" i="14"/>
  <c r="T143" i="14"/>
  <c r="S143" i="14"/>
  <c r="R143" i="14"/>
  <c r="Q143" i="14"/>
  <c r="Q181" i="14" s="1"/>
  <c r="P143" i="14"/>
  <c r="P181" i="14" s="1"/>
  <c r="O143" i="14"/>
  <c r="O181" i="14" s="1"/>
  <c r="N143" i="14"/>
  <c r="M143" i="14"/>
  <c r="L143" i="14"/>
  <c r="K143" i="14"/>
  <c r="J143" i="14"/>
  <c r="I143" i="14"/>
  <c r="H143" i="14"/>
  <c r="G143" i="14"/>
  <c r="G181" i="14" s="1"/>
  <c r="F143" i="14"/>
  <c r="E143" i="14"/>
  <c r="D143" i="14"/>
  <c r="R142" i="14"/>
  <c r="R180" i="14" s="1"/>
  <c r="V141" i="14"/>
  <c r="U141" i="14"/>
  <c r="U179" i="14" s="1"/>
  <c r="T141" i="14"/>
  <c r="T179" i="14" s="1"/>
  <c r="S141" i="14"/>
  <c r="S179" i="14" s="1"/>
  <c r="R141" i="14"/>
  <c r="Q141" i="14"/>
  <c r="P141" i="14"/>
  <c r="O141" i="14"/>
  <c r="N141" i="14"/>
  <c r="M141" i="14"/>
  <c r="L141" i="14"/>
  <c r="K141" i="14"/>
  <c r="K179" i="14" s="1"/>
  <c r="J141" i="14"/>
  <c r="I141" i="14"/>
  <c r="H141" i="14"/>
  <c r="G141" i="14"/>
  <c r="G179" i="14" s="1"/>
  <c r="F141" i="14"/>
  <c r="E141" i="14"/>
  <c r="E179" i="14" s="1"/>
  <c r="D141" i="14"/>
  <c r="D179" i="14" s="1"/>
  <c r="V140" i="14"/>
  <c r="V178" i="14" s="1"/>
  <c r="U140" i="14"/>
  <c r="T140" i="14"/>
  <c r="S140" i="14"/>
  <c r="R140" i="14"/>
  <c r="Q140" i="14"/>
  <c r="P140" i="14"/>
  <c r="O140" i="14"/>
  <c r="N140" i="14"/>
  <c r="N178" i="14" s="1"/>
  <c r="M140" i="14"/>
  <c r="L140" i="14"/>
  <c r="K140" i="14"/>
  <c r="J140" i="14"/>
  <c r="J178" i="14" s="1"/>
  <c r="I140" i="14"/>
  <c r="H140" i="14"/>
  <c r="H178" i="14" s="1"/>
  <c r="G140" i="14"/>
  <c r="G178" i="14" s="1"/>
  <c r="F140" i="14"/>
  <c r="F178" i="14" s="1"/>
  <c r="E140" i="14"/>
  <c r="D140" i="14"/>
  <c r="V139" i="14"/>
  <c r="U139" i="14"/>
  <c r="T139" i="14"/>
  <c r="S139" i="14"/>
  <c r="R139" i="14"/>
  <c r="Q139" i="14"/>
  <c r="Q177" i="14" s="1"/>
  <c r="P139" i="14"/>
  <c r="O139" i="14"/>
  <c r="N139" i="14"/>
  <c r="M139" i="14"/>
  <c r="M177" i="14" s="1"/>
  <c r="L139" i="14"/>
  <c r="K139" i="14"/>
  <c r="K177" i="14" s="1"/>
  <c r="J139" i="14"/>
  <c r="J177" i="14" s="1"/>
  <c r="I139" i="14"/>
  <c r="I177" i="14" s="1"/>
  <c r="H139" i="14"/>
  <c r="G139" i="14"/>
  <c r="F139" i="14"/>
  <c r="E139" i="14"/>
  <c r="D139" i="14"/>
  <c r="V138" i="14"/>
  <c r="U138" i="14"/>
  <c r="T138" i="14"/>
  <c r="T176" i="14" s="1"/>
  <c r="S138" i="14"/>
  <c r="R138" i="14"/>
  <c r="Q138" i="14"/>
  <c r="P138" i="14"/>
  <c r="P176" i="14" s="1"/>
  <c r="O138" i="14"/>
  <c r="N138" i="14"/>
  <c r="N176" i="14" s="1"/>
  <c r="M138" i="14"/>
  <c r="M176" i="14" s="1"/>
  <c r="L138" i="14"/>
  <c r="L176" i="14" s="1"/>
  <c r="K138" i="14"/>
  <c r="J138" i="14"/>
  <c r="I138" i="14"/>
  <c r="H138" i="14"/>
  <c r="G138" i="14"/>
  <c r="F138" i="14"/>
  <c r="E138" i="14"/>
  <c r="D138" i="14"/>
  <c r="D176" i="14" s="1"/>
  <c r="V137" i="14"/>
  <c r="U137" i="14"/>
  <c r="U175" i="14" s="1"/>
  <c r="T137" i="14"/>
  <c r="S137" i="14"/>
  <c r="S175" i="14" s="1"/>
  <c r="R137" i="14"/>
  <c r="R175" i="14" s="1"/>
  <c r="Q137" i="14"/>
  <c r="Q175" i="14" s="1"/>
  <c r="P137" i="14"/>
  <c r="P175" i="14" s="1"/>
  <c r="O137" i="14"/>
  <c r="O175" i="14" s="1"/>
  <c r="N137" i="14"/>
  <c r="M137" i="14"/>
  <c r="L137" i="14"/>
  <c r="K137" i="14"/>
  <c r="J137" i="14"/>
  <c r="I137" i="14"/>
  <c r="H137" i="14"/>
  <c r="G137" i="14"/>
  <c r="G175" i="14" s="1"/>
  <c r="F137" i="14"/>
  <c r="E137" i="14"/>
  <c r="D137" i="14"/>
  <c r="V136" i="14"/>
  <c r="V174" i="14" s="1"/>
  <c r="U136" i="14"/>
  <c r="T136" i="14"/>
  <c r="T174" i="14" s="1"/>
  <c r="S136" i="14"/>
  <c r="S174" i="14" s="1"/>
  <c r="R136" i="14"/>
  <c r="R174" i="14" s="1"/>
  <c r="Q136" i="14"/>
  <c r="P136" i="14"/>
  <c r="O136" i="14"/>
  <c r="N136" i="14"/>
  <c r="M136" i="14"/>
  <c r="L136" i="14"/>
  <c r="K136" i="14"/>
  <c r="J136" i="14"/>
  <c r="J174" i="14" s="1"/>
  <c r="I136" i="14"/>
  <c r="H136" i="14"/>
  <c r="G136" i="14"/>
  <c r="F136" i="14"/>
  <c r="F174" i="14" s="1"/>
  <c r="E136" i="14"/>
  <c r="D136" i="14"/>
  <c r="D174" i="14" s="1"/>
  <c r="V135" i="14"/>
  <c r="V173" i="14" s="1"/>
  <c r="U135" i="14"/>
  <c r="T135" i="14"/>
  <c r="S135" i="14"/>
  <c r="R135" i="14"/>
  <c r="Q135" i="14"/>
  <c r="P135" i="14"/>
  <c r="O135" i="14"/>
  <c r="N135" i="14"/>
  <c r="M135" i="14"/>
  <c r="M173" i="14" s="1"/>
  <c r="L135" i="14"/>
  <c r="K135" i="14"/>
  <c r="J135" i="14"/>
  <c r="I135" i="14"/>
  <c r="I173" i="14" s="1"/>
  <c r="H135" i="14"/>
  <c r="G135" i="14"/>
  <c r="G173" i="14" s="1"/>
  <c r="F135" i="14"/>
  <c r="F173" i="14" s="1"/>
  <c r="E135" i="14"/>
  <c r="E173" i="14" s="1"/>
  <c r="D135" i="14"/>
  <c r="V134" i="14"/>
  <c r="U134" i="14"/>
  <c r="U172" i="14" s="1"/>
  <c r="T134" i="14"/>
  <c r="S134" i="14"/>
  <c r="R134" i="14"/>
  <c r="R172" i="14" s="1"/>
  <c r="Q134" i="14"/>
  <c r="Q172" i="14" s="1"/>
  <c r="P134" i="14"/>
  <c r="P172" i="14" s="1"/>
  <c r="O134" i="14"/>
  <c r="N134" i="14"/>
  <c r="N172" i="14" s="1"/>
  <c r="M134" i="14"/>
  <c r="L134" i="14"/>
  <c r="L172" i="14" s="1"/>
  <c r="K134" i="14"/>
  <c r="K172" i="14" s="1"/>
  <c r="J134" i="14"/>
  <c r="J172" i="14" s="1"/>
  <c r="I134" i="14"/>
  <c r="I172" i="14" s="1"/>
  <c r="H134" i="14"/>
  <c r="H172" i="14" s="1"/>
  <c r="G134" i="14"/>
  <c r="G172" i="14" s="1"/>
  <c r="F134" i="14"/>
  <c r="E134" i="14"/>
  <c r="E172" i="14" s="1"/>
  <c r="D134" i="14"/>
  <c r="V133" i="14"/>
  <c r="U133" i="14"/>
  <c r="T133" i="14"/>
  <c r="S133" i="14"/>
  <c r="S171" i="14" s="1"/>
  <c r="R133" i="14"/>
  <c r="Q133" i="14"/>
  <c r="P133" i="14"/>
  <c r="O133" i="14"/>
  <c r="O171" i="14" s="1"/>
  <c r="N133" i="14"/>
  <c r="M133" i="14"/>
  <c r="M171" i="14" s="1"/>
  <c r="L133" i="14"/>
  <c r="L171" i="14" s="1"/>
  <c r="K133" i="14"/>
  <c r="K171" i="14" s="1"/>
  <c r="J133" i="14"/>
  <c r="I133" i="14"/>
  <c r="H133" i="14"/>
  <c r="G133" i="14"/>
  <c r="F133" i="14"/>
  <c r="E133" i="14"/>
  <c r="D133" i="14"/>
  <c r="V132" i="14"/>
  <c r="V170" i="14" s="1"/>
  <c r="U132" i="14"/>
  <c r="T132" i="14"/>
  <c r="T170" i="14" s="1"/>
  <c r="S132" i="14"/>
  <c r="R132" i="14"/>
  <c r="R170" i="14" s="1"/>
  <c r="Q132" i="14"/>
  <c r="Q170" i="14" s="1"/>
  <c r="P132" i="14"/>
  <c r="P170" i="14" s="1"/>
  <c r="O132" i="14"/>
  <c r="O170" i="14" s="1"/>
  <c r="N132" i="14"/>
  <c r="N170" i="14" s="1"/>
  <c r="M132" i="14"/>
  <c r="L132" i="14"/>
  <c r="K132" i="14"/>
  <c r="J132" i="14"/>
  <c r="I132" i="14"/>
  <c r="H132" i="14"/>
  <c r="G132" i="14"/>
  <c r="F132" i="14"/>
  <c r="E132" i="14"/>
  <c r="D132" i="14"/>
  <c r="V131" i="14"/>
  <c r="U131" i="14"/>
  <c r="U169" i="14" s="1"/>
  <c r="T131" i="14"/>
  <c r="S131" i="14"/>
  <c r="S169" i="14" s="1"/>
  <c r="R131" i="14"/>
  <c r="R169" i="14" s="1"/>
  <c r="Q131" i="14"/>
  <c r="Q169" i="14" s="1"/>
  <c r="P131" i="14"/>
  <c r="O131" i="14"/>
  <c r="N131" i="14"/>
  <c r="M131" i="14"/>
  <c r="L131" i="14"/>
  <c r="K131" i="14"/>
  <c r="J131" i="14"/>
  <c r="I131" i="14"/>
  <c r="I169" i="14" s="1"/>
  <c r="H131" i="14"/>
  <c r="G131" i="14"/>
  <c r="F131" i="14"/>
  <c r="E131" i="14"/>
  <c r="E169" i="14" s="1"/>
  <c r="D131" i="14"/>
  <c r="V130" i="14"/>
  <c r="V168" i="14" s="1"/>
  <c r="U130" i="14"/>
  <c r="U168" i="14" s="1"/>
  <c r="T130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F130" i="14"/>
  <c r="F168" i="14" s="1"/>
  <c r="E130" i="14"/>
  <c r="E168" i="14" s="1"/>
  <c r="D130" i="14"/>
  <c r="D168" i="14" s="1"/>
  <c r="P119" i="14"/>
  <c r="O119" i="14"/>
  <c r="N119" i="14"/>
  <c r="I119" i="14"/>
  <c r="G119" i="14"/>
  <c r="J118" i="14"/>
  <c r="T117" i="14"/>
  <c r="M117" i="14"/>
  <c r="D117" i="14"/>
  <c r="S116" i="14"/>
  <c r="R116" i="14"/>
  <c r="P116" i="14"/>
  <c r="I116" i="14"/>
  <c r="H116" i="14"/>
  <c r="G116" i="14"/>
  <c r="S115" i="14"/>
  <c r="E115" i="14"/>
  <c r="V114" i="14"/>
  <c r="F114" i="14"/>
  <c r="R113" i="14"/>
  <c r="I113" i="14"/>
  <c r="D113" i="14"/>
  <c r="U112" i="14"/>
  <c r="T112" i="14"/>
  <c r="S112" i="14"/>
  <c r="L112" i="14"/>
  <c r="E112" i="14"/>
  <c r="D112" i="14"/>
  <c r="V111" i="14"/>
  <c r="O111" i="14"/>
  <c r="G111" i="14"/>
  <c r="F111" i="14"/>
  <c r="U110" i="14"/>
  <c r="R110" i="14"/>
  <c r="D110" i="14"/>
  <c r="U109" i="14"/>
  <c r="H109" i="14"/>
  <c r="G109" i="14"/>
  <c r="E109" i="14"/>
  <c r="H108" i="14"/>
  <c r="K107" i="14"/>
  <c r="D107" i="14"/>
  <c r="V106" i="14"/>
  <c r="U106" i="14"/>
  <c r="N106" i="14"/>
  <c r="F106" i="14"/>
  <c r="Q105" i="14"/>
  <c r="J105" i="14"/>
  <c r="I105" i="14"/>
  <c r="T104" i="14"/>
  <c r="M104" i="14"/>
  <c r="D104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M102" i="14"/>
  <c r="T101" i="14"/>
  <c r="R101" i="14"/>
  <c r="D101" i="14"/>
  <c r="V98" i="14"/>
  <c r="R98" i="14"/>
  <c r="Q98" i="14"/>
  <c r="F98" i="14"/>
  <c r="N97" i="14"/>
  <c r="L97" i="14"/>
  <c r="S96" i="14"/>
  <c r="V95" i="14"/>
  <c r="U95" i="14"/>
  <c r="T95" i="14"/>
  <c r="Q95" i="14"/>
  <c r="F95" i="14"/>
  <c r="E95" i="14"/>
  <c r="G94" i="14"/>
  <c r="F94" i="14"/>
  <c r="F93" i="14"/>
  <c r="E93" i="14"/>
  <c r="K92" i="14"/>
  <c r="U91" i="14"/>
  <c r="T91" i="14"/>
  <c r="G91" i="14"/>
  <c r="R81" i="14"/>
  <c r="V80" i="14"/>
  <c r="V119" i="14" s="1"/>
  <c r="U80" i="14"/>
  <c r="U119" i="14" s="1"/>
  <c r="T80" i="14"/>
  <c r="T119" i="14" s="1"/>
  <c r="S80" i="14"/>
  <c r="S119" i="14" s="1"/>
  <c r="R80" i="14"/>
  <c r="R119" i="14" s="1"/>
  <c r="Q80" i="14"/>
  <c r="Q119" i="14" s="1"/>
  <c r="P80" i="14"/>
  <c r="O80" i="14"/>
  <c r="N80" i="14"/>
  <c r="M80" i="14"/>
  <c r="M119" i="14" s="1"/>
  <c r="L80" i="14"/>
  <c r="L119" i="14" s="1"/>
  <c r="K80" i="14"/>
  <c r="J80" i="14"/>
  <c r="J119" i="14" s="1"/>
  <c r="I80" i="14"/>
  <c r="H80" i="14"/>
  <c r="H119" i="14" s="1"/>
  <c r="G80" i="14"/>
  <c r="F80" i="14"/>
  <c r="E80" i="14"/>
  <c r="D80" i="14"/>
  <c r="V79" i="14"/>
  <c r="V118" i="14" s="1"/>
  <c r="U79" i="14"/>
  <c r="U118" i="14" s="1"/>
  <c r="T79" i="14"/>
  <c r="T118" i="14" s="1"/>
  <c r="S79" i="14"/>
  <c r="R79" i="14"/>
  <c r="Q79" i="14"/>
  <c r="P79" i="14"/>
  <c r="O79" i="14"/>
  <c r="N79" i="14"/>
  <c r="M79" i="14"/>
  <c r="M118" i="14" s="1"/>
  <c r="L79" i="14"/>
  <c r="L118" i="14" s="1"/>
  <c r="K79" i="14"/>
  <c r="K118" i="14" s="1"/>
  <c r="J79" i="14"/>
  <c r="I79" i="14"/>
  <c r="H79" i="14"/>
  <c r="G79" i="14"/>
  <c r="F79" i="14"/>
  <c r="F118" i="14" s="1"/>
  <c r="E79" i="14"/>
  <c r="E118" i="14" s="1"/>
  <c r="D79" i="14"/>
  <c r="D118" i="14" s="1"/>
  <c r="V78" i="14"/>
  <c r="U78" i="14"/>
  <c r="T78" i="14"/>
  <c r="S78" i="14"/>
  <c r="R78" i="14"/>
  <c r="Q78" i="14"/>
  <c r="P78" i="14"/>
  <c r="P117" i="14" s="1"/>
  <c r="O78" i="14"/>
  <c r="O117" i="14" s="1"/>
  <c r="N78" i="14"/>
  <c r="N117" i="14" s="1"/>
  <c r="M78" i="14"/>
  <c r="L78" i="14"/>
  <c r="K78" i="14"/>
  <c r="J78" i="14"/>
  <c r="I78" i="14"/>
  <c r="I117" i="14" s="1"/>
  <c r="H78" i="14"/>
  <c r="H117" i="14" s="1"/>
  <c r="G78" i="14"/>
  <c r="G117" i="14" s="1"/>
  <c r="F78" i="14"/>
  <c r="E78" i="14"/>
  <c r="D78" i="14"/>
  <c r="V77" i="14"/>
  <c r="V116" i="14" s="1"/>
  <c r="U77" i="14"/>
  <c r="U116" i="14" s="1"/>
  <c r="T77" i="14"/>
  <c r="T116" i="14" s="1"/>
  <c r="S77" i="14"/>
  <c r="R77" i="14"/>
  <c r="Q77" i="14"/>
  <c r="Q116" i="14" s="1"/>
  <c r="P77" i="14"/>
  <c r="O77" i="14"/>
  <c r="O116" i="14" s="1"/>
  <c r="N77" i="14"/>
  <c r="N116" i="14" s="1"/>
  <c r="M77" i="14"/>
  <c r="M116" i="14" s="1"/>
  <c r="L77" i="14"/>
  <c r="L116" i="14" s="1"/>
  <c r="K77" i="14"/>
  <c r="K116" i="14" s="1"/>
  <c r="J77" i="14"/>
  <c r="J116" i="14" s="1"/>
  <c r="I77" i="14"/>
  <c r="H77" i="14"/>
  <c r="G77" i="14"/>
  <c r="F77" i="14"/>
  <c r="F116" i="14" s="1"/>
  <c r="E77" i="14"/>
  <c r="E116" i="14" s="1"/>
  <c r="D77" i="14"/>
  <c r="D116" i="14" s="1"/>
  <c r="V76" i="14"/>
  <c r="V115" i="14" s="1"/>
  <c r="U76" i="14"/>
  <c r="U115" i="14" s="1"/>
  <c r="T76" i="14"/>
  <c r="T115" i="14" s="1"/>
  <c r="S76" i="14"/>
  <c r="R76" i="14"/>
  <c r="Q76" i="14"/>
  <c r="P76" i="14"/>
  <c r="O76" i="14"/>
  <c r="O115" i="14" s="1"/>
  <c r="N76" i="14"/>
  <c r="N115" i="14" s="1"/>
  <c r="M76" i="14"/>
  <c r="M115" i="14" s="1"/>
  <c r="L76" i="14"/>
  <c r="K76" i="14"/>
  <c r="J76" i="14"/>
  <c r="I76" i="14"/>
  <c r="H76" i="14"/>
  <c r="G76" i="14"/>
  <c r="F76" i="14"/>
  <c r="F115" i="14" s="1"/>
  <c r="E76" i="14"/>
  <c r="D76" i="14"/>
  <c r="D115" i="14" s="1"/>
  <c r="V75" i="14"/>
  <c r="U75" i="14"/>
  <c r="T75" i="14"/>
  <c r="S75" i="14"/>
  <c r="R75" i="14"/>
  <c r="R114" i="14" s="1"/>
  <c r="Q75" i="14"/>
  <c r="Q114" i="14" s="1"/>
  <c r="P75" i="14"/>
  <c r="P114" i="14" s="1"/>
  <c r="O75" i="14"/>
  <c r="N75" i="14"/>
  <c r="M75" i="14"/>
  <c r="L75" i="14"/>
  <c r="K75" i="14"/>
  <c r="J75" i="14"/>
  <c r="I75" i="14"/>
  <c r="I114" i="14" s="1"/>
  <c r="H75" i="14"/>
  <c r="H114" i="14" s="1"/>
  <c r="G75" i="14"/>
  <c r="G114" i="14" s="1"/>
  <c r="F75" i="14"/>
  <c r="E75" i="14"/>
  <c r="D75" i="14"/>
  <c r="V74" i="14"/>
  <c r="U74" i="14"/>
  <c r="U113" i="14" s="1"/>
  <c r="T74" i="14"/>
  <c r="T113" i="14" s="1"/>
  <c r="S74" i="14"/>
  <c r="S113" i="14" s="1"/>
  <c r="R74" i="14"/>
  <c r="Q74" i="14"/>
  <c r="P74" i="14"/>
  <c r="O74" i="14"/>
  <c r="N74" i="14"/>
  <c r="M74" i="14"/>
  <c r="L74" i="14"/>
  <c r="L113" i="14" s="1"/>
  <c r="K74" i="14"/>
  <c r="K113" i="14" s="1"/>
  <c r="J74" i="14"/>
  <c r="J113" i="14" s="1"/>
  <c r="I74" i="14"/>
  <c r="H74" i="14"/>
  <c r="G74" i="14"/>
  <c r="F74" i="14"/>
  <c r="E74" i="14"/>
  <c r="E113" i="14" s="1"/>
  <c r="D74" i="14"/>
  <c r="V73" i="14"/>
  <c r="V112" i="14" s="1"/>
  <c r="U73" i="14"/>
  <c r="T73" i="14"/>
  <c r="S73" i="14"/>
  <c r="R73" i="14"/>
  <c r="R112" i="14" s="1"/>
  <c r="Q73" i="14"/>
  <c r="Q112" i="14" s="1"/>
  <c r="P73" i="14"/>
  <c r="P112" i="14" s="1"/>
  <c r="O73" i="14"/>
  <c r="O112" i="14" s="1"/>
  <c r="N73" i="14"/>
  <c r="N112" i="14" s="1"/>
  <c r="M73" i="14"/>
  <c r="M112" i="14" s="1"/>
  <c r="L73" i="14"/>
  <c r="K73" i="14"/>
  <c r="K112" i="14" s="1"/>
  <c r="J73" i="14"/>
  <c r="J112" i="14" s="1"/>
  <c r="I73" i="14"/>
  <c r="I112" i="14" s="1"/>
  <c r="H73" i="14"/>
  <c r="H112" i="14" s="1"/>
  <c r="G73" i="14"/>
  <c r="G112" i="14" s="1"/>
  <c r="F73" i="14"/>
  <c r="F112" i="14" s="1"/>
  <c r="E73" i="14"/>
  <c r="D73" i="14"/>
  <c r="V72" i="14"/>
  <c r="U72" i="14"/>
  <c r="T72" i="14"/>
  <c r="S72" i="14"/>
  <c r="R72" i="14"/>
  <c r="R111" i="14" s="1"/>
  <c r="Q72" i="14"/>
  <c r="Q111" i="14" s="1"/>
  <c r="P72" i="14"/>
  <c r="P111" i="14" s="1"/>
  <c r="O72" i="14"/>
  <c r="N72" i="14"/>
  <c r="N111" i="14" s="1"/>
  <c r="M72" i="14"/>
  <c r="M111" i="14" s="1"/>
  <c r="L72" i="14"/>
  <c r="L111" i="14" s="1"/>
  <c r="K72" i="14"/>
  <c r="K111" i="14" s="1"/>
  <c r="J72" i="14"/>
  <c r="J111" i="14" s="1"/>
  <c r="I72" i="14"/>
  <c r="I111" i="14" s="1"/>
  <c r="H72" i="14"/>
  <c r="G72" i="14"/>
  <c r="F72" i="14"/>
  <c r="E72" i="14"/>
  <c r="E111" i="14" s="1"/>
  <c r="D72" i="14"/>
  <c r="V71" i="14"/>
  <c r="U71" i="14"/>
  <c r="T71" i="14"/>
  <c r="T110" i="14" s="1"/>
  <c r="S71" i="14"/>
  <c r="S110" i="14" s="1"/>
  <c r="R71" i="14"/>
  <c r="Q71" i="14"/>
  <c r="P71" i="14"/>
  <c r="O71" i="14"/>
  <c r="N71" i="14"/>
  <c r="N110" i="14" s="1"/>
  <c r="M71" i="14"/>
  <c r="M110" i="14" s="1"/>
  <c r="L71" i="14"/>
  <c r="L110" i="14" s="1"/>
  <c r="K71" i="14"/>
  <c r="J71" i="14"/>
  <c r="I71" i="14"/>
  <c r="H71" i="14"/>
  <c r="G71" i="14"/>
  <c r="F71" i="14"/>
  <c r="E71" i="14"/>
  <c r="E110" i="14" s="1"/>
  <c r="D71" i="14"/>
  <c r="V70" i="14"/>
  <c r="V109" i="14" s="1"/>
  <c r="U70" i="14"/>
  <c r="T70" i="14"/>
  <c r="S70" i="14"/>
  <c r="R70" i="14"/>
  <c r="Q70" i="14"/>
  <c r="Q109" i="14" s="1"/>
  <c r="P70" i="14"/>
  <c r="P109" i="14" s="1"/>
  <c r="O70" i="14"/>
  <c r="O109" i="14" s="1"/>
  <c r="N70" i="14"/>
  <c r="M70" i="14"/>
  <c r="L70" i="14"/>
  <c r="K70" i="14"/>
  <c r="J70" i="14"/>
  <c r="I70" i="14"/>
  <c r="H70" i="14"/>
  <c r="G70" i="14"/>
  <c r="F70" i="14"/>
  <c r="F109" i="14" s="1"/>
  <c r="E70" i="14"/>
  <c r="D70" i="14"/>
  <c r="V69" i="14"/>
  <c r="U69" i="14"/>
  <c r="T69" i="14"/>
  <c r="T108" i="14" s="1"/>
  <c r="S69" i="14"/>
  <c r="S108" i="14" s="1"/>
  <c r="R69" i="14"/>
  <c r="R108" i="14" s="1"/>
  <c r="Q69" i="14"/>
  <c r="P69" i="14"/>
  <c r="O69" i="14"/>
  <c r="N69" i="14"/>
  <c r="M69" i="14"/>
  <c r="L69" i="14"/>
  <c r="K69" i="14"/>
  <c r="K108" i="14" s="1"/>
  <c r="J69" i="14"/>
  <c r="J108" i="14" s="1"/>
  <c r="I69" i="14"/>
  <c r="I108" i="14" s="1"/>
  <c r="H69" i="14"/>
  <c r="G69" i="14"/>
  <c r="F69" i="14"/>
  <c r="E69" i="14"/>
  <c r="D69" i="14"/>
  <c r="D108" i="14" s="1"/>
  <c r="V68" i="14"/>
  <c r="V107" i="14" s="1"/>
  <c r="U68" i="14"/>
  <c r="U107" i="14" s="1"/>
  <c r="T68" i="14"/>
  <c r="S68" i="14"/>
  <c r="R68" i="14"/>
  <c r="Q68" i="14"/>
  <c r="P68" i="14"/>
  <c r="O68" i="14"/>
  <c r="N68" i="14"/>
  <c r="N107" i="14" s="1"/>
  <c r="M68" i="14"/>
  <c r="M107" i="14" s="1"/>
  <c r="L68" i="14"/>
  <c r="L107" i="14" s="1"/>
  <c r="K68" i="14"/>
  <c r="J68" i="14"/>
  <c r="I68" i="14"/>
  <c r="H68" i="14"/>
  <c r="G68" i="14"/>
  <c r="G107" i="14" s="1"/>
  <c r="F68" i="14"/>
  <c r="F107" i="14" s="1"/>
  <c r="E68" i="14"/>
  <c r="E107" i="14" s="1"/>
  <c r="D68" i="14"/>
  <c r="V67" i="14"/>
  <c r="U67" i="14"/>
  <c r="T67" i="14"/>
  <c r="T106" i="14" s="1"/>
  <c r="S67" i="14"/>
  <c r="S106" i="14" s="1"/>
  <c r="R67" i="14"/>
  <c r="Q67" i="14"/>
  <c r="Q106" i="14" s="1"/>
  <c r="P67" i="14"/>
  <c r="P106" i="14" s="1"/>
  <c r="O67" i="14"/>
  <c r="O106" i="14" s="1"/>
  <c r="N67" i="14"/>
  <c r="M67" i="14"/>
  <c r="L67" i="14"/>
  <c r="K67" i="14"/>
  <c r="J67" i="14"/>
  <c r="J106" i="14" s="1"/>
  <c r="I67" i="14"/>
  <c r="I106" i="14" s="1"/>
  <c r="H67" i="14"/>
  <c r="H106" i="14" s="1"/>
  <c r="G67" i="14"/>
  <c r="F67" i="14"/>
  <c r="E67" i="14"/>
  <c r="D67" i="14"/>
  <c r="V66" i="14"/>
  <c r="U66" i="14"/>
  <c r="T66" i="14"/>
  <c r="T105" i="14" s="1"/>
  <c r="S66" i="14"/>
  <c r="S105" i="14" s="1"/>
  <c r="R66" i="14"/>
  <c r="R105" i="14" s="1"/>
  <c r="Q66" i="14"/>
  <c r="P66" i="14"/>
  <c r="O66" i="14"/>
  <c r="N66" i="14"/>
  <c r="M66" i="14"/>
  <c r="M105" i="14" s="1"/>
  <c r="L66" i="14"/>
  <c r="L105" i="14" s="1"/>
  <c r="K66" i="14"/>
  <c r="K105" i="14" s="1"/>
  <c r="J66" i="14"/>
  <c r="I66" i="14"/>
  <c r="H66" i="14"/>
  <c r="G66" i="14"/>
  <c r="F66" i="14"/>
  <c r="E66" i="14"/>
  <c r="D66" i="14"/>
  <c r="D105" i="14" s="1"/>
  <c r="V65" i="14"/>
  <c r="V104" i="14" s="1"/>
  <c r="U65" i="14"/>
  <c r="U104" i="14" s="1"/>
  <c r="T65" i="14"/>
  <c r="S65" i="14"/>
  <c r="R65" i="14"/>
  <c r="Q65" i="14"/>
  <c r="P65" i="14"/>
  <c r="P104" i="14" s="1"/>
  <c r="O65" i="14"/>
  <c r="O104" i="14" s="1"/>
  <c r="N65" i="14"/>
  <c r="N104" i="14" s="1"/>
  <c r="M65" i="14"/>
  <c r="L65" i="14"/>
  <c r="K65" i="14"/>
  <c r="J65" i="14"/>
  <c r="I65" i="14"/>
  <c r="H65" i="14"/>
  <c r="G65" i="14"/>
  <c r="G104" i="14" s="1"/>
  <c r="F65" i="14"/>
  <c r="F104" i="14" s="1"/>
  <c r="E65" i="14"/>
  <c r="E104" i="14" s="1"/>
  <c r="D65" i="14"/>
  <c r="R64" i="14"/>
  <c r="V63" i="14"/>
  <c r="U63" i="14"/>
  <c r="U102" i="14" s="1"/>
  <c r="T63" i="14"/>
  <c r="S63" i="14"/>
  <c r="S102" i="14" s="1"/>
  <c r="R63" i="14"/>
  <c r="R102" i="14" s="1"/>
  <c r="Q63" i="14"/>
  <c r="P63" i="14"/>
  <c r="O63" i="14"/>
  <c r="N63" i="14"/>
  <c r="M63" i="14"/>
  <c r="L63" i="14"/>
  <c r="L102" i="14" s="1"/>
  <c r="K63" i="14"/>
  <c r="J63" i="14"/>
  <c r="J102" i="14" s="1"/>
  <c r="I63" i="14"/>
  <c r="I102" i="14" s="1"/>
  <c r="H63" i="14"/>
  <c r="H102" i="14" s="1"/>
  <c r="G63" i="14"/>
  <c r="G102" i="14" s="1"/>
  <c r="F63" i="14"/>
  <c r="E63" i="14"/>
  <c r="E102" i="14" s="1"/>
  <c r="D63" i="14"/>
  <c r="V62" i="14"/>
  <c r="V101" i="14" s="1"/>
  <c r="U62" i="14"/>
  <c r="U101" i="14" s="1"/>
  <c r="T62" i="14"/>
  <c r="S62" i="14"/>
  <c r="R62" i="14"/>
  <c r="Q62" i="14"/>
  <c r="P62" i="14"/>
  <c r="P101" i="14" s="1"/>
  <c r="O62" i="14"/>
  <c r="O101" i="14" s="1"/>
  <c r="N62" i="14"/>
  <c r="M62" i="14"/>
  <c r="M101" i="14" s="1"/>
  <c r="L62" i="14"/>
  <c r="L101" i="14" s="1"/>
  <c r="K62" i="14"/>
  <c r="K101" i="14" s="1"/>
  <c r="J62" i="14"/>
  <c r="J101" i="14" s="1"/>
  <c r="I62" i="14"/>
  <c r="H62" i="14"/>
  <c r="H101" i="14" s="1"/>
  <c r="G62" i="14"/>
  <c r="F62" i="14"/>
  <c r="F101" i="14" s="1"/>
  <c r="E62" i="14"/>
  <c r="E101" i="14" s="1"/>
  <c r="D62" i="14"/>
  <c r="V61" i="14"/>
  <c r="U61" i="14"/>
  <c r="T61" i="14"/>
  <c r="S61" i="14"/>
  <c r="S100" i="14" s="1"/>
  <c r="R61" i="14"/>
  <c r="R100" i="14" s="1"/>
  <c r="Q61" i="14"/>
  <c r="P61" i="14"/>
  <c r="P100" i="14" s="1"/>
  <c r="O61" i="14"/>
  <c r="O100" i="14" s="1"/>
  <c r="N61" i="14"/>
  <c r="N100" i="14" s="1"/>
  <c r="M61" i="14"/>
  <c r="M100" i="14" s="1"/>
  <c r="L61" i="14"/>
  <c r="K61" i="14"/>
  <c r="J61" i="14"/>
  <c r="I61" i="14"/>
  <c r="I100" i="14" s="1"/>
  <c r="H61" i="14"/>
  <c r="H100" i="14" s="1"/>
  <c r="G61" i="14"/>
  <c r="F61" i="14"/>
  <c r="E61" i="14"/>
  <c r="E100" i="14" s="1"/>
  <c r="D61" i="14"/>
  <c r="V60" i="14"/>
  <c r="V99" i="14" s="1"/>
  <c r="U60" i="14"/>
  <c r="U99" i="14" s="1"/>
  <c r="T60" i="14"/>
  <c r="T99" i="14" s="1"/>
  <c r="S60" i="14"/>
  <c r="S99" i="14" s="1"/>
  <c r="R60" i="14"/>
  <c r="R99" i="14" s="1"/>
  <c r="Q60" i="14"/>
  <c r="Q99" i="14" s="1"/>
  <c r="P60" i="14"/>
  <c r="P99" i="14" s="1"/>
  <c r="O60" i="14"/>
  <c r="N60" i="14"/>
  <c r="N99" i="14" s="1"/>
  <c r="M60" i="14"/>
  <c r="L60" i="14"/>
  <c r="L99" i="14" s="1"/>
  <c r="K60" i="14"/>
  <c r="K99" i="14" s="1"/>
  <c r="J60" i="14"/>
  <c r="I60" i="14"/>
  <c r="H60" i="14"/>
  <c r="G60" i="14"/>
  <c r="F60" i="14"/>
  <c r="F99" i="14" s="1"/>
  <c r="E60" i="14"/>
  <c r="E99" i="14" s="1"/>
  <c r="D60" i="14"/>
  <c r="D99" i="14" s="1"/>
  <c r="V59" i="14"/>
  <c r="U59" i="14"/>
  <c r="U98" i="14" s="1"/>
  <c r="T59" i="14"/>
  <c r="T98" i="14" s="1"/>
  <c r="S59" i="14"/>
  <c r="S98" i="14" s="1"/>
  <c r="R59" i="14"/>
  <c r="Q59" i="14"/>
  <c r="P59" i="14"/>
  <c r="P98" i="14" s="1"/>
  <c r="O59" i="14"/>
  <c r="O98" i="14" s="1"/>
  <c r="N59" i="14"/>
  <c r="N98" i="14" s="1"/>
  <c r="M59" i="14"/>
  <c r="L59" i="14"/>
  <c r="K59" i="14"/>
  <c r="J59" i="14"/>
  <c r="I59" i="14"/>
  <c r="I98" i="14" s="1"/>
  <c r="H59" i="14"/>
  <c r="H98" i="14" s="1"/>
  <c r="G59" i="14"/>
  <c r="G98" i="14" s="1"/>
  <c r="F59" i="14"/>
  <c r="E59" i="14"/>
  <c r="E98" i="14" s="1"/>
  <c r="D59" i="14"/>
  <c r="D98" i="14" s="1"/>
  <c r="V58" i="14"/>
  <c r="V97" i="14" s="1"/>
  <c r="U58" i="14"/>
  <c r="T58" i="14"/>
  <c r="T97" i="14" s="1"/>
  <c r="S58" i="14"/>
  <c r="R58" i="14"/>
  <c r="R97" i="14" s="1"/>
  <c r="Q58" i="14"/>
  <c r="Q97" i="14" s="1"/>
  <c r="P58" i="14"/>
  <c r="O58" i="14"/>
  <c r="N58" i="14"/>
  <c r="M58" i="14"/>
  <c r="L58" i="14"/>
  <c r="K58" i="14"/>
  <c r="J58" i="14"/>
  <c r="J97" i="14" s="1"/>
  <c r="I58" i="14"/>
  <c r="I97" i="14" s="1"/>
  <c r="H58" i="14"/>
  <c r="H97" i="14" s="1"/>
  <c r="G58" i="14"/>
  <c r="G97" i="14" s="1"/>
  <c r="F58" i="14"/>
  <c r="F97" i="14" s="1"/>
  <c r="E58" i="14"/>
  <c r="D58" i="14"/>
  <c r="D97" i="14" s="1"/>
  <c r="V57" i="14"/>
  <c r="V96" i="14" s="1"/>
  <c r="U57" i="14"/>
  <c r="U96" i="14" s="1"/>
  <c r="T57" i="14"/>
  <c r="T96" i="14" s="1"/>
  <c r="S57" i="14"/>
  <c r="R57" i="14"/>
  <c r="Q57" i="14"/>
  <c r="P57" i="14"/>
  <c r="O57" i="14"/>
  <c r="O96" i="14" s="1"/>
  <c r="N57" i="14"/>
  <c r="N96" i="14" s="1"/>
  <c r="M57" i="14"/>
  <c r="M96" i="14" s="1"/>
  <c r="L57" i="14"/>
  <c r="L96" i="14" s="1"/>
  <c r="K57" i="14"/>
  <c r="K96" i="14" s="1"/>
  <c r="J57" i="14"/>
  <c r="J96" i="14" s="1"/>
  <c r="I57" i="14"/>
  <c r="I96" i="14" s="1"/>
  <c r="H57" i="14"/>
  <c r="G57" i="14"/>
  <c r="F57" i="14"/>
  <c r="E57" i="14"/>
  <c r="E96" i="14" s="1"/>
  <c r="D57" i="14"/>
  <c r="D96" i="14" s="1"/>
  <c r="V56" i="14"/>
  <c r="U56" i="14"/>
  <c r="T56" i="14"/>
  <c r="S56" i="14"/>
  <c r="S95" i="14" s="1"/>
  <c r="R56" i="14"/>
  <c r="R95" i="14" s="1"/>
  <c r="Q56" i="14"/>
  <c r="P56" i="14"/>
  <c r="P95" i="14" s="1"/>
  <c r="O56" i="14"/>
  <c r="O95" i="14" s="1"/>
  <c r="N56" i="14"/>
  <c r="N95" i="14" s="1"/>
  <c r="M56" i="14"/>
  <c r="M95" i="14" s="1"/>
  <c r="L56" i="14"/>
  <c r="L95" i="14" s="1"/>
  <c r="K56" i="14"/>
  <c r="K95" i="14" s="1"/>
  <c r="J56" i="14"/>
  <c r="J95" i="14" s="1"/>
  <c r="I56" i="14"/>
  <c r="I95" i="14" s="1"/>
  <c r="H56" i="14"/>
  <c r="H95" i="14" s="1"/>
  <c r="G56" i="14"/>
  <c r="G95" i="14" s="1"/>
  <c r="F56" i="14"/>
  <c r="E56" i="14"/>
  <c r="D56" i="14"/>
  <c r="D95" i="14" s="1"/>
  <c r="V55" i="14"/>
  <c r="V94" i="14" s="1"/>
  <c r="U55" i="14"/>
  <c r="U94" i="14" s="1"/>
  <c r="T55" i="14"/>
  <c r="T94" i="14" s="1"/>
  <c r="S55" i="14"/>
  <c r="S94" i="14" s="1"/>
  <c r="R55" i="14"/>
  <c r="R94" i="14" s="1"/>
  <c r="Q55" i="14"/>
  <c r="Q94" i="14" s="1"/>
  <c r="P55" i="14"/>
  <c r="P94" i="14" s="1"/>
  <c r="O55" i="14"/>
  <c r="O94" i="14" s="1"/>
  <c r="N55" i="14"/>
  <c r="M55" i="14"/>
  <c r="M94" i="14" s="1"/>
  <c r="L55" i="14"/>
  <c r="L94" i="14" s="1"/>
  <c r="K55" i="14"/>
  <c r="K94" i="14" s="1"/>
  <c r="J55" i="14"/>
  <c r="J94" i="14" s="1"/>
  <c r="I55" i="14"/>
  <c r="H55" i="14"/>
  <c r="G55" i="14"/>
  <c r="F55" i="14"/>
  <c r="E55" i="14"/>
  <c r="D55" i="14"/>
  <c r="D94" i="14" s="1"/>
  <c r="V54" i="14"/>
  <c r="V93" i="14" s="1"/>
  <c r="U54" i="14"/>
  <c r="U93" i="14" s="1"/>
  <c r="T54" i="14"/>
  <c r="T93" i="14" s="1"/>
  <c r="S54" i="14"/>
  <c r="S93" i="14" s="1"/>
  <c r="R54" i="14"/>
  <c r="R93" i="14" s="1"/>
  <c r="Q54" i="14"/>
  <c r="Q93" i="14" s="1"/>
  <c r="P54" i="14"/>
  <c r="P93" i="14" s="1"/>
  <c r="O54" i="14"/>
  <c r="O93" i="14" s="1"/>
  <c r="N54" i="14"/>
  <c r="N93" i="14" s="1"/>
  <c r="M54" i="14"/>
  <c r="M93" i="14" s="1"/>
  <c r="L54" i="14"/>
  <c r="K54" i="14"/>
  <c r="J54" i="14"/>
  <c r="I54" i="14"/>
  <c r="I93" i="14" s="1"/>
  <c r="H54" i="14"/>
  <c r="H93" i="14" s="1"/>
  <c r="G54" i="14"/>
  <c r="G93" i="14" s="1"/>
  <c r="F54" i="14"/>
  <c r="E54" i="14"/>
  <c r="D54" i="14"/>
  <c r="D93" i="14" s="1"/>
  <c r="V53" i="14"/>
  <c r="V92" i="14" s="1"/>
  <c r="U53" i="14"/>
  <c r="U92" i="14" s="1"/>
  <c r="T53" i="14"/>
  <c r="S53" i="14"/>
  <c r="S92" i="14" s="1"/>
  <c r="R53" i="14"/>
  <c r="R92" i="14" s="1"/>
  <c r="Q53" i="14"/>
  <c r="P53" i="14"/>
  <c r="O53" i="14"/>
  <c r="N53" i="14"/>
  <c r="M53" i="14"/>
  <c r="L53" i="14"/>
  <c r="L92" i="14" s="1"/>
  <c r="K53" i="14"/>
  <c r="J53" i="14"/>
  <c r="J92" i="14" s="1"/>
  <c r="I53" i="14"/>
  <c r="I92" i="14" s="1"/>
  <c r="H53" i="14"/>
  <c r="H92" i="14" s="1"/>
  <c r="G53" i="14"/>
  <c r="G92" i="14" s="1"/>
  <c r="F53" i="14"/>
  <c r="F92" i="14" s="1"/>
  <c r="E53" i="14"/>
  <c r="E92" i="14" s="1"/>
  <c r="D53" i="14"/>
  <c r="V52" i="14"/>
  <c r="U52" i="14"/>
  <c r="T52" i="14"/>
  <c r="S52" i="14"/>
  <c r="R52" i="14"/>
  <c r="Q52" i="14"/>
  <c r="P52" i="14"/>
  <c r="P91" i="14" s="1"/>
  <c r="O52" i="14"/>
  <c r="N52" i="14"/>
  <c r="M52" i="14"/>
  <c r="L52" i="14"/>
  <c r="K52" i="14"/>
  <c r="J52" i="14"/>
  <c r="I52" i="14"/>
  <c r="I91" i="14" s="1"/>
  <c r="H52" i="14"/>
  <c r="H91" i="14" s="1"/>
  <c r="G52" i="14"/>
  <c r="F52" i="14"/>
  <c r="F91" i="14" s="1"/>
  <c r="E52" i="14"/>
  <c r="D52" i="14"/>
  <c r="V42" i="14"/>
  <c r="K42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K273" i="14" s="1"/>
  <c r="J41" i="14"/>
  <c r="J273" i="14" s="1"/>
  <c r="I41" i="14"/>
  <c r="H41" i="14"/>
  <c r="G41" i="14"/>
  <c r="F41" i="14"/>
  <c r="E41" i="14"/>
  <c r="D41" i="14"/>
  <c r="V40" i="14"/>
  <c r="V272" i="14" s="1"/>
  <c r="U40" i="14"/>
  <c r="T40" i="14"/>
  <c r="S40" i="14"/>
  <c r="S195" i="14" s="1"/>
  <c r="R40" i="14"/>
  <c r="R118" i="14" s="1"/>
  <c r="Q40" i="14"/>
  <c r="Q118" i="14" s="1"/>
  <c r="P40" i="14"/>
  <c r="P195" i="14" s="1"/>
  <c r="O40" i="14"/>
  <c r="N40" i="14"/>
  <c r="M40" i="14"/>
  <c r="M272" i="14" s="1"/>
  <c r="L40" i="14"/>
  <c r="K40" i="14"/>
  <c r="J40" i="14"/>
  <c r="I40" i="14"/>
  <c r="H40" i="14"/>
  <c r="H195" i="14" s="1"/>
  <c r="G40" i="14"/>
  <c r="F40" i="14"/>
  <c r="F272" i="14" s="1"/>
  <c r="E40" i="14"/>
  <c r="E272" i="14" s="1"/>
  <c r="D40" i="14"/>
  <c r="V39" i="14"/>
  <c r="V194" i="14" s="1"/>
  <c r="U39" i="14"/>
  <c r="U117" i="14" s="1"/>
  <c r="T39" i="14"/>
  <c r="T194" i="14" s="1"/>
  <c r="S39" i="14"/>
  <c r="S194" i="14" s="1"/>
  <c r="R39" i="14"/>
  <c r="R194" i="14" s="1"/>
  <c r="Q39" i="14"/>
  <c r="Q271" i="14" s="1"/>
  <c r="P39" i="14"/>
  <c r="O39" i="14"/>
  <c r="O271" i="14" s="1"/>
  <c r="N39" i="14"/>
  <c r="M39" i="14"/>
  <c r="L39" i="14"/>
  <c r="K39" i="14"/>
  <c r="K194" i="14" s="1"/>
  <c r="J39" i="14"/>
  <c r="I39" i="14"/>
  <c r="H39" i="14"/>
  <c r="G39" i="14"/>
  <c r="F39" i="14"/>
  <c r="F194" i="14" s="1"/>
  <c r="E39" i="14"/>
  <c r="E117" i="14" s="1"/>
  <c r="D39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V37" i="14"/>
  <c r="V269" i="14" s="1"/>
  <c r="U37" i="14"/>
  <c r="U269" i="14" s="1"/>
  <c r="T37" i="14"/>
  <c r="S37" i="14"/>
  <c r="R37" i="14"/>
  <c r="Q37" i="14"/>
  <c r="P37" i="14"/>
  <c r="O37" i="14"/>
  <c r="O269" i="14" s="1"/>
  <c r="N37" i="14"/>
  <c r="M37" i="14"/>
  <c r="L37" i="14"/>
  <c r="L192" i="14" s="1"/>
  <c r="K37" i="14"/>
  <c r="K115" i="14" s="1"/>
  <c r="J37" i="14"/>
  <c r="J192" i="14" s="1"/>
  <c r="I37" i="14"/>
  <c r="I192" i="14" s="1"/>
  <c r="H37" i="14"/>
  <c r="G37" i="14"/>
  <c r="G269" i="14" s="1"/>
  <c r="F37" i="14"/>
  <c r="E37" i="14"/>
  <c r="D37" i="14"/>
  <c r="V36" i="14"/>
  <c r="U36" i="14"/>
  <c r="T36" i="14"/>
  <c r="T191" i="14" s="1"/>
  <c r="S36" i="14"/>
  <c r="R36" i="14"/>
  <c r="R268" i="14" s="1"/>
  <c r="Q36" i="14"/>
  <c r="P36" i="14"/>
  <c r="O36" i="14"/>
  <c r="O191" i="14" s="1"/>
  <c r="N36" i="14"/>
  <c r="N114" i="14" s="1"/>
  <c r="M36" i="14"/>
  <c r="M268" i="14" s="1"/>
  <c r="L36" i="14"/>
  <c r="L191" i="14" s="1"/>
  <c r="K36" i="14"/>
  <c r="K191" i="14" s="1"/>
  <c r="J36" i="14"/>
  <c r="J268" i="14" s="1"/>
  <c r="I36" i="14"/>
  <c r="H36" i="14"/>
  <c r="H268" i="14" s="1"/>
  <c r="G36" i="14"/>
  <c r="F36" i="14"/>
  <c r="E36" i="14"/>
  <c r="D36" i="14"/>
  <c r="D191" i="14" s="1"/>
  <c r="V35" i="14"/>
  <c r="U35" i="14"/>
  <c r="T35" i="14"/>
  <c r="S35" i="14"/>
  <c r="R35" i="14"/>
  <c r="R190" i="14" s="1"/>
  <c r="Q35" i="14"/>
  <c r="Q113" i="14" s="1"/>
  <c r="P35" i="14"/>
  <c r="P190" i="14" s="1"/>
  <c r="O35" i="14"/>
  <c r="O190" i="14" s="1"/>
  <c r="N35" i="14"/>
  <c r="M35" i="14"/>
  <c r="M267" i="14" s="1"/>
  <c r="L35" i="14"/>
  <c r="K35" i="14"/>
  <c r="J35" i="14"/>
  <c r="I35" i="14"/>
  <c r="I267" i="14" s="1"/>
  <c r="H35" i="14"/>
  <c r="G35" i="14"/>
  <c r="F35" i="14"/>
  <c r="E35" i="14"/>
  <c r="E267" i="14" s="1"/>
  <c r="D35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V33" i="14"/>
  <c r="V188" i="14" s="1"/>
  <c r="U33" i="14"/>
  <c r="U188" i="14" s="1"/>
  <c r="T33" i="14"/>
  <c r="S33" i="14"/>
  <c r="S265" i="14" s="1"/>
  <c r="R33" i="14"/>
  <c r="R265" i="14" s="1"/>
  <c r="Q33" i="14"/>
  <c r="P33" i="14"/>
  <c r="O33" i="14"/>
  <c r="N33" i="14"/>
  <c r="M33" i="14"/>
  <c r="L33" i="14"/>
  <c r="K33" i="14"/>
  <c r="J33" i="14"/>
  <c r="I33" i="14"/>
  <c r="H33" i="14"/>
  <c r="H188" i="14" s="1"/>
  <c r="G33" i="14"/>
  <c r="F33" i="14"/>
  <c r="E33" i="14"/>
  <c r="D33" i="14"/>
  <c r="D188" i="14" s="1"/>
  <c r="V32" i="14"/>
  <c r="V264" i="14" s="1"/>
  <c r="U32" i="14"/>
  <c r="T32" i="14"/>
  <c r="T264" i="14" s="1"/>
  <c r="S32" i="14"/>
  <c r="R32" i="14"/>
  <c r="Q32" i="14"/>
  <c r="P32" i="14"/>
  <c r="P187" i="14" s="1"/>
  <c r="O32" i="14"/>
  <c r="N32" i="14"/>
  <c r="M32" i="14"/>
  <c r="L32" i="14"/>
  <c r="K32" i="14"/>
  <c r="K187" i="14" s="1"/>
  <c r="J32" i="14"/>
  <c r="J110" i="14" s="1"/>
  <c r="I32" i="14"/>
  <c r="I187" i="14" s="1"/>
  <c r="H32" i="14"/>
  <c r="H187" i="14" s="1"/>
  <c r="G32" i="14"/>
  <c r="F32" i="14"/>
  <c r="F264" i="14" s="1"/>
  <c r="E32" i="14"/>
  <c r="D32" i="14"/>
  <c r="V31" i="14"/>
  <c r="U31" i="14"/>
  <c r="T31" i="14"/>
  <c r="S31" i="14"/>
  <c r="S186" i="14" s="1"/>
  <c r="R31" i="14"/>
  <c r="Q31" i="14"/>
  <c r="Q263" i="14" s="1"/>
  <c r="P31" i="14"/>
  <c r="O31" i="14"/>
  <c r="N31" i="14"/>
  <c r="N186" i="14" s="1"/>
  <c r="M31" i="14"/>
  <c r="M109" i="14" s="1"/>
  <c r="L31" i="14"/>
  <c r="L186" i="14" s="1"/>
  <c r="K31" i="14"/>
  <c r="K186" i="14" s="1"/>
  <c r="J31" i="14"/>
  <c r="I31" i="14"/>
  <c r="I263" i="14" s="1"/>
  <c r="H31" i="14"/>
  <c r="H263" i="14" s="1"/>
  <c r="G31" i="14"/>
  <c r="F31" i="14"/>
  <c r="E31" i="14"/>
  <c r="D31" i="14"/>
  <c r="V30" i="14"/>
  <c r="U30" i="14"/>
  <c r="T30" i="14"/>
  <c r="S30" i="14"/>
  <c r="R30" i="14"/>
  <c r="Q30" i="14"/>
  <c r="Q185" i="14" s="1"/>
  <c r="P30" i="14"/>
  <c r="P108" i="14" s="1"/>
  <c r="O30" i="14"/>
  <c r="O108" i="14" s="1"/>
  <c r="N30" i="14"/>
  <c r="N185" i="14" s="1"/>
  <c r="M30" i="14"/>
  <c r="L30" i="14"/>
  <c r="L262" i="14" s="1"/>
  <c r="K30" i="14"/>
  <c r="J30" i="14"/>
  <c r="J262" i="14" s="1"/>
  <c r="I30" i="14"/>
  <c r="H30" i="14"/>
  <c r="G30" i="14"/>
  <c r="F30" i="14"/>
  <c r="F185" i="14" s="1"/>
  <c r="E30" i="14"/>
  <c r="D30" i="14"/>
  <c r="V29" i="14"/>
  <c r="V261" i="14" s="1"/>
  <c r="U29" i="14"/>
  <c r="T29" i="14"/>
  <c r="T184" i="14" s="1"/>
  <c r="S29" i="14"/>
  <c r="S107" i="14" s="1"/>
  <c r="R29" i="14"/>
  <c r="R261" i="14" s="1"/>
  <c r="Q29" i="14"/>
  <c r="Q184" i="14" s="1"/>
  <c r="P29" i="14"/>
  <c r="P184" i="14" s="1"/>
  <c r="O29" i="14"/>
  <c r="O261" i="14" s="1"/>
  <c r="N29" i="14"/>
  <c r="M29" i="14"/>
  <c r="M261" i="14" s="1"/>
  <c r="L29" i="14"/>
  <c r="K29" i="14"/>
  <c r="J29" i="14"/>
  <c r="I29" i="14"/>
  <c r="I184" i="14" s="1"/>
  <c r="H29" i="14"/>
  <c r="G29" i="14"/>
  <c r="F29" i="14"/>
  <c r="E29" i="14"/>
  <c r="D29" i="14"/>
  <c r="D184" i="14" s="1"/>
  <c r="V28" i="14"/>
  <c r="U28" i="14"/>
  <c r="T28" i="14"/>
  <c r="S28" i="14"/>
  <c r="R28" i="14"/>
  <c r="Q28" i="14"/>
  <c r="P28" i="14"/>
  <c r="O28" i="14"/>
  <c r="N28" i="14"/>
  <c r="N260" i="14" s="1"/>
  <c r="M28" i="14"/>
  <c r="L28" i="14"/>
  <c r="K28" i="14"/>
  <c r="J28" i="14"/>
  <c r="J260" i="14" s="1"/>
  <c r="I28" i="14"/>
  <c r="H28" i="14"/>
  <c r="G28" i="14"/>
  <c r="G183" i="14" s="1"/>
  <c r="F28" i="14"/>
  <c r="E28" i="14"/>
  <c r="E183" i="14" s="1"/>
  <c r="D28" i="14"/>
  <c r="D183" i="14" s="1"/>
  <c r="V27" i="14"/>
  <c r="U27" i="14"/>
  <c r="U259" i="14" s="1"/>
  <c r="T27" i="14"/>
  <c r="T259" i="14" s="1"/>
  <c r="S27" i="14"/>
  <c r="R27" i="14"/>
  <c r="Q27" i="14"/>
  <c r="P27" i="14"/>
  <c r="O27" i="14"/>
  <c r="N27" i="14"/>
  <c r="M27" i="14"/>
  <c r="M259" i="14" s="1"/>
  <c r="L27" i="14"/>
  <c r="L259" i="14" s="1"/>
  <c r="K27" i="14"/>
  <c r="J27" i="14"/>
  <c r="J182" i="14" s="1"/>
  <c r="I27" i="14"/>
  <c r="H27" i="14"/>
  <c r="H105" i="14" s="1"/>
  <c r="G27" i="14"/>
  <c r="G182" i="14" s="1"/>
  <c r="F27" i="14"/>
  <c r="E27" i="14"/>
  <c r="E259" i="14" s="1"/>
  <c r="D27" i="14"/>
  <c r="D259" i="14" s="1"/>
  <c r="V26" i="14"/>
  <c r="U26" i="14"/>
  <c r="T26" i="14"/>
  <c r="S26" i="14"/>
  <c r="R26" i="14"/>
  <c r="R181" i="14" s="1"/>
  <c r="Q26" i="14"/>
  <c r="P26" i="14"/>
  <c r="P258" i="14" s="1"/>
  <c r="O26" i="14"/>
  <c r="O258" i="14" s="1"/>
  <c r="N26" i="14"/>
  <c r="M26" i="14"/>
  <c r="M181" i="14" s="1"/>
  <c r="L26" i="14"/>
  <c r="L104" i="14" s="1"/>
  <c r="K26" i="14"/>
  <c r="K181" i="14" s="1"/>
  <c r="J26" i="14"/>
  <c r="J181" i="14" s="1"/>
  <c r="I26" i="14"/>
  <c r="I181" i="14" s="1"/>
  <c r="H26" i="14"/>
  <c r="H258" i="14" s="1"/>
  <c r="G26" i="14"/>
  <c r="F26" i="14"/>
  <c r="F258" i="14" s="1"/>
  <c r="E26" i="14"/>
  <c r="D26" i="14"/>
  <c r="V24" i="14"/>
  <c r="V256" i="14" s="1"/>
  <c r="U24" i="14"/>
  <c r="T24" i="14"/>
  <c r="S24" i="14"/>
  <c r="R24" i="14"/>
  <c r="Q24" i="14"/>
  <c r="Q102" i="14" s="1"/>
  <c r="P24" i="14"/>
  <c r="P102" i="14" s="1"/>
  <c r="O24" i="14"/>
  <c r="O179" i="14" s="1"/>
  <c r="N24" i="14"/>
  <c r="N179" i="14" s="1"/>
  <c r="M24" i="14"/>
  <c r="M256" i="14" s="1"/>
  <c r="L24" i="14"/>
  <c r="L256" i="14" s="1"/>
  <c r="K24" i="14"/>
  <c r="J24" i="14"/>
  <c r="J179" i="14" s="1"/>
  <c r="I24" i="14"/>
  <c r="H24" i="14"/>
  <c r="G24" i="14"/>
  <c r="F24" i="14"/>
  <c r="E24" i="14"/>
  <c r="D24" i="14"/>
  <c r="V23" i="14"/>
  <c r="U23" i="14"/>
  <c r="T23" i="14"/>
  <c r="T178" i="14" s="1"/>
  <c r="S23" i="14"/>
  <c r="S101" i="14" s="1"/>
  <c r="R23" i="14"/>
  <c r="Q23" i="14"/>
  <c r="Q178" i="14" s="1"/>
  <c r="P23" i="14"/>
  <c r="P255" i="14" s="1"/>
  <c r="O23" i="14"/>
  <c r="O255" i="14" s="1"/>
  <c r="N23" i="14"/>
  <c r="N255" i="14" s="1"/>
  <c r="M23" i="14"/>
  <c r="M178" i="14" s="1"/>
  <c r="L23" i="14"/>
  <c r="K23" i="14"/>
  <c r="J23" i="14"/>
  <c r="I23" i="14"/>
  <c r="I255" i="14" s="1"/>
  <c r="H23" i="14"/>
  <c r="G23" i="14"/>
  <c r="F23" i="14"/>
  <c r="F255" i="14" s="1"/>
  <c r="E23" i="14"/>
  <c r="D23" i="14"/>
  <c r="D178" i="14" s="1"/>
  <c r="V22" i="14"/>
  <c r="V100" i="14" s="1"/>
  <c r="U22" i="14"/>
  <c r="U177" i="14" s="1"/>
  <c r="T22" i="14"/>
  <c r="T177" i="14" s="1"/>
  <c r="S22" i="14"/>
  <c r="S254" i="14" s="1"/>
  <c r="R22" i="14"/>
  <c r="Q22" i="14"/>
  <c r="P22" i="14"/>
  <c r="P177" i="14" s="1"/>
  <c r="O22" i="14"/>
  <c r="N22" i="14"/>
  <c r="M22" i="14"/>
  <c r="L22" i="14"/>
  <c r="L254" i="14" s="1"/>
  <c r="K22" i="14"/>
  <c r="K254" i="14" s="1"/>
  <c r="J22" i="14"/>
  <c r="I22" i="14"/>
  <c r="H22" i="14"/>
  <c r="H254" i="14" s="1"/>
  <c r="G22" i="14"/>
  <c r="G100" i="14" s="1"/>
  <c r="F22" i="14"/>
  <c r="F100" i="14" s="1"/>
  <c r="E22" i="14"/>
  <c r="E177" i="14" s="1"/>
  <c r="D22" i="14"/>
  <c r="D177" i="14" s="1"/>
  <c r="V21" i="14"/>
  <c r="V253" i="14" s="1"/>
  <c r="U21" i="14"/>
  <c r="U253" i="14" s="1"/>
  <c r="T21" i="14"/>
  <c r="T253" i="14" s="1"/>
  <c r="S21" i="14"/>
  <c r="R21" i="14"/>
  <c r="Q21" i="14"/>
  <c r="P21" i="14"/>
  <c r="O21" i="14"/>
  <c r="N21" i="14"/>
  <c r="N253" i="14" s="1"/>
  <c r="M21" i="14"/>
  <c r="L21" i="14"/>
  <c r="L253" i="14" s="1"/>
  <c r="K21" i="14"/>
  <c r="J21" i="14"/>
  <c r="J176" i="14" s="1"/>
  <c r="I21" i="14"/>
  <c r="I99" i="14" s="1"/>
  <c r="H21" i="14"/>
  <c r="H176" i="14" s="1"/>
  <c r="G21" i="14"/>
  <c r="G176" i="14" s="1"/>
  <c r="F21" i="14"/>
  <c r="F253" i="14" s="1"/>
  <c r="E21" i="14"/>
  <c r="E253" i="14" s="1"/>
  <c r="D21" i="14"/>
  <c r="V20" i="14"/>
  <c r="U20" i="14"/>
  <c r="T20" i="14"/>
  <c r="S20" i="14"/>
  <c r="R20" i="14"/>
  <c r="Q20" i="14"/>
  <c r="P20" i="14"/>
  <c r="O20" i="14"/>
  <c r="O252" i="14" s="1"/>
  <c r="N20" i="14"/>
  <c r="N252" i="14" s="1"/>
  <c r="M20" i="14"/>
  <c r="M98" i="14" s="1"/>
  <c r="L20" i="14"/>
  <c r="L98" i="14" s="1"/>
  <c r="K20" i="14"/>
  <c r="K175" i="14" s="1"/>
  <c r="J20" i="14"/>
  <c r="J175" i="14" s="1"/>
  <c r="I20" i="14"/>
  <c r="I252" i="14" s="1"/>
  <c r="H20" i="14"/>
  <c r="H252" i="14" s="1"/>
  <c r="G20" i="14"/>
  <c r="G252" i="14" s="1"/>
  <c r="F20" i="14"/>
  <c r="E20" i="14"/>
  <c r="D20" i="14"/>
  <c r="V19" i="14"/>
  <c r="U19" i="14"/>
  <c r="T19" i="14"/>
  <c r="S19" i="14"/>
  <c r="R19" i="14"/>
  <c r="Q19" i="14"/>
  <c r="Q251" i="14" s="1"/>
  <c r="P19" i="14"/>
  <c r="P174" i="14" s="1"/>
  <c r="O19" i="14"/>
  <c r="O97" i="14" s="1"/>
  <c r="N19" i="14"/>
  <c r="M19" i="14"/>
  <c r="M174" i="14" s="1"/>
  <c r="L19" i="14"/>
  <c r="K19" i="14"/>
  <c r="J19" i="14"/>
  <c r="I19" i="14"/>
  <c r="I251" i="14" s="1"/>
  <c r="H19" i="14"/>
  <c r="G19" i="14"/>
  <c r="F19" i="14"/>
  <c r="E19" i="14"/>
  <c r="D19" i="14"/>
  <c r="V18" i="14"/>
  <c r="U18" i="14"/>
  <c r="T18" i="14"/>
  <c r="S18" i="14"/>
  <c r="S173" i="14" s="1"/>
  <c r="R18" i="14"/>
  <c r="R96" i="14" s="1"/>
  <c r="Q18" i="14"/>
  <c r="Q173" i="14" s="1"/>
  <c r="P18" i="14"/>
  <c r="P173" i="14" s="1"/>
  <c r="O18" i="14"/>
  <c r="N18" i="14"/>
  <c r="M18" i="14"/>
  <c r="L18" i="14"/>
  <c r="L173" i="14" s="1"/>
  <c r="K18" i="14"/>
  <c r="J18" i="14"/>
  <c r="I18" i="14"/>
  <c r="H18" i="14"/>
  <c r="H96" i="14" s="1"/>
  <c r="G18" i="14"/>
  <c r="G96" i="14" s="1"/>
  <c r="F18" i="14"/>
  <c r="F96" i="14" s="1"/>
  <c r="E18" i="14"/>
  <c r="D18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V16" i="14"/>
  <c r="V171" i="14" s="1"/>
  <c r="U16" i="14"/>
  <c r="U248" i="14" s="1"/>
  <c r="T16" i="14"/>
  <c r="T248" i="14" s="1"/>
  <c r="S16" i="14"/>
  <c r="R16" i="14"/>
  <c r="Q16" i="14"/>
  <c r="P16" i="14"/>
  <c r="O16" i="14"/>
  <c r="N16" i="14"/>
  <c r="N94" i="14" s="1"/>
  <c r="M16" i="14"/>
  <c r="M248" i="14" s="1"/>
  <c r="L16" i="14"/>
  <c r="K16" i="14"/>
  <c r="J16" i="14"/>
  <c r="I16" i="14"/>
  <c r="I171" i="14" s="1"/>
  <c r="H16" i="14"/>
  <c r="H94" i="14" s="1"/>
  <c r="G16" i="14"/>
  <c r="G171" i="14" s="1"/>
  <c r="F16" i="14"/>
  <c r="F171" i="14" s="1"/>
  <c r="E16" i="14"/>
  <c r="E94" i="14" s="1"/>
  <c r="D16" i="14"/>
  <c r="D248" i="14" s="1"/>
  <c r="V15" i="14"/>
  <c r="U15" i="14"/>
  <c r="T15" i="14"/>
  <c r="S15" i="14"/>
  <c r="R15" i="14"/>
  <c r="Q15" i="14"/>
  <c r="P15" i="14"/>
  <c r="O15" i="14"/>
  <c r="N15" i="14"/>
  <c r="M15" i="14"/>
  <c r="L15" i="14"/>
  <c r="L170" i="14" s="1"/>
  <c r="K15" i="14"/>
  <c r="K93" i="14" s="1"/>
  <c r="J15" i="14"/>
  <c r="J170" i="14" s="1"/>
  <c r="I15" i="14"/>
  <c r="I170" i="14" s="1"/>
  <c r="H15" i="14"/>
  <c r="H247" i="14" s="1"/>
  <c r="G15" i="14"/>
  <c r="G247" i="14" s="1"/>
  <c r="F15" i="14"/>
  <c r="E15" i="14"/>
  <c r="E247" i="14" s="1"/>
  <c r="D15" i="14"/>
  <c r="V14" i="14"/>
  <c r="U14" i="14"/>
  <c r="T14" i="14"/>
  <c r="T92" i="14" s="1"/>
  <c r="S14" i="14"/>
  <c r="S42" i="14" s="1"/>
  <c r="R14" i="14"/>
  <c r="Q14" i="14"/>
  <c r="P14" i="14"/>
  <c r="O14" i="14"/>
  <c r="O92" i="14" s="1"/>
  <c r="N14" i="14"/>
  <c r="N92" i="14" s="1"/>
  <c r="M14" i="14"/>
  <c r="M169" i="14" s="1"/>
  <c r="L14" i="14"/>
  <c r="L169" i="14" s="1"/>
  <c r="K14" i="14"/>
  <c r="K246" i="14" s="1"/>
  <c r="J14" i="14"/>
  <c r="I14" i="14"/>
  <c r="I246" i="14" s="1"/>
  <c r="H14" i="14"/>
  <c r="G14" i="14"/>
  <c r="F14" i="14"/>
  <c r="E14" i="14"/>
  <c r="D14" i="14"/>
  <c r="V13" i="14"/>
  <c r="U13" i="14"/>
  <c r="T13" i="14"/>
  <c r="S13" i="14"/>
  <c r="R13" i="14"/>
  <c r="R168" i="14" s="1"/>
  <c r="Q13" i="14"/>
  <c r="Q91" i="14" s="1"/>
  <c r="P13" i="14"/>
  <c r="P168" i="14" s="1"/>
  <c r="O13" i="14"/>
  <c r="O168" i="14" s="1"/>
  <c r="N13" i="14"/>
  <c r="N245" i="14" s="1"/>
  <c r="M13" i="14"/>
  <c r="L13" i="14"/>
  <c r="L245" i="14" s="1"/>
  <c r="K13" i="14"/>
  <c r="K245" i="14" s="1"/>
  <c r="J13" i="14"/>
  <c r="J42" i="14" s="1"/>
  <c r="I13" i="14"/>
  <c r="I245" i="14" s="1"/>
  <c r="H13" i="14"/>
  <c r="G13" i="14"/>
  <c r="F13" i="14"/>
  <c r="F42" i="14" s="1"/>
  <c r="E13" i="14"/>
  <c r="D13" i="14"/>
  <c r="C297" i="13"/>
  <c r="I294" i="13"/>
  <c r="H291" i="13"/>
  <c r="J290" i="13"/>
  <c r="I290" i="13"/>
  <c r="H289" i="13"/>
  <c r="H287" i="13"/>
  <c r="D287" i="13"/>
  <c r="E286" i="13"/>
  <c r="H283" i="13"/>
  <c r="I282" i="13"/>
  <c r="H281" i="13"/>
  <c r="G281" i="13"/>
  <c r="I278" i="13"/>
  <c r="D277" i="13"/>
  <c r="H275" i="13"/>
  <c r="I274" i="13"/>
  <c r="H273" i="13"/>
  <c r="H271" i="13"/>
  <c r="D271" i="13"/>
  <c r="H267" i="13"/>
  <c r="I266" i="13"/>
  <c r="H265" i="13"/>
  <c r="C255" i="13"/>
  <c r="G254" i="13"/>
  <c r="K253" i="13"/>
  <c r="J253" i="13"/>
  <c r="I253" i="13"/>
  <c r="I295" i="13" s="1"/>
  <c r="H253" i="13"/>
  <c r="H295" i="13" s="1"/>
  <c r="G253" i="13"/>
  <c r="F253" i="13"/>
  <c r="E253" i="13"/>
  <c r="D253" i="13"/>
  <c r="K252" i="13"/>
  <c r="J252" i="13"/>
  <c r="I252" i="13"/>
  <c r="H252" i="13"/>
  <c r="G252" i="13"/>
  <c r="G294" i="13" s="1"/>
  <c r="F252" i="13"/>
  <c r="F294" i="13" s="1"/>
  <c r="E252" i="13"/>
  <c r="D252" i="13"/>
  <c r="K251" i="13"/>
  <c r="J251" i="13"/>
  <c r="I251" i="13"/>
  <c r="I293" i="13" s="1"/>
  <c r="H251" i="13"/>
  <c r="H293" i="13" s="1"/>
  <c r="G251" i="13"/>
  <c r="F251" i="13"/>
  <c r="E251" i="13"/>
  <c r="D251" i="13"/>
  <c r="K250" i="13"/>
  <c r="J250" i="13"/>
  <c r="I250" i="13"/>
  <c r="I292" i="13" s="1"/>
  <c r="H250" i="13"/>
  <c r="H292" i="13" s="1"/>
  <c r="G250" i="13"/>
  <c r="G292" i="13" s="1"/>
  <c r="F250" i="13"/>
  <c r="F292" i="13" s="1"/>
  <c r="E250" i="13"/>
  <c r="D250" i="13"/>
  <c r="K249" i="13"/>
  <c r="J249" i="13"/>
  <c r="I249" i="13"/>
  <c r="I291" i="13" s="1"/>
  <c r="H249" i="13"/>
  <c r="G249" i="13"/>
  <c r="F249" i="13"/>
  <c r="E249" i="13"/>
  <c r="D249" i="13"/>
  <c r="K248" i="13"/>
  <c r="J248" i="13"/>
  <c r="I248" i="13"/>
  <c r="H248" i="13"/>
  <c r="G248" i="13"/>
  <c r="G290" i="13" s="1"/>
  <c r="F248" i="13"/>
  <c r="F290" i="13" s="1"/>
  <c r="E248" i="13"/>
  <c r="D248" i="13"/>
  <c r="K247" i="13"/>
  <c r="J247" i="13"/>
  <c r="I247" i="13"/>
  <c r="I289" i="13" s="1"/>
  <c r="H247" i="13"/>
  <c r="G247" i="13"/>
  <c r="F247" i="13"/>
  <c r="E247" i="13"/>
  <c r="D247" i="13"/>
  <c r="K246" i="13"/>
  <c r="J246" i="13"/>
  <c r="I246" i="13"/>
  <c r="I288" i="13" s="1"/>
  <c r="H246" i="13"/>
  <c r="G246" i="13"/>
  <c r="G288" i="13" s="1"/>
  <c r="F246" i="13"/>
  <c r="F288" i="13" s="1"/>
  <c r="E246" i="13"/>
  <c r="D246" i="13"/>
  <c r="K245" i="13"/>
  <c r="J245" i="13"/>
  <c r="I245" i="13"/>
  <c r="I287" i="13" s="1"/>
  <c r="H245" i="13"/>
  <c r="G245" i="13"/>
  <c r="F245" i="13"/>
  <c r="E245" i="13"/>
  <c r="D245" i="13"/>
  <c r="K244" i="13"/>
  <c r="J244" i="13"/>
  <c r="I244" i="13"/>
  <c r="I286" i="13" s="1"/>
  <c r="H244" i="13"/>
  <c r="G244" i="13"/>
  <c r="F244" i="13"/>
  <c r="E244" i="13"/>
  <c r="D244" i="13"/>
  <c r="K243" i="13"/>
  <c r="J243" i="13"/>
  <c r="I243" i="13"/>
  <c r="I285" i="13" s="1"/>
  <c r="H243" i="13"/>
  <c r="H285" i="13" s="1"/>
  <c r="G243" i="13"/>
  <c r="F243" i="13"/>
  <c r="E243" i="13"/>
  <c r="D243" i="13"/>
  <c r="K242" i="13"/>
  <c r="J242" i="13"/>
  <c r="I242" i="13"/>
  <c r="I284" i="13" s="1"/>
  <c r="H242" i="13"/>
  <c r="G242" i="13"/>
  <c r="F242" i="13"/>
  <c r="E242" i="13"/>
  <c r="D242" i="13"/>
  <c r="K241" i="13"/>
  <c r="J241" i="13"/>
  <c r="I241" i="13"/>
  <c r="I283" i="13" s="1"/>
  <c r="H241" i="13"/>
  <c r="G241" i="13"/>
  <c r="F241" i="13"/>
  <c r="E241" i="13"/>
  <c r="D241" i="13"/>
  <c r="K240" i="13"/>
  <c r="J240" i="13"/>
  <c r="I240" i="13"/>
  <c r="H240" i="13"/>
  <c r="G240" i="13"/>
  <c r="F240" i="13"/>
  <c r="E240" i="13"/>
  <c r="D240" i="13"/>
  <c r="K239" i="13"/>
  <c r="J239" i="13"/>
  <c r="I239" i="13"/>
  <c r="I281" i="13" s="1"/>
  <c r="H239" i="13"/>
  <c r="G239" i="13"/>
  <c r="F239" i="13"/>
  <c r="E239" i="13"/>
  <c r="D239" i="13"/>
  <c r="D281" i="13" s="1"/>
  <c r="K238" i="13"/>
  <c r="J238" i="13"/>
  <c r="I238" i="13"/>
  <c r="I280" i="13" s="1"/>
  <c r="H238" i="13"/>
  <c r="G238" i="13"/>
  <c r="F238" i="13"/>
  <c r="E238" i="13"/>
  <c r="D238" i="13"/>
  <c r="K237" i="13"/>
  <c r="J237" i="13"/>
  <c r="I237" i="13"/>
  <c r="I279" i="13" s="1"/>
  <c r="H237" i="13"/>
  <c r="H279" i="13" s="1"/>
  <c r="G237" i="13"/>
  <c r="F237" i="13"/>
  <c r="E237" i="13"/>
  <c r="E279" i="13" s="1"/>
  <c r="D237" i="13"/>
  <c r="K236" i="13"/>
  <c r="J236" i="13"/>
  <c r="I236" i="13"/>
  <c r="H236" i="13"/>
  <c r="G236" i="13"/>
  <c r="F236" i="13"/>
  <c r="E236" i="13"/>
  <c r="D236" i="13"/>
  <c r="K235" i="13"/>
  <c r="J235" i="13"/>
  <c r="I235" i="13"/>
  <c r="I277" i="13" s="1"/>
  <c r="H235" i="13"/>
  <c r="H277" i="13" s="1"/>
  <c r="G235" i="13"/>
  <c r="G277" i="13" s="1"/>
  <c r="F235" i="13"/>
  <c r="F277" i="13" s="1"/>
  <c r="E235" i="13"/>
  <c r="E277" i="13" s="1"/>
  <c r="D235" i="13"/>
  <c r="K234" i="13"/>
  <c r="J234" i="13"/>
  <c r="I234" i="13"/>
  <c r="I276" i="13" s="1"/>
  <c r="H234" i="13"/>
  <c r="G234" i="13"/>
  <c r="F234" i="13"/>
  <c r="E234" i="13"/>
  <c r="D234" i="13"/>
  <c r="K233" i="13"/>
  <c r="J233" i="13"/>
  <c r="I233" i="13"/>
  <c r="I275" i="13" s="1"/>
  <c r="H233" i="13"/>
  <c r="G233" i="13"/>
  <c r="F233" i="13"/>
  <c r="E233" i="13"/>
  <c r="D233" i="13"/>
  <c r="K232" i="13"/>
  <c r="J232" i="13"/>
  <c r="I232" i="13"/>
  <c r="H232" i="13"/>
  <c r="G232" i="13"/>
  <c r="F232" i="13"/>
  <c r="E232" i="13"/>
  <c r="D232" i="13"/>
  <c r="K231" i="13"/>
  <c r="J231" i="13"/>
  <c r="I231" i="13"/>
  <c r="I273" i="13" s="1"/>
  <c r="H231" i="13"/>
  <c r="G231" i="13"/>
  <c r="F231" i="13"/>
  <c r="E231" i="13"/>
  <c r="D231" i="13"/>
  <c r="K230" i="13"/>
  <c r="J230" i="13"/>
  <c r="I230" i="13"/>
  <c r="I272" i="13" s="1"/>
  <c r="H230" i="13"/>
  <c r="G230" i="13"/>
  <c r="G272" i="13" s="1"/>
  <c r="F230" i="13"/>
  <c r="E230" i="13"/>
  <c r="D230" i="13"/>
  <c r="K229" i="13"/>
  <c r="J229" i="13"/>
  <c r="I229" i="13"/>
  <c r="I271" i="13" s="1"/>
  <c r="H229" i="13"/>
  <c r="G229" i="13"/>
  <c r="F229" i="13"/>
  <c r="E229" i="13"/>
  <c r="D229" i="13"/>
  <c r="K228" i="13"/>
  <c r="J228" i="13"/>
  <c r="I228" i="13"/>
  <c r="I270" i="13" s="1"/>
  <c r="H228" i="13"/>
  <c r="G228" i="13"/>
  <c r="F228" i="13"/>
  <c r="E228" i="13"/>
  <c r="E270" i="13" s="1"/>
  <c r="D228" i="13"/>
  <c r="K227" i="13"/>
  <c r="J227" i="13"/>
  <c r="I227" i="13"/>
  <c r="I269" i="13" s="1"/>
  <c r="H227" i="13"/>
  <c r="H269" i="13" s="1"/>
  <c r="G227" i="13"/>
  <c r="F227" i="13"/>
  <c r="E227" i="13"/>
  <c r="D227" i="13"/>
  <c r="K226" i="13"/>
  <c r="J226" i="13"/>
  <c r="I226" i="13"/>
  <c r="I268" i="13" s="1"/>
  <c r="H226" i="13"/>
  <c r="G226" i="13"/>
  <c r="F226" i="13"/>
  <c r="E226" i="13"/>
  <c r="D226" i="13"/>
  <c r="K225" i="13"/>
  <c r="J225" i="13"/>
  <c r="I225" i="13"/>
  <c r="I267" i="13" s="1"/>
  <c r="H225" i="13"/>
  <c r="G225" i="13"/>
  <c r="F225" i="13"/>
  <c r="E225" i="13"/>
  <c r="D225" i="13"/>
  <c r="K224" i="13"/>
  <c r="J224" i="13"/>
  <c r="I224" i="13"/>
  <c r="H224" i="13"/>
  <c r="G224" i="13"/>
  <c r="F224" i="13"/>
  <c r="F254" i="13" s="1"/>
  <c r="E224" i="13"/>
  <c r="D224" i="13"/>
  <c r="K223" i="13"/>
  <c r="K254" i="13" s="1"/>
  <c r="J223" i="13"/>
  <c r="I223" i="13"/>
  <c r="H223" i="13"/>
  <c r="H254" i="13" s="1"/>
  <c r="G223" i="13"/>
  <c r="F223" i="13"/>
  <c r="E223" i="13"/>
  <c r="D223" i="13"/>
  <c r="D254" i="13" s="1"/>
  <c r="C214" i="13"/>
  <c r="K210" i="13"/>
  <c r="H210" i="13"/>
  <c r="I209" i="13"/>
  <c r="I208" i="13"/>
  <c r="G207" i="13"/>
  <c r="I206" i="13"/>
  <c r="I205" i="13"/>
  <c r="F204" i="13"/>
  <c r="E202" i="13"/>
  <c r="J199" i="13"/>
  <c r="J198" i="13"/>
  <c r="I196" i="13"/>
  <c r="J195" i="13"/>
  <c r="I195" i="13"/>
  <c r="F194" i="13"/>
  <c r="E194" i="13"/>
  <c r="I193" i="13"/>
  <c r="G191" i="13"/>
  <c r="K190" i="13"/>
  <c r="J188" i="13"/>
  <c r="F188" i="13"/>
  <c r="G185" i="13"/>
  <c r="K182" i="13"/>
  <c r="C172" i="13"/>
  <c r="G171" i="13"/>
  <c r="G213" i="13" s="1"/>
  <c r="K170" i="13"/>
  <c r="K212" i="13" s="1"/>
  <c r="J170" i="13"/>
  <c r="I170" i="13"/>
  <c r="I212" i="13" s="1"/>
  <c r="H170" i="13"/>
  <c r="H212" i="13" s="1"/>
  <c r="G170" i="13"/>
  <c r="F170" i="13"/>
  <c r="E170" i="13"/>
  <c r="D170" i="13"/>
  <c r="D212" i="13" s="1"/>
  <c r="K169" i="13"/>
  <c r="K211" i="13" s="1"/>
  <c r="J169" i="13"/>
  <c r="I169" i="13"/>
  <c r="I211" i="13" s="1"/>
  <c r="H169" i="13"/>
  <c r="H211" i="13" s="1"/>
  <c r="G169" i="13"/>
  <c r="G211" i="13" s="1"/>
  <c r="F169" i="13"/>
  <c r="E169" i="13"/>
  <c r="D169" i="13"/>
  <c r="K168" i="13"/>
  <c r="J168" i="13"/>
  <c r="I168" i="13"/>
  <c r="I210" i="13" s="1"/>
  <c r="H168" i="13"/>
  <c r="G168" i="13"/>
  <c r="G210" i="13" s="1"/>
  <c r="F168" i="13"/>
  <c r="E168" i="13"/>
  <c r="D168" i="13"/>
  <c r="D210" i="13" s="1"/>
  <c r="K167" i="13"/>
  <c r="K209" i="13" s="1"/>
  <c r="J167" i="13"/>
  <c r="I167" i="13"/>
  <c r="H167" i="13"/>
  <c r="H209" i="13" s="1"/>
  <c r="G167" i="13"/>
  <c r="G209" i="13" s="1"/>
  <c r="F167" i="13"/>
  <c r="E167" i="13"/>
  <c r="D167" i="13"/>
  <c r="K166" i="13"/>
  <c r="J166" i="13"/>
  <c r="I166" i="13"/>
  <c r="H166" i="13"/>
  <c r="H208" i="13" s="1"/>
  <c r="G166" i="13"/>
  <c r="F166" i="13"/>
  <c r="E166" i="13"/>
  <c r="D166" i="13"/>
  <c r="D208" i="13" s="1"/>
  <c r="K165" i="13"/>
  <c r="K207" i="13" s="1"/>
  <c r="J165" i="13"/>
  <c r="I165" i="13"/>
  <c r="I207" i="13" s="1"/>
  <c r="H165" i="13"/>
  <c r="H207" i="13" s="1"/>
  <c r="G165" i="13"/>
  <c r="F165" i="13"/>
  <c r="F207" i="13" s="1"/>
  <c r="E165" i="13"/>
  <c r="D165" i="13"/>
  <c r="D207" i="13" s="1"/>
  <c r="K164" i="13"/>
  <c r="K206" i="13" s="1"/>
  <c r="J164" i="13"/>
  <c r="I164" i="13"/>
  <c r="H164" i="13"/>
  <c r="H206" i="13" s="1"/>
  <c r="G164" i="13"/>
  <c r="G206" i="13" s="1"/>
  <c r="F164" i="13"/>
  <c r="E164" i="13"/>
  <c r="E206" i="13" s="1"/>
  <c r="D164" i="13"/>
  <c r="D206" i="13" s="1"/>
  <c r="K163" i="13"/>
  <c r="K205" i="13" s="1"/>
  <c r="J163" i="13"/>
  <c r="I163" i="13"/>
  <c r="H163" i="13"/>
  <c r="G163" i="13"/>
  <c r="G205" i="13" s="1"/>
  <c r="F163" i="13"/>
  <c r="E163" i="13"/>
  <c r="D163" i="13"/>
  <c r="D205" i="13" s="1"/>
  <c r="K162" i="13"/>
  <c r="K204" i="13" s="1"/>
  <c r="J162" i="13"/>
  <c r="I162" i="13"/>
  <c r="I204" i="13" s="1"/>
  <c r="H162" i="13"/>
  <c r="H204" i="13" s="1"/>
  <c r="G162" i="13"/>
  <c r="F162" i="13"/>
  <c r="E162" i="13"/>
  <c r="D162" i="13"/>
  <c r="D204" i="13" s="1"/>
  <c r="K161" i="13"/>
  <c r="K203" i="13" s="1"/>
  <c r="J161" i="13"/>
  <c r="I161" i="13"/>
  <c r="I203" i="13" s="1"/>
  <c r="H161" i="13"/>
  <c r="G161" i="13"/>
  <c r="F161" i="13"/>
  <c r="E161" i="13"/>
  <c r="D161" i="13"/>
  <c r="K160" i="13"/>
  <c r="K202" i="13" s="1"/>
  <c r="J160" i="13"/>
  <c r="I160" i="13"/>
  <c r="I202" i="13" s="1"/>
  <c r="H160" i="13"/>
  <c r="H202" i="13" s="1"/>
  <c r="G160" i="13"/>
  <c r="F160" i="13"/>
  <c r="E160" i="13"/>
  <c r="D160" i="13"/>
  <c r="D202" i="13" s="1"/>
  <c r="K159" i="13"/>
  <c r="K201" i="13" s="1"/>
  <c r="J159" i="13"/>
  <c r="I159" i="13"/>
  <c r="I201" i="13" s="1"/>
  <c r="H159" i="13"/>
  <c r="G159" i="13"/>
  <c r="F159" i="13"/>
  <c r="E159" i="13"/>
  <c r="D159" i="13"/>
  <c r="K158" i="13"/>
  <c r="J158" i="13"/>
  <c r="I158" i="13"/>
  <c r="I200" i="13" s="1"/>
  <c r="H158" i="13"/>
  <c r="H200" i="13" s="1"/>
  <c r="G158" i="13"/>
  <c r="F158" i="13"/>
  <c r="E158" i="13"/>
  <c r="D158" i="13"/>
  <c r="D200" i="13" s="1"/>
  <c r="K157" i="13"/>
  <c r="K199" i="13" s="1"/>
  <c r="J157" i="13"/>
  <c r="I157" i="13"/>
  <c r="I199" i="13" s="1"/>
  <c r="H157" i="13"/>
  <c r="G157" i="13"/>
  <c r="G199" i="13" s="1"/>
  <c r="F157" i="13"/>
  <c r="E157" i="13"/>
  <c r="D157" i="13"/>
  <c r="K156" i="13"/>
  <c r="J156" i="13"/>
  <c r="I156" i="13"/>
  <c r="I198" i="13" s="1"/>
  <c r="H156" i="13"/>
  <c r="H198" i="13" s="1"/>
  <c r="G156" i="13"/>
  <c r="F156" i="13"/>
  <c r="E156" i="13"/>
  <c r="D156" i="13"/>
  <c r="D198" i="13" s="1"/>
  <c r="K155" i="13"/>
  <c r="K197" i="13" s="1"/>
  <c r="J155" i="13"/>
  <c r="I155" i="13"/>
  <c r="I197" i="13" s="1"/>
  <c r="H155" i="13"/>
  <c r="G155" i="13"/>
  <c r="F155" i="13"/>
  <c r="E155" i="13"/>
  <c r="D155" i="13"/>
  <c r="K154" i="13"/>
  <c r="J154" i="13"/>
  <c r="I154" i="13"/>
  <c r="H154" i="13"/>
  <c r="H196" i="13" s="1"/>
  <c r="G154" i="13"/>
  <c r="F154" i="13"/>
  <c r="E154" i="13"/>
  <c r="D154" i="13"/>
  <c r="D196" i="13" s="1"/>
  <c r="K153" i="13"/>
  <c r="K195" i="13" s="1"/>
  <c r="J153" i="13"/>
  <c r="I153" i="13"/>
  <c r="H153" i="13"/>
  <c r="G153" i="13"/>
  <c r="F153" i="13"/>
  <c r="F195" i="13" s="1"/>
  <c r="E153" i="13"/>
  <c r="D153" i="13"/>
  <c r="K152" i="13"/>
  <c r="J152" i="13"/>
  <c r="I152" i="13"/>
  <c r="I194" i="13" s="1"/>
  <c r="H152" i="13"/>
  <c r="H194" i="13" s="1"/>
  <c r="G152" i="13"/>
  <c r="G194" i="13" s="1"/>
  <c r="F152" i="13"/>
  <c r="E152" i="13"/>
  <c r="D152" i="13"/>
  <c r="D194" i="13" s="1"/>
  <c r="K151" i="13"/>
  <c r="K193" i="13" s="1"/>
  <c r="J151" i="13"/>
  <c r="I151" i="13"/>
  <c r="H151" i="13"/>
  <c r="G151" i="13"/>
  <c r="F151" i="13"/>
  <c r="F193" i="13" s="1"/>
  <c r="E151" i="13"/>
  <c r="D151" i="13"/>
  <c r="K150" i="13"/>
  <c r="J150" i="13"/>
  <c r="I150" i="13"/>
  <c r="I192" i="13" s="1"/>
  <c r="H150" i="13"/>
  <c r="H192" i="13" s="1"/>
  <c r="G150" i="13"/>
  <c r="G192" i="13" s="1"/>
  <c r="F150" i="13"/>
  <c r="E150" i="13"/>
  <c r="D150" i="13"/>
  <c r="D192" i="13" s="1"/>
  <c r="K149" i="13"/>
  <c r="K191" i="13" s="1"/>
  <c r="J149" i="13"/>
  <c r="I149" i="13"/>
  <c r="I191" i="13" s="1"/>
  <c r="H149" i="13"/>
  <c r="G149" i="13"/>
  <c r="F149" i="13"/>
  <c r="E149" i="13"/>
  <c r="D149" i="13"/>
  <c r="D191" i="13" s="1"/>
  <c r="K148" i="13"/>
  <c r="J148" i="13"/>
  <c r="I148" i="13"/>
  <c r="I190" i="13" s="1"/>
  <c r="H148" i="13"/>
  <c r="H190" i="13" s="1"/>
  <c r="G148" i="13"/>
  <c r="F148" i="13"/>
  <c r="E148" i="13"/>
  <c r="D148" i="13"/>
  <c r="D190" i="13" s="1"/>
  <c r="K147" i="13"/>
  <c r="K189" i="13" s="1"/>
  <c r="J147" i="13"/>
  <c r="I147" i="13"/>
  <c r="I189" i="13" s="1"/>
  <c r="H147" i="13"/>
  <c r="G147" i="13"/>
  <c r="G189" i="13" s="1"/>
  <c r="F147" i="13"/>
  <c r="E147" i="13"/>
  <c r="D147" i="13"/>
  <c r="D189" i="13" s="1"/>
  <c r="K146" i="13"/>
  <c r="J146" i="13"/>
  <c r="I146" i="13"/>
  <c r="I188" i="13" s="1"/>
  <c r="H146" i="13"/>
  <c r="H188" i="13" s="1"/>
  <c r="G146" i="13"/>
  <c r="F146" i="13"/>
  <c r="E146" i="13"/>
  <c r="D146" i="13"/>
  <c r="D188" i="13" s="1"/>
  <c r="K145" i="13"/>
  <c r="K187" i="13" s="1"/>
  <c r="J145" i="13"/>
  <c r="I145" i="13"/>
  <c r="I187" i="13" s="1"/>
  <c r="H145" i="13"/>
  <c r="G145" i="13"/>
  <c r="G187" i="13" s="1"/>
  <c r="F145" i="13"/>
  <c r="E145" i="13"/>
  <c r="D145" i="13"/>
  <c r="D187" i="13" s="1"/>
  <c r="K144" i="13"/>
  <c r="J144" i="13"/>
  <c r="I144" i="13"/>
  <c r="I186" i="13" s="1"/>
  <c r="H144" i="13"/>
  <c r="H186" i="13" s="1"/>
  <c r="G144" i="13"/>
  <c r="F144" i="13"/>
  <c r="E144" i="13"/>
  <c r="D144" i="13"/>
  <c r="D186" i="13" s="1"/>
  <c r="K143" i="13"/>
  <c r="K185" i="13" s="1"/>
  <c r="J143" i="13"/>
  <c r="I143" i="13"/>
  <c r="I185" i="13" s="1"/>
  <c r="H143" i="13"/>
  <c r="G143" i="13"/>
  <c r="F143" i="13"/>
  <c r="E143" i="13"/>
  <c r="D143" i="13"/>
  <c r="D185" i="13" s="1"/>
  <c r="K142" i="13"/>
  <c r="J142" i="13"/>
  <c r="I142" i="13"/>
  <c r="I184" i="13" s="1"/>
  <c r="H142" i="13"/>
  <c r="H184" i="13" s="1"/>
  <c r="G142" i="13"/>
  <c r="F142" i="13"/>
  <c r="E142" i="13"/>
  <c r="D142" i="13"/>
  <c r="D184" i="13" s="1"/>
  <c r="K141" i="13"/>
  <c r="K183" i="13" s="1"/>
  <c r="J141" i="13"/>
  <c r="I141" i="13"/>
  <c r="I183" i="13" s="1"/>
  <c r="H141" i="13"/>
  <c r="G141" i="13"/>
  <c r="G183" i="13" s="1"/>
  <c r="F141" i="13"/>
  <c r="F171" i="13" s="1"/>
  <c r="E141" i="13"/>
  <c r="D141" i="13"/>
  <c r="D183" i="13" s="1"/>
  <c r="K140" i="13"/>
  <c r="J140" i="13"/>
  <c r="J171" i="13" s="1"/>
  <c r="I140" i="13"/>
  <c r="H140" i="13"/>
  <c r="G140" i="13"/>
  <c r="F140" i="13"/>
  <c r="E140" i="13"/>
  <c r="D140" i="13"/>
  <c r="C130" i="13"/>
  <c r="J128" i="13"/>
  <c r="I128" i="13"/>
  <c r="H128" i="13"/>
  <c r="I127" i="13"/>
  <c r="H127" i="13"/>
  <c r="J126" i="13"/>
  <c r="I126" i="13"/>
  <c r="H126" i="13"/>
  <c r="I125" i="13"/>
  <c r="H125" i="13"/>
  <c r="J124" i="13"/>
  <c r="I124" i="13"/>
  <c r="H124" i="13"/>
  <c r="J123" i="13"/>
  <c r="H123" i="13"/>
  <c r="K122" i="13"/>
  <c r="H122" i="13"/>
  <c r="J121" i="13"/>
  <c r="I121" i="13"/>
  <c r="I120" i="13"/>
  <c r="H120" i="13"/>
  <c r="J119" i="13"/>
  <c r="I119" i="13"/>
  <c r="I118" i="13"/>
  <c r="H118" i="13"/>
  <c r="I117" i="13"/>
  <c r="I116" i="13"/>
  <c r="H116" i="13"/>
  <c r="I115" i="13"/>
  <c r="J114" i="13"/>
  <c r="I114" i="13"/>
  <c r="H114" i="13"/>
  <c r="I113" i="13"/>
  <c r="I112" i="13"/>
  <c r="H112" i="13"/>
  <c r="D112" i="13"/>
  <c r="J111" i="13"/>
  <c r="I111" i="13"/>
  <c r="I110" i="13"/>
  <c r="H110" i="13"/>
  <c r="E110" i="13"/>
  <c r="D110" i="13"/>
  <c r="I109" i="13"/>
  <c r="J108" i="13"/>
  <c r="I108" i="13"/>
  <c r="H108" i="13"/>
  <c r="I107" i="13"/>
  <c r="J106" i="13"/>
  <c r="I106" i="13"/>
  <c r="H106" i="13"/>
  <c r="J105" i="13"/>
  <c r="I105" i="13"/>
  <c r="I104" i="13"/>
  <c r="H104" i="13"/>
  <c r="J103" i="13"/>
  <c r="I103" i="13"/>
  <c r="I102" i="13"/>
  <c r="H102" i="13"/>
  <c r="I100" i="13"/>
  <c r="H100" i="13"/>
  <c r="I99" i="13"/>
  <c r="J98" i="13"/>
  <c r="I98" i="13"/>
  <c r="H98" i="13"/>
  <c r="C89" i="13"/>
  <c r="K87" i="13"/>
  <c r="K128" i="13" s="1"/>
  <c r="J87" i="13"/>
  <c r="I87" i="13"/>
  <c r="H87" i="13"/>
  <c r="G87" i="13"/>
  <c r="F87" i="13"/>
  <c r="E87" i="13"/>
  <c r="D87" i="13"/>
  <c r="D128" i="13" s="1"/>
  <c r="K86" i="13"/>
  <c r="K127" i="13" s="1"/>
  <c r="J86" i="13"/>
  <c r="J127" i="13" s="1"/>
  <c r="I86" i="13"/>
  <c r="H86" i="13"/>
  <c r="G86" i="13"/>
  <c r="F86" i="13"/>
  <c r="F127" i="13" s="1"/>
  <c r="E86" i="13"/>
  <c r="E127" i="13" s="1"/>
  <c r="D86" i="13"/>
  <c r="D127" i="13" s="1"/>
  <c r="K85" i="13"/>
  <c r="K126" i="13" s="1"/>
  <c r="J85" i="13"/>
  <c r="I85" i="13"/>
  <c r="H85" i="13"/>
  <c r="G85" i="13"/>
  <c r="F85" i="13"/>
  <c r="E85" i="13"/>
  <c r="D85" i="13"/>
  <c r="D126" i="13" s="1"/>
  <c r="K84" i="13"/>
  <c r="K125" i="13" s="1"/>
  <c r="J84" i="13"/>
  <c r="J125" i="13" s="1"/>
  <c r="I84" i="13"/>
  <c r="H84" i="13"/>
  <c r="G84" i="13"/>
  <c r="F84" i="13"/>
  <c r="F125" i="13" s="1"/>
  <c r="E84" i="13"/>
  <c r="E125" i="13" s="1"/>
  <c r="D84" i="13"/>
  <c r="D125" i="13" s="1"/>
  <c r="K83" i="13"/>
  <c r="K124" i="13" s="1"/>
  <c r="J83" i="13"/>
  <c r="I83" i="13"/>
  <c r="H83" i="13"/>
  <c r="G83" i="13"/>
  <c r="F83" i="13"/>
  <c r="E83" i="13"/>
  <c r="D83" i="13"/>
  <c r="D124" i="13" s="1"/>
  <c r="K82" i="13"/>
  <c r="K123" i="13" s="1"/>
  <c r="J82" i="13"/>
  <c r="I82" i="13"/>
  <c r="I123" i="13" s="1"/>
  <c r="H82" i="13"/>
  <c r="G82" i="13"/>
  <c r="F82" i="13"/>
  <c r="F123" i="13" s="1"/>
  <c r="E82" i="13"/>
  <c r="E123" i="13" s="1"/>
  <c r="D82" i="13"/>
  <c r="D123" i="13" s="1"/>
  <c r="K81" i="13"/>
  <c r="J81" i="13"/>
  <c r="J122" i="13" s="1"/>
  <c r="I81" i="13"/>
  <c r="I122" i="13" s="1"/>
  <c r="H81" i="13"/>
  <c r="G81" i="13"/>
  <c r="F81" i="13"/>
  <c r="E81" i="13"/>
  <c r="D81" i="13"/>
  <c r="D122" i="13" s="1"/>
  <c r="K80" i="13"/>
  <c r="K121" i="13" s="1"/>
  <c r="J80" i="13"/>
  <c r="I80" i="13"/>
  <c r="H80" i="13"/>
  <c r="G80" i="13"/>
  <c r="F80" i="13"/>
  <c r="F121" i="13" s="1"/>
  <c r="E80" i="13"/>
  <c r="E121" i="13" s="1"/>
  <c r="D80" i="13"/>
  <c r="D121" i="13" s="1"/>
  <c r="K79" i="13"/>
  <c r="K120" i="13" s="1"/>
  <c r="J79" i="13"/>
  <c r="J120" i="13" s="1"/>
  <c r="I79" i="13"/>
  <c r="H79" i="13"/>
  <c r="G79" i="13"/>
  <c r="F79" i="13"/>
  <c r="E79" i="13"/>
  <c r="D79" i="13"/>
  <c r="D120" i="13" s="1"/>
  <c r="K78" i="13"/>
  <c r="K119" i="13" s="1"/>
  <c r="J78" i="13"/>
  <c r="I78" i="13"/>
  <c r="H78" i="13"/>
  <c r="G78" i="13"/>
  <c r="F78" i="13"/>
  <c r="E78" i="13"/>
  <c r="E119" i="13" s="1"/>
  <c r="D78" i="13"/>
  <c r="D119" i="13" s="1"/>
  <c r="K77" i="13"/>
  <c r="K118" i="13" s="1"/>
  <c r="J77" i="13"/>
  <c r="J118" i="13" s="1"/>
  <c r="I77" i="13"/>
  <c r="H77" i="13"/>
  <c r="G77" i="13"/>
  <c r="F77" i="13"/>
  <c r="E77" i="13"/>
  <c r="D77" i="13"/>
  <c r="D118" i="13" s="1"/>
  <c r="K76" i="13"/>
  <c r="K117" i="13" s="1"/>
  <c r="J76" i="13"/>
  <c r="J117" i="13" s="1"/>
  <c r="I76" i="13"/>
  <c r="H76" i="13"/>
  <c r="G76" i="13"/>
  <c r="F76" i="13"/>
  <c r="E76" i="13"/>
  <c r="E117" i="13" s="1"/>
  <c r="D76" i="13"/>
  <c r="D117" i="13" s="1"/>
  <c r="K75" i="13"/>
  <c r="K116" i="13" s="1"/>
  <c r="J75" i="13"/>
  <c r="J116" i="13" s="1"/>
  <c r="I75" i="13"/>
  <c r="H75" i="13"/>
  <c r="G75" i="13"/>
  <c r="F75" i="13"/>
  <c r="E75" i="13"/>
  <c r="D75" i="13"/>
  <c r="D116" i="13" s="1"/>
  <c r="K74" i="13"/>
  <c r="K115" i="13" s="1"/>
  <c r="J74" i="13"/>
  <c r="J115" i="13" s="1"/>
  <c r="I74" i="13"/>
  <c r="H74" i="13"/>
  <c r="G74" i="13"/>
  <c r="F74" i="13"/>
  <c r="E74" i="13"/>
  <c r="E115" i="13" s="1"/>
  <c r="D74" i="13"/>
  <c r="D115" i="13" s="1"/>
  <c r="K73" i="13"/>
  <c r="K114" i="13" s="1"/>
  <c r="J73" i="13"/>
  <c r="I73" i="13"/>
  <c r="H73" i="13"/>
  <c r="G73" i="13"/>
  <c r="F73" i="13"/>
  <c r="E73" i="13"/>
  <c r="D73" i="13"/>
  <c r="D114" i="13" s="1"/>
  <c r="K72" i="13"/>
  <c r="K113" i="13" s="1"/>
  <c r="J72" i="13"/>
  <c r="J113" i="13" s="1"/>
  <c r="I72" i="13"/>
  <c r="H72" i="13"/>
  <c r="G72" i="13"/>
  <c r="F72" i="13"/>
  <c r="E72" i="13"/>
  <c r="E113" i="13" s="1"/>
  <c r="D72" i="13"/>
  <c r="D113" i="13" s="1"/>
  <c r="K71" i="13"/>
  <c r="K112" i="13" s="1"/>
  <c r="J71" i="13"/>
  <c r="J112" i="13" s="1"/>
  <c r="I71" i="13"/>
  <c r="H71" i="13"/>
  <c r="G71" i="13"/>
  <c r="F71" i="13"/>
  <c r="E71" i="13"/>
  <c r="D71" i="13"/>
  <c r="K70" i="13"/>
  <c r="K111" i="13" s="1"/>
  <c r="J70" i="13"/>
  <c r="I70" i="13"/>
  <c r="H70" i="13"/>
  <c r="G70" i="13"/>
  <c r="F70" i="13"/>
  <c r="E70" i="13"/>
  <c r="E111" i="13" s="1"/>
  <c r="D70" i="13"/>
  <c r="D111" i="13" s="1"/>
  <c r="K69" i="13"/>
  <c r="K110" i="13" s="1"/>
  <c r="J69" i="13"/>
  <c r="J110" i="13" s="1"/>
  <c r="I69" i="13"/>
  <c r="H69" i="13"/>
  <c r="G69" i="13"/>
  <c r="G110" i="13" s="1"/>
  <c r="F69" i="13"/>
  <c r="F110" i="13" s="1"/>
  <c r="E69" i="13"/>
  <c r="D69" i="13"/>
  <c r="K68" i="13"/>
  <c r="K109" i="13" s="1"/>
  <c r="J68" i="13"/>
  <c r="J109" i="13" s="1"/>
  <c r="I68" i="13"/>
  <c r="H68" i="13"/>
  <c r="G68" i="13"/>
  <c r="F68" i="13"/>
  <c r="E68" i="13"/>
  <c r="E109" i="13" s="1"/>
  <c r="D68" i="13"/>
  <c r="D109" i="13" s="1"/>
  <c r="K67" i="13"/>
  <c r="K108" i="13" s="1"/>
  <c r="J67" i="13"/>
  <c r="I67" i="13"/>
  <c r="H67" i="13"/>
  <c r="G67" i="13"/>
  <c r="F67" i="13"/>
  <c r="E67" i="13"/>
  <c r="D67" i="13"/>
  <c r="D108" i="13" s="1"/>
  <c r="K66" i="13"/>
  <c r="K107" i="13" s="1"/>
  <c r="J66" i="13"/>
  <c r="J107" i="13" s="1"/>
  <c r="I66" i="13"/>
  <c r="H66" i="13"/>
  <c r="G66" i="13"/>
  <c r="F66" i="13"/>
  <c r="E66" i="13"/>
  <c r="E107" i="13" s="1"/>
  <c r="D66" i="13"/>
  <c r="D107" i="13" s="1"/>
  <c r="K65" i="13"/>
  <c r="K106" i="13" s="1"/>
  <c r="J65" i="13"/>
  <c r="I65" i="13"/>
  <c r="H65" i="13"/>
  <c r="G65" i="13"/>
  <c r="F65" i="13"/>
  <c r="E65" i="13"/>
  <c r="D65" i="13"/>
  <c r="D106" i="13" s="1"/>
  <c r="K64" i="13"/>
  <c r="K105" i="13" s="1"/>
  <c r="J64" i="13"/>
  <c r="I64" i="13"/>
  <c r="H64" i="13"/>
  <c r="G64" i="13"/>
  <c r="F64" i="13"/>
  <c r="E64" i="13"/>
  <c r="E105" i="13" s="1"/>
  <c r="D64" i="13"/>
  <c r="D105" i="13" s="1"/>
  <c r="K63" i="13"/>
  <c r="K104" i="13" s="1"/>
  <c r="J63" i="13"/>
  <c r="J104" i="13" s="1"/>
  <c r="I63" i="13"/>
  <c r="H63" i="13"/>
  <c r="G63" i="13"/>
  <c r="F63" i="13"/>
  <c r="E63" i="13"/>
  <c r="D63" i="13"/>
  <c r="D104" i="13" s="1"/>
  <c r="K62" i="13"/>
  <c r="K103" i="13" s="1"/>
  <c r="J62" i="13"/>
  <c r="I62" i="13"/>
  <c r="H62" i="13"/>
  <c r="G62" i="13"/>
  <c r="F62" i="13"/>
  <c r="E62" i="13"/>
  <c r="E103" i="13" s="1"/>
  <c r="D62" i="13"/>
  <c r="D103" i="13" s="1"/>
  <c r="K61" i="13"/>
  <c r="K102" i="13" s="1"/>
  <c r="J61" i="13"/>
  <c r="J102" i="13" s="1"/>
  <c r="I61" i="13"/>
  <c r="H61" i="13"/>
  <c r="G61" i="13"/>
  <c r="F61" i="13"/>
  <c r="E61" i="13"/>
  <c r="D61" i="13"/>
  <c r="D102" i="13" s="1"/>
  <c r="K60" i="13"/>
  <c r="K101" i="13" s="1"/>
  <c r="J60" i="13"/>
  <c r="J101" i="13" s="1"/>
  <c r="I60" i="13"/>
  <c r="I101" i="13" s="1"/>
  <c r="H60" i="13"/>
  <c r="G60" i="13"/>
  <c r="F60" i="13"/>
  <c r="E60" i="13"/>
  <c r="E101" i="13" s="1"/>
  <c r="D60" i="13"/>
  <c r="D101" i="13" s="1"/>
  <c r="K59" i="13"/>
  <c r="K100" i="13" s="1"/>
  <c r="J59" i="13"/>
  <c r="J100" i="13" s="1"/>
  <c r="I59" i="13"/>
  <c r="H59" i="13"/>
  <c r="G59" i="13"/>
  <c r="F59" i="13"/>
  <c r="E59" i="13"/>
  <c r="D59" i="13"/>
  <c r="D100" i="13" s="1"/>
  <c r="K58" i="13"/>
  <c r="K99" i="13" s="1"/>
  <c r="J58" i="13"/>
  <c r="J99" i="13" s="1"/>
  <c r="I58" i="13"/>
  <c r="H58" i="13"/>
  <c r="G58" i="13"/>
  <c r="F58" i="13"/>
  <c r="E58" i="13"/>
  <c r="E99" i="13" s="1"/>
  <c r="D58" i="13"/>
  <c r="D99" i="13" s="1"/>
  <c r="K57" i="13"/>
  <c r="K98" i="13" s="1"/>
  <c r="J57" i="13"/>
  <c r="J88" i="13" s="1"/>
  <c r="I57" i="13"/>
  <c r="I88" i="13" s="1"/>
  <c r="H57" i="13"/>
  <c r="H88" i="13" s="1"/>
  <c r="G57" i="13"/>
  <c r="F57" i="13"/>
  <c r="E57" i="13"/>
  <c r="D57" i="13"/>
  <c r="D88" i="13" s="1"/>
  <c r="C47" i="13"/>
  <c r="K46" i="13"/>
  <c r="K296" i="13" s="1"/>
  <c r="J46" i="13"/>
  <c r="K45" i="13"/>
  <c r="K295" i="13" s="1"/>
  <c r="J45" i="13"/>
  <c r="J212" i="13" s="1"/>
  <c r="I45" i="13"/>
  <c r="H45" i="13"/>
  <c r="G45" i="13"/>
  <c r="F45" i="13"/>
  <c r="E45" i="13"/>
  <c r="E295" i="13" s="1"/>
  <c r="D45" i="13"/>
  <c r="D295" i="13" s="1"/>
  <c r="K44" i="13"/>
  <c r="K294" i="13" s="1"/>
  <c r="J44" i="13"/>
  <c r="J294" i="13" s="1"/>
  <c r="I44" i="13"/>
  <c r="H44" i="13"/>
  <c r="H294" i="13" s="1"/>
  <c r="G44" i="13"/>
  <c r="G127" i="13" s="1"/>
  <c r="F44" i="13"/>
  <c r="F211" i="13" s="1"/>
  <c r="E44" i="13"/>
  <c r="E211" i="13" s="1"/>
  <c r="D44" i="13"/>
  <c r="D294" i="13" s="1"/>
  <c r="K43" i="13"/>
  <c r="K293" i="13" s="1"/>
  <c r="J43" i="13"/>
  <c r="I43" i="13"/>
  <c r="H43" i="13"/>
  <c r="G43" i="13"/>
  <c r="F43" i="13"/>
  <c r="F210" i="13" s="1"/>
  <c r="E43" i="13"/>
  <c r="E210" i="13" s="1"/>
  <c r="D43" i="13"/>
  <c r="D293" i="13" s="1"/>
  <c r="K42" i="13"/>
  <c r="K292" i="13" s="1"/>
  <c r="J42" i="13"/>
  <c r="I42" i="13"/>
  <c r="H42" i="13"/>
  <c r="G42" i="13"/>
  <c r="G125" i="13" s="1"/>
  <c r="F42" i="13"/>
  <c r="F209" i="13" s="1"/>
  <c r="E42" i="13"/>
  <c r="D42" i="13"/>
  <c r="K41" i="13"/>
  <c r="K291" i="13" s="1"/>
  <c r="J41" i="13"/>
  <c r="J208" i="13" s="1"/>
  <c r="I41" i="13"/>
  <c r="H41" i="13"/>
  <c r="G41" i="13"/>
  <c r="F41" i="13"/>
  <c r="F208" i="13" s="1"/>
  <c r="E41" i="13"/>
  <c r="E208" i="13" s="1"/>
  <c r="D41" i="13"/>
  <c r="D291" i="13" s="1"/>
  <c r="K40" i="13"/>
  <c r="K290" i="13" s="1"/>
  <c r="J40" i="13"/>
  <c r="I40" i="13"/>
  <c r="H40" i="13"/>
  <c r="H290" i="13" s="1"/>
  <c r="G40" i="13"/>
  <c r="G123" i="13" s="1"/>
  <c r="F40" i="13"/>
  <c r="E40" i="13"/>
  <c r="D40" i="13"/>
  <c r="D290" i="13" s="1"/>
  <c r="K39" i="13"/>
  <c r="K289" i="13" s="1"/>
  <c r="J39" i="13"/>
  <c r="I39" i="13"/>
  <c r="H39" i="13"/>
  <c r="G39" i="13"/>
  <c r="F39" i="13"/>
  <c r="F289" i="13" s="1"/>
  <c r="E39" i="13"/>
  <c r="E122" i="13" s="1"/>
  <c r="D39" i="13"/>
  <c r="D289" i="13" s="1"/>
  <c r="K38" i="13"/>
  <c r="K288" i="13" s="1"/>
  <c r="J38" i="13"/>
  <c r="J288" i="13" s="1"/>
  <c r="I38" i="13"/>
  <c r="H38" i="13"/>
  <c r="G38" i="13"/>
  <c r="G121" i="13" s="1"/>
  <c r="F38" i="13"/>
  <c r="F205" i="13" s="1"/>
  <c r="E38" i="13"/>
  <c r="E205" i="13" s="1"/>
  <c r="D38" i="13"/>
  <c r="K37" i="13"/>
  <c r="K287" i="13" s="1"/>
  <c r="J37" i="13"/>
  <c r="I37" i="13"/>
  <c r="H37" i="13"/>
  <c r="G37" i="13"/>
  <c r="G204" i="13" s="1"/>
  <c r="F37" i="13"/>
  <c r="E37" i="13"/>
  <c r="E120" i="13" s="1"/>
  <c r="D37" i="13"/>
  <c r="K36" i="13"/>
  <c r="K286" i="13" s="1"/>
  <c r="J36" i="13"/>
  <c r="J286" i="13" s="1"/>
  <c r="I36" i="13"/>
  <c r="H36" i="13"/>
  <c r="G36" i="13"/>
  <c r="G119" i="13" s="1"/>
  <c r="F36" i="13"/>
  <c r="F203" i="13" s="1"/>
  <c r="E36" i="13"/>
  <c r="E203" i="13" s="1"/>
  <c r="D36" i="13"/>
  <c r="D286" i="13" s="1"/>
  <c r="K35" i="13"/>
  <c r="K285" i="13" s="1"/>
  <c r="J35" i="13"/>
  <c r="I35" i="13"/>
  <c r="H35" i="13"/>
  <c r="G35" i="13"/>
  <c r="F35" i="13"/>
  <c r="F202" i="13" s="1"/>
  <c r="E35" i="13"/>
  <c r="E118" i="13" s="1"/>
  <c r="D35" i="13"/>
  <c r="D285" i="13" s="1"/>
  <c r="K34" i="13"/>
  <c r="K284" i="13" s="1"/>
  <c r="J34" i="13"/>
  <c r="J284" i="13" s="1"/>
  <c r="I34" i="13"/>
  <c r="H34" i="13"/>
  <c r="G34" i="13"/>
  <c r="G117" i="13" s="1"/>
  <c r="F34" i="13"/>
  <c r="F201" i="13" s="1"/>
  <c r="E34" i="13"/>
  <c r="E201" i="13" s="1"/>
  <c r="D34" i="13"/>
  <c r="D201" i="13" s="1"/>
  <c r="K33" i="13"/>
  <c r="K200" i="13" s="1"/>
  <c r="J33" i="13"/>
  <c r="I33" i="13"/>
  <c r="H33" i="13"/>
  <c r="G33" i="13"/>
  <c r="F33" i="13"/>
  <c r="F200" i="13" s="1"/>
  <c r="E33" i="13"/>
  <c r="E200" i="13" s="1"/>
  <c r="D33" i="13"/>
  <c r="D283" i="13" s="1"/>
  <c r="K32" i="13"/>
  <c r="K282" i="13" s="1"/>
  <c r="J32" i="13"/>
  <c r="J282" i="13" s="1"/>
  <c r="I32" i="13"/>
  <c r="H32" i="13"/>
  <c r="H282" i="13" s="1"/>
  <c r="G32" i="13"/>
  <c r="G115" i="13" s="1"/>
  <c r="F32" i="13"/>
  <c r="F199" i="13" s="1"/>
  <c r="E32" i="13"/>
  <c r="E199" i="13" s="1"/>
  <c r="D32" i="13"/>
  <c r="K31" i="13"/>
  <c r="J31" i="13"/>
  <c r="I31" i="13"/>
  <c r="H31" i="13"/>
  <c r="G31" i="13"/>
  <c r="F31" i="13"/>
  <c r="E31" i="13"/>
  <c r="E198" i="13" s="1"/>
  <c r="D31" i="13"/>
  <c r="K30" i="13"/>
  <c r="K280" i="13" s="1"/>
  <c r="J30" i="13"/>
  <c r="J280" i="13" s="1"/>
  <c r="I30" i="13"/>
  <c r="H30" i="13"/>
  <c r="H280" i="13" s="1"/>
  <c r="G30" i="13"/>
  <c r="G113" i="13" s="1"/>
  <c r="F30" i="13"/>
  <c r="F280" i="13" s="1"/>
  <c r="E30" i="13"/>
  <c r="E197" i="13" s="1"/>
  <c r="D30" i="13"/>
  <c r="K29" i="13"/>
  <c r="J29" i="13"/>
  <c r="I29" i="13"/>
  <c r="H29" i="13"/>
  <c r="G29" i="13"/>
  <c r="F29" i="13"/>
  <c r="E29" i="13"/>
  <c r="E196" i="13" s="1"/>
  <c r="D29" i="13"/>
  <c r="D279" i="13" s="1"/>
  <c r="K28" i="13"/>
  <c r="K278" i="13" s="1"/>
  <c r="J28" i="13"/>
  <c r="J278" i="13" s="1"/>
  <c r="I28" i="13"/>
  <c r="H28" i="13"/>
  <c r="G28" i="13"/>
  <c r="G111" i="13" s="1"/>
  <c r="F28" i="13"/>
  <c r="E28" i="13"/>
  <c r="E195" i="13" s="1"/>
  <c r="D28" i="13"/>
  <c r="D195" i="13" s="1"/>
  <c r="K27" i="13"/>
  <c r="J27" i="13"/>
  <c r="I27" i="13"/>
  <c r="H27" i="13"/>
  <c r="G27" i="13"/>
  <c r="F27" i="13"/>
  <c r="E27" i="13"/>
  <c r="D27" i="13"/>
  <c r="K26" i="13"/>
  <c r="K276" i="13" s="1"/>
  <c r="J26" i="13"/>
  <c r="J276" i="13" s="1"/>
  <c r="I26" i="13"/>
  <c r="H26" i="13"/>
  <c r="H109" i="13" s="1"/>
  <c r="G26" i="13"/>
  <c r="G109" i="13" s="1"/>
  <c r="F26" i="13"/>
  <c r="E26" i="13"/>
  <c r="D26" i="13"/>
  <c r="D276" i="13" s="1"/>
  <c r="K25" i="13"/>
  <c r="K275" i="13" s="1"/>
  <c r="J25" i="13"/>
  <c r="I25" i="13"/>
  <c r="H25" i="13"/>
  <c r="G25" i="13"/>
  <c r="F25" i="13"/>
  <c r="F192" i="13" s="1"/>
  <c r="E25" i="13"/>
  <c r="E192" i="13" s="1"/>
  <c r="D25" i="13"/>
  <c r="D275" i="13" s="1"/>
  <c r="K24" i="13"/>
  <c r="K274" i="13" s="1"/>
  <c r="J24" i="13"/>
  <c r="J274" i="13" s="1"/>
  <c r="I24" i="13"/>
  <c r="H24" i="13"/>
  <c r="G24" i="13"/>
  <c r="G107" i="13" s="1"/>
  <c r="F24" i="13"/>
  <c r="F191" i="13" s="1"/>
  <c r="E24" i="13"/>
  <c r="D24" i="13"/>
  <c r="D274" i="13" s="1"/>
  <c r="K23" i="13"/>
  <c r="K273" i="13" s="1"/>
  <c r="J23" i="13"/>
  <c r="J190" i="13" s="1"/>
  <c r="I23" i="13"/>
  <c r="H23" i="13"/>
  <c r="G23" i="13"/>
  <c r="F23" i="13"/>
  <c r="E23" i="13"/>
  <c r="E190" i="13" s="1"/>
  <c r="D23" i="13"/>
  <c r="D273" i="13" s="1"/>
  <c r="K22" i="13"/>
  <c r="K272" i="13" s="1"/>
  <c r="J22" i="13"/>
  <c r="J272" i="13" s="1"/>
  <c r="I22" i="13"/>
  <c r="H22" i="13"/>
  <c r="G22" i="13"/>
  <c r="G105" i="13" s="1"/>
  <c r="F22" i="13"/>
  <c r="F189" i="13" s="1"/>
  <c r="E22" i="13"/>
  <c r="D22" i="13"/>
  <c r="K21" i="13"/>
  <c r="K271" i="13" s="1"/>
  <c r="J21" i="13"/>
  <c r="I21" i="13"/>
  <c r="H21" i="13"/>
  <c r="G21" i="13"/>
  <c r="F21" i="13"/>
  <c r="E21" i="13"/>
  <c r="E188" i="13" s="1"/>
  <c r="D21" i="13"/>
  <c r="K20" i="13"/>
  <c r="K270" i="13" s="1"/>
  <c r="J20" i="13"/>
  <c r="J270" i="13" s="1"/>
  <c r="I20" i="13"/>
  <c r="H20" i="13"/>
  <c r="G20" i="13"/>
  <c r="G103" i="13" s="1"/>
  <c r="F20" i="13"/>
  <c r="F270" i="13" s="1"/>
  <c r="E20" i="13"/>
  <c r="D20" i="13"/>
  <c r="D270" i="13" s="1"/>
  <c r="K19" i="13"/>
  <c r="K269" i="13" s="1"/>
  <c r="J19" i="13"/>
  <c r="J186" i="13" s="1"/>
  <c r="I19" i="13"/>
  <c r="H19" i="13"/>
  <c r="G19" i="13"/>
  <c r="F19" i="13"/>
  <c r="F186" i="13" s="1"/>
  <c r="E19" i="13"/>
  <c r="E186" i="13" s="1"/>
  <c r="D19" i="13"/>
  <c r="D269" i="13" s="1"/>
  <c r="K18" i="13"/>
  <c r="K268" i="13" s="1"/>
  <c r="J18" i="13"/>
  <c r="J268" i="13" s="1"/>
  <c r="I18" i="13"/>
  <c r="H18" i="13"/>
  <c r="G18" i="13"/>
  <c r="G101" i="13" s="1"/>
  <c r="F18" i="13"/>
  <c r="F185" i="13" s="1"/>
  <c r="E18" i="13"/>
  <c r="D18" i="13"/>
  <c r="D268" i="13" s="1"/>
  <c r="K17" i="13"/>
  <c r="K184" i="13" s="1"/>
  <c r="J17" i="13"/>
  <c r="J184" i="13" s="1"/>
  <c r="I17" i="13"/>
  <c r="H17" i="13"/>
  <c r="G17" i="13"/>
  <c r="F17" i="13"/>
  <c r="F184" i="13" s="1"/>
  <c r="E17" i="13"/>
  <c r="E184" i="13" s="1"/>
  <c r="D17" i="13"/>
  <c r="D267" i="13" s="1"/>
  <c r="K16" i="13"/>
  <c r="K266" i="13" s="1"/>
  <c r="J16" i="13"/>
  <c r="J266" i="13" s="1"/>
  <c r="I16" i="13"/>
  <c r="I46" i="13" s="1"/>
  <c r="H16" i="13"/>
  <c r="H99" i="13" s="1"/>
  <c r="G16" i="13"/>
  <c r="G99" i="13" s="1"/>
  <c r="F16" i="13"/>
  <c r="F183" i="13" s="1"/>
  <c r="E16" i="13"/>
  <c r="D16" i="13"/>
  <c r="D266" i="13" s="1"/>
  <c r="K15" i="13"/>
  <c r="K265" i="13" s="1"/>
  <c r="J15" i="13"/>
  <c r="J182" i="13" s="1"/>
  <c r="I15" i="13"/>
  <c r="H15" i="13"/>
  <c r="G15" i="13"/>
  <c r="G46" i="13" s="1"/>
  <c r="F15" i="13"/>
  <c r="E15" i="13"/>
  <c r="E182" i="13" s="1"/>
  <c r="D15" i="13"/>
  <c r="D46" i="13" s="1"/>
  <c r="R275" i="12"/>
  <c r="P275" i="12"/>
  <c r="P274" i="12"/>
  <c r="E274" i="12"/>
  <c r="P273" i="12"/>
  <c r="F273" i="12"/>
  <c r="V272" i="12"/>
  <c r="R272" i="12"/>
  <c r="Q272" i="12"/>
  <c r="O272" i="12"/>
  <c r="N272" i="12"/>
  <c r="J272" i="12"/>
  <c r="I272" i="12"/>
  <c r="V271" i="12"/>
  <c r="O271" i="12"/>
  <c r="O270" i="12"/>
  <c r="K270" i="12"/>
  <c r="U269" i="12"/>
  <c r="M269" i="12"/>
  <c r="U268" i="12"/>
  <c r="T267" i="12"/>
  <c r="S267" i="12"/>
  <c r="J265" i="12"/>
  <c r="R264" i="12"/>
  <c r="P263" i="12"/>
  <c r="O261" i="12"/>
  <c r="G261" i="12"/>
  <c r="V259" i="12"/>
  <c r="U259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D259" i="12"/>
  <c r="P258" i="12"/>
  <c r="P257" i="12"/>
  <c r="E255" i="12"/>
  <c r="O254" i="12"/>
  <c r="G254" i="12"/>
  <c r="N252" i="12"/>
  <c r="M252" i="12"/>
  <c r="D250" i="12"/>
  <c r="J248" i="12"/>
  <c r="T236" i="12"/>
  <c r="I236" i="12"/>
  <c r="V235" i="12"/>
  <c r="U235" i="12"/>
  <c r="U275" i="12" s="1"/>
  <c r="T235" i="12"/>
  <c r="T275" i="12" s="1"/>
  <c r="S235" i="12"/>
  <c r="S275" i="12" s="1"/>
  <c r="R235" i="12"/>
  <c r="Q235" i="12"/>
  <c r="P235" i="12"/>
  <c r="O235" i="12"/>
  <c r="N235" i="12"/>
  <c r="M235" i="12"/>
  <c r="M275" i="12" s="1"/>
  <c r="L235" i="12"/>
  <c r="K235" i="12"/>
  <c r="K275" i="12" s="1"/>
  <c r="J235" i="12"/>
  <c r="J275" i="12" s="1"/>
  <c r="I235" i="12"/>
  <c r="H235" i="12"/>
  <c r="G235" i="12"/>
  <c r="F235" i="12"/>
  <c r="E235" i="12"/>
  <c r="D235" i="12"/>
  <c r="D275" i="12" s="1"/>
  <c r="V234" i="12"/>
  <c r="V274" i="12" s="1"/>
  <c r="U234" i="12"/>
  <c r="U274" i="12" s="1"/>
  <c r="T234" i="12"/>
  <c r="S234" i="12"/>
  <c r="S274" i="12" s="1"/>
  <c r="R234" i="12"/>
  <c r="Q234" i="12"/>
  <c r="P234" i="12"/>
  <c r="O234" i="12"/>
  <c r="N234" i="12"/>
  <c r="N274" i="12" s="1"/>
  <c r="M234" i="12"/>
  <c r="M274" i="12" s="1"/>
  <c r="L234" i="12"/>
  <c r="K234" i="12"/>
  <c r="J234" i="12"/>
  <c r="I234" i="12"/>
  <c r="H234" i="12"/>
  <c r="G234" i="12"/>
  <c r="G274" i="12" s="1"/>
  <c r="F234" i="12"/>
  <c r="E234" i="12"/>
  <c r="D234" i="12"/>
  <c r="V233" i="12"/>
  <c r="V273" i="12" s="1"/>
  <c r="U233" i="12"/>
  <c r="T233" i="12"/>
  <c r="S233" i="12"/>
  <c r="S273" i="12" s="1"/>
  <c r="R233" i="12"/>
  <c r="Q233" i="12"/>
  <c r="Q273" i="12" s="1"/>
  <c r="P233" i="12"/>
  <c r="O233" i="12"/>
  <c r="N233" i="12"/>
  <c r="M233" i="12"/>
  <c r="L233" i="12"/>
  <c r="K233" i="12"/>
  <c r="J233" i="12"/>
  <c r="J273" i="12" s="1"/>
  <c r="I233" i="12"/>
  <c r="I273" i="12" s="1"/>
  <c r="H233" i="12"/>
  <c r="H273" i="12" s="1"/>
  <c r="G233" i="12"/>
  <c r="F233" i="12"/>
  <c r="E233" i="12"/>
  <c r="D233" i="12"/>
  <c r="V232" i="12"/>
  <c r="U232" i="12"/>
  <c r="T232" i="12"/>
  <c r="T272" i="12" s="1"/>
  <c r="S232" i="12"/>
  <c r="S272" i="12" s="1"/>
  <c r="R232" i="12"/>
  <c r="Q232" i="12"/>
  <c r="P232" i="12"/>
  <c r="P272" i="12" s="1"/>
  <c r="O232" i="12"/>
  <c r="N232" i="12"/>
  <c r="M232" i="12"/>
  <c r="M272" i="12" s="1"/>
  <c r="L232" i="12"/>
  <c r="L272" i="12" s="1"/>
  <c r="K232" i="12"/>
  <c r="K272" i="12" s="1"/>
  <c r="J232" i="12"/>
  <c r="I232" i="12"/>
  <c r="H232" i="12"/>
  <c r="H272" i="12" s="1"/>
  <c r="G232" i="12"/>
  <c r="G272" i="12" s="1"/>
  <c r="F232" i="12"/>
  <c r="F272" i="12" s="1"/>
  <c r="E232" i="12"/>
  <c r="E272" i="12" s="1"/>
  <c r="D232" i="12"/>
  <c r="D272" i="12" s="1"/>
  <c r="V231" i="12"/>
  <c r="U231" i="12"/>
  <c r="T231" i="12"/>
  <c r="S231" i="12"/>
  <c r="R231" i="12"/>
  <c r="Q231" i="12"/>
  <c r="P231" i="12"/>
  <c r="P271" i="12" s="1"/>
  <c r="O231" i="12"/>
  <c r="N231" i="12"/>
  <c r="N271" i="12" s="1"/>
  <c r="M231" i="12"/>
  <c r="L231" i="12"/>
  <c r="K231" i="12"/>
  <c r="J231" i="12"/>
  <c r="I231" i="12"/>
  <c r="I271" i="12" s="1"/>
  <c r="H231" i="12"/>
  <c r="G231" i="12"/>
  <c r="G271" i="12" s="1"/>
  <c r="F231" i="12"/>
  <c r="F271" i="12" s="1"/>
  <c r="E231" i="12"/>
  <c r="D231" i="12"/>
  <c r="V230" i="12"/>
  <c r="U230" i="12"/>
  <c r="T230" i="12"/>
  <c r="S230" i="12"/>
  <c r="S270" i="12" s="1"/>
  <c r="R230" i="12"/>
  <c r="R270" i="12" s="1"/>
  <c r="Q230" i="12"/>
  <c r="Q270" i="12" s="1"/>
  <c r="P230" i="12"/>
  <c r="O230" i="12"/>
  <c r="N230" i="12"/>
  <c r="M230" i="12"/>
  <c r="L230" i="12"/>
  <c r="L270" i="12" s="1"/>
  <c r="K230" i="12"/>
  <c r="J230" i="12"/>
  <c r="J270" i="12" s="1"/>
  <c r="I230" i="12"/>
  <c r="I270" i="12" s="1"/>
  <c r="H230" i="12"/>
  <c r="G230" i="12"/>
  <c r="F230" i="12"/>
  <c r="E230" i="12"/>
  <c r="D230" i="12"/>
  <c r="V229" i="12"/>
  <c r="V269" i="12" s="1"/>
  <c r="U229" i="12"/>
  <c r="T229" i="12"/>
  <c r="T269" i="12" s="1"/>
  <c r="S229" i="12"/>
  <c r="R229" i="12"/>
  <c r="R269" i="12" s="1"/>
  <c r="Q229" i="12"/>
  <c r="P229" i="12"/>
  <c r="O229" i="12"/>
  <c r="O269" i="12" s="1"/>
  <c r="N229" i="12"/>
  <c r="M229" i="12"/>
  <c r="L229" i="12"/>
  <c r="L269" i="12" s="1"/>
  <c r="K229" i="12"/>
  <c r="J229" i="12"/>
  <c r="I229" i="12"/>
  <c r="H229" i="12"/>
  <c r="G229" i="12"/>
  <c r="F229" i="12"/>
  <c r="F269" i="12" s="1"/>
  <c r="E229" i="12"/>
  <c r="E269" i="12" s="1"/>
  <c r="D229" i="12"/>
  <c r="D269" i="12" s="1"/>
  <c r="V228" i="12"/>
  <c r="U228" i="12"/>
  <c r="T228" i="12"/>
  <c r="S228" i="12"/>
  <c r="R228" i="12"/>
  <c r="R268" i="12" s="1"/>
  <c r="Q228" i="12"/>
  <c r="P228" i="12"/>
  <c r="P268" i="12" s="1"/>
  <c r="O228" i="12"/>
  <c r="O268" i="12" s="1"/>
  <c r="N228" i="12"/>
  <c r="M228" i="12"/>
  <c r="L228" i="12"/>
  <c r="K228" i="12"/>
  <c r="J228" i="12"/>
  <c r="I228" i="12"/>
  <c r="I268" i="12" s="1"/>
  <c r="H228" i="12"/>
  <c r="H268" i="12" s="1"/>
  <c r="G228" i="12"/>
  <c r="G268" i="12" s="1"/>
  <c r="F228" i="12"/>
  <c r="E228" i="12"/>
  <c r="D228" i="12"/>
  <c r="V227" i="12"/>
  <c r="U227" i="12"/>
  <c r="U267" i="12" s="1"/>
  <c r="T227" i="12"/>
  <c r="S227" i="12"/>
  <c r="R227" i="12"/>
  <c r="R267" i="12" s="1"/>
  <c r="Q227" i="12"/>
  <c r="P227" i="12"/>
  <c r="O227" i="12"/>
  <c r="N227" i="12"/>
  <c r="M227" i="12"/>
  <c r="L227" i="12"/>
  <c r="L267" i="12" s="1"/>
  <c r="K227" i="12"/>
  <c r="K267" i="12" s="1"/>
  <c r="J227" i="12"/>
  <c r="J267" i="12" s="1"/>
  <c r="I227" i="12"/>
  <c r="H227" i="12"/>
  <c r="H267" i="12" s="1"/>
  <c r="G227" i="12"/>
  <c r="F227" i="12"/>
  <c r="E227" i="12"/>
  <c r="E267" i="12" s="1"/>
  <c r="D227" i="12"/>
  <c r="V226" i="12"/>
  <c r="V266" i="12" s="1"/>
  <c r="U226" i="12"/>
  <c r="U266" i="12" s="1"/>
  <c r="T226" i="12"/>
  <c r="S226" i="12"/>
  <c r="R226" i="12"/>
  <c r="Q226" i="12"/>
  <c r="P226" i="12"/>
  <c r="O226" i="12"/>
  <c r="O266" i="12" s="1"/>
  <c r="N226" i="12"/>
  <c r="N266" i="12" s="1"/>
  <c r="M226" i="12"/>
  <c r="M266" i="12" s="1"/>
  <c r="L226" i="12"/>
  <c r="K226" i="12"/>
  <c r="J226" i="12"/>
  <c r="I226" i="12"/>
  <c r="H226" i="12"/>
  <c r="G226" i="12"/>
  <c r="F226" i="12"/>
  <c r="F266" i="12" s="1"/>
  <c r="E226" i="12"/>
  <c r="E266" i="12" s="1"/>
  <c r="D226" i="12"/>
  <c r="V225" i="12"/>
  <c r="U225" i="12"/>
  <c r="T225" i="12"/>
  <c r="S225" i="12"/>
  <c r="R225" i="12"/>
  <c r="R265" i="12" s="1"/>
  <c r="Q225" i="12"/>
  <c r="Q265" i="12" s="1"/>
  <c r="P225" i="12"/>
  <c r="P265" i="12" s="1"/>
  <c r="O225" i="12"/>
  <c r="N225" i="12"/>
  <c r="N265" i="12" s="1"/>
  <c r="M225" i="12"/>
  <c r="L225" i="12"/>
  <c r="K225" i="12"/>
  <c r="K265" i="12" s="1"/>
  <c r="J225" i="12"/>
  <c r="I225" i="12"/>
  <c r="I265" i="12" s="1"/>
  <c r="H225" i="12"/>
  <c r="H265" i="12" s="1"/>
  <c r="G225" i="12"/>
  <c r="F225" i="12"/>
  <c r="E225" i="12"/>
  <c r="D225" i="12"/>
  <c r="V224" i="12"/>
  <c r="U224" i="12"/>
  <c r="U264" i="12" s="1"/>
  <c r="T224" i="12"/>
  <c r="T264" i="12" s="1"/>
  <c r="S224" i="12"/>
  <c r="S264" i="12" s="1"/>
  <c r="R224" i="12"/>
  <c r="Q224" i="12"/>
  <c r="P224" i="12"/>
  <c r="O224" i="12"/>
  <c r="N224" i="12"/>
  <c r="N264" i="12" s="1"/>
  <c r="M224" i="12"/>
  <c r="L224" i="12"/>
  <c r="L264" i="12" s="1"/>
  <c r="K224" i="12"/>
  <c r="J224" i="12"/>
  <c r="I224" i="12"/>
  <c r="H224" i="12"/>
  <c r="G224" i="12"/>
  <c r="F224" i="12"/>
  <c r="E224" i="12"/>
  <c r="E264" i="12" s="1"/>
  <c r="D224" i="12"/>
  <c r="D264" i="12" s="1"/>
  <c r="V223" i="12"/>
  <c r="V263" i="12" s="1"/>
  <c r="U223" i="12"/>
  <c r="T223" i="12"/>
  <c r="T263" i="12" s="1"/>
  <c r="S223" i="12"/>
  <c r="R223" i="12"/>
  <c r="Q223" i="12"/>
  <c r="P223" i="12"/>
  <c r="O223" i="12"/>
  <c r="O263" i="12" s="1"/>
  <c r="N223" i="12"/>
  <c r="M223" i="12"/>
  <c r="L223" i="12"/>
  <c r="K223" i="12"/>
  <c r="J223" i="12"/>
  <c r="I223" i="12"/>
  <c r="H223" i="12"/>
  <c r="H263" i="12" s="1"/>
  <c r="G223" i="12"/>
  <c r="F223" i="12"/>
  <c r="E223" i="12"/>
  <c r="D223" i="12"/>
  <c r="D263" i="12" s="1"/>
  <c r="V222" i="12"/>
  <c r="U222" i="12"/>
  <c r="T222" i="12"/>
  <c r="T262" i="12" s="1"/>
  <c r="S222" i="12"/>
  <c r="R222" i="12"/>
  <c r="R262" i="12" s="1"/>
  <c r="Q222" i="12"/>
  <c r="P222" i="12"/>
  <c r="O222" i="12"/>
  <c r="N222" i="12"/>
  <c r="M222" i="12"/>
  <c r="L222" i="12"/>
  <c r="K222" i="12"/>
  <c r="K262" i="12" s="1"/>
  <c r="J222" i="12"/>
  <c r="J262" i="12" s="1"/>
  <c r="I222" i="12"/>
  <c r="H222" i="12"/>
  <c r="G222" i="12"/>
  <c r="F222" i="12"/>
  <c r="E222" i="12"/>
  <c r="D222" i="12"/>
  <c r="D262" i="12" s="1"/>
  <c r="V221" i="12"/>
  <c r="U221" i="12"/>
  <c r="U261" i="12" s="1"/>
  <c r="T221" i="12"/>
  <c r="S221" i="12"/>
  <c r="R221" i="12"/>
  <c r="Q221" i="12"/>
  <c r="P221" i="12"/>
  <c r="O221" i="12"/>
  <c r="N221" i="12"/>
  <c r="N261" i="12" s="1"/>
  <c r="M221" i="12"/>
  <c r="M261" i="12" s="1"/>
  <c r="L221" i="12"/>
  <c r="K221" i="12"/>
  <c r="J221" i="12"/>
  <c r="J261" i="12" s="1"/>
  <c r="I221" i="12"/>
  <c r="H221" i="12"/>
  <c r="G221" i="12"/>
  <c r="F221" i="12"/>
  <c r="E221" i="12"/>
  <c r="E261" i="12" s="1"/>
  <c r="D221" i="12"/>
  <c r="V220" i="12"/>
  <c r="U220" i="12"/>
  <c r="T220" i="12"/>
  <c r="S220" i="12"/>
  <c r="R220" i="12"/>
  <c r="Q220" i="12"/>
  <c r="Q260" i="12" s="1"/>
  <c r="P220" i="12"/>
  <c r="O220" i="12"/>
  <c r="N220" i="12"/>
  <c r="M220" i="12"/>
  <c r="M260" i="12" s="1"/>
  <c r="L220" i="12"/>
  <c r="K220" i="12"/>
  <c r="J220" i="12"/>
  <c r="J260" i="12" s="1"/>
  <c r="I220" i="12"/>
  <c r="H220" i="12"/>
  <c r="H260" i="12" s="1"/>
  <c r="G220" i="12"/>
  <c r="G260" i="12" s="1"/>
  <c r="F220" i="12"/>
  <c r="E220" i="12"/>
  <c r="D220" i="12"/>
  <c r="V218" i="12"/>
  <c r="U218" i="12"/>
  <c r="T218" i="12"/>
  <c r="T258" i="12" s="1"/>
  <c r="S218" i="12"/>
  <c r="R218" i="12"/>
  <c r="Q218" i="12"/>
  <c r="P218" i="12"/>
  <c r="O218" i="12"/>
  <c r="N218" i="12"/>
  <c r="N258" i="12" s="1"/>
  <c r="M218" i="12"/>
  <c r="M258" i="12" s="1"/>
  <c r="L218" i="12"/>
  <c r="K218" i="12"/>
  <c r="K258" i="12" s="1"/>
  <c r="J218" i="12"/>
  <c r="I218" i="12"/>
  <c r="H218" i="12"/>
  <c r="G218" i="12"/>
  <c r="F218" i="12"/>
  <c r="E218" i="12"/>
  <c r="D218" i="12"/>
  <c r="D258" i="12" s="1"/>
  <c r="V217" i="12"/>
  <c r="U217" i="12"/>
  <c r="T217" i="12"/>
  <c r="S217" i="12"/>
  <c r="R217" i="12"/>
  <c r="Q217" i="12"/>
  <c r="P217" i="12"/>
  <c r="O217" i="12"/>
  <c r="N217" i="12"/>
  <c r="N257" i="12" s="1"/>
  <c r="M217" i="12"/>
  <c r="L217" i="12"/>
  <c r="K217" i="12"/>
  <c r="J217" i="12"/>
  <c r="I217" i="12"/>
  <c r="H217" i="12"/>
  <c r="G217" i="12"/>
  <c r="G257" i="12" s="1"/>
  <c r="F217" i="12"/>
  <c r="E217" i="12"/>
  <c r="D217" i="12"/>
  <c r="V216" i="12"/>
  <c r="V256" i="12" s="1"/>
  <c r="U216" i="12"/>
  <c r="T216" i="12"/>
  <c r="T256" i="12" s="1"/>
  <c r="S216" i="12"/>
  <c r="S256" i="12" s="1"/>
  <c r="R216" i="12"/>
  <c r="R256" i="12" s="1"/>
  <c r="Q216" i="12"/>
  <c r="Q256" i="12" s="1"/>
  <c r="P216" i="12"/>
  <c r="O216" i="12"/>
  <c r="N216" i="12"/>
  <c r="M216" i="12"/>
  <c r="L216" i="12"/>
  <c r="K216" i="12"/>
  <c r="J216" i="12"/>
  <c r="J256" i="12" s="1"/>
  <c r="I216" i="12"/>
  <c r="H216" i="12"/>
  <c r="G216" i="12"/>
  <c r="F216" i="12"/>
  <c r="E216" i="12"/>
  <c r="D216" i="12"/>
  <c r="D256" i="12" s="1"/>
  <c r="V215" i="12"/>
  <c r="V255" i="12" s="1"/>
  <c r="U215" i="12"/>
  <c r="T215" i="12"/>
  <c r="T255" i="12" s="1"/>
  <c r="S215" i="12"/>
  <c r="R215" i="12"/>
  <c r="Q215" i="12"/>
  <c r="P215" i="12"/>
  <c r="O215" i="12"/>
  <c r="N215" i="12"/>
  <c r="M215" i="12"/>
  <c r="M255" i="12" s="1"/>
  <c r="L215" i="12"/>
  <c r="K215" i="12"/>
  <c r="J215" i="12"/>
  <c r="I215" i="12"/>
  <c r="I255" i="12" s="1"/>
  <c r="H215" i="12"/>
  <c r="G215" i="12"/>
  <c r="F215" i="12"/>
  <c r="F255" i="12" s="1"/>
  <c r="E215" i="12"/>
  <c r="D215" i="12"/>
  <c r="D255" i="12" s="1"/>
  <c r="V214" i="12"/>
  <c r="U214" i="12"/>
  <c r="T214" i="12"/>
  <c r="S214" i="12"/>
  <c r="R214" i="12"/>
  <c r="Q214" i="12"/>
  <c r="P214" i="12"/>
  <c r="P254" i="12" s="1"/>
  <c r="O214" i="12"/>
  <c r="N214" i="12"/>
  <c r="M214" i="12"/>
  <c r="L214" i="12"/>
  <c r="K214" i="12"/>
  <c r="J214" i="12"/>
  <c r="J254" i="12" s="1"/>
  <c r="I214" i="12"/>
  <c r="I254" i="12" s="1"/>
  <c r="H214" i="12"/>
  <c r="G214" i="12"/>
  <c r="F214" i="12"/>
  <c r="E214" i="12"/>
  <c r="D214" i="12"/>
  <c r="V213" i="12"/>
  <c r="U213" i="12"/>
  <c r="T213" i="12"/>
  <c r="S213" i="12"/>
  <c r="S253" i="12" s="1"/>
  <c r="R213" i="12"/>
  <c r="Q213" i="12"/>
  <c r="P213" i="12"/>
  <c r="O213" i="12"/>
  <c r="O253" i="12" s="1"/>
  <c r="N213" i="12"/>
  <c r="M213" i="12"/>
  <c r="L213" i="12"/>
  <c r="L253" i="12" s="1"/>
  <c r="K213" i="12"/>
  <c r="J213" i="12"/>
  <c r="J253" i="12" s="1"/>
  <c r="I213" i="12"/>
  <c r="H213" i="12"/>
  <c r="G213" i="12"/>
  <c r="F213" i="12"/>
  <c r="E213" i="12"/>
  <c r="D213" i="12"/>
  <c r="V212" i="12"/>
  <c r="V252" i="12" s="1"/>
  <c r="U212" i="12"/>
  <c r="T212" i="12"/>
  <c r="S212" i="12"/>
  <c r="R212" i="12"/>
  <c r="R252" i="12" s="1"/>
  <c r="Q212" i="12"/>
  <c r="P212" i="12"/>
  <c r="P252" i="12" s="1"/>
  <c r="O212" i="12"/>
  <c r="O252" i="12" s="1"/>
  <c r="N212" i="12"/>
  <c r="M212" i="12"/>
  <c r="L212" i="12"/>
  <c r="K212" i="12"/>
  <c r="J212" i="12"/>
  <c r="I212" i="12"/>
  <c r="H212" i="12"/>
  <c r="G212" i="12"/>
  <c r="F212" i="12"/>
  <c r="F252" i="12" s="1"/>
  <c r="E212" i="12"/>
  <c r="D212" i="12"/>
  <c r="V211" i="12"/>
  <c r="U211" i="12"/>
  <c r="T211" i="12"/>
  <c r="S211" i="12"/>
  <c r="S251" i="12" s="1"/>
  <c r="R211" i="12"/>
  <c r="R251" i="12" s="1"/>
  <c r="Q211" i="12"/>
  <c r="P211" i="12"/>
  <c r="P251" i="12" s="1"/>
  <c r="O211" i="12"/>
  <c r="N211" i="12"/>
  <c r="M211" i="12"/>
  <c r="L211" i="12"/>
  <c r="K211" i="12"/>
  <c r="J211" i="12"/>
  <c r="I211" i="12"/>
  <c r="I251" i="12" s="1"/>
  <c r="H211" i="12"/>
  <c r="G211" i="12"/>
  <c r="F211" i="12"/>
  <c r="E211" i="12"/>
  <c r="E251" i="12" s="1"/>
  <c r="D211" i="12"/>
  <c r="V210" i="12"/>
  <c r="V250" i="12" s="1"/>
  <c r="U210" i="12"/>
  <c r="T210" i="12"/>
  <c r="S210" i="12"/>
  <c r="S250" i="12" s="1"/>
  <c r="R210" i="12"/>
  <c r="Q210" i="12"/>
  <c r="P210" i="12"/>
  <c r="O210" i="12"/>
  <c r="N210" i="12"/>
  <c r="M210" i="12"/>
  <c r="L210" i="12"/>
  <c r="L250" i="12" s="1"/>
  <c r="K210" i="12"/>
  <c r="J210" i="12"/>
  <c r="I210" i="12"/>
  <c r="H210" i="12"/>
  <c r="H250" i="12" s="1"/>
  <c r="G210" i="12"/>
  <c r="F210" i="12"/>
  <c r="F250" i="12" s="1"/>
  <c r="E210" i="12"/>
  <c r="E250" i="12" s="1"/>
  <c r="D210" i="12"/>
  <c r="V209" i="12"/>
  <c r="V249" i="12" s="1"/>
  <c r="U209" i="12"/>
  <c r="T209" i="12"/>
  <c r="S209" i="12"/>
  <c r="R209" i="12"/>
  <c r="Q209" i="12"/>
  <c r="P209" i="12"/>
  <c r="O209" i="12"/>
  <c r="O249" i="12" s="1"/>
  <c r="N209" i="12"/>
  <c r="M209" i="12"/>
  <c r="L209" i="12"/>
  <c r="K209" i="12"/>
  <c r="J209" i="12"/>
  <c r="I209" i="12"/>
  <c r="I249" i="12" s="1"/>
  <c r="H209" i="12"/>
  <c r="H249" i="12" s="1"/>
  <c r="G209" i="12"/>
  <c r="F209" i="12"/>
  <c r="F249" i="12" s="1"/>
  <c r="E209" i="12"/>
  <c r="D209" i="12"/>
  <c r="V208" i="12"/>
  <c r="U208" i="12"/>
  <c r="T208" i="12"/>
  <c r="S208" i="12"/>
  <c r="R208" i="12"/>
  <c r="Q208" i="12"/>
  <c r="P208" i="12"/>
  <c r="O208" i="12"/>
  <c r="N208" i="12"/>
  <c r="N248" i="12" s="1"/>
  <c r="M208" i="12"/>
  <c r="L208" i="12"/>
  <c r="L248" i="12" s="1"/>
  <c r="K208" i="12"/>
  <c r="J208" i="12"/>
  <c r="I208" i="12"/>
  <c r="I248" i="12" s="1"/>
  <c r="H208" i="12"/>
  <c r="G208" i="12"/>
  <c r="F208" i="12"/>
  <c r="E208" i="12"/>
  <c r="D208" i="12"/>
  <c r="V207" i="12"/>
  <c r="U207" i="12"/>
  <c r="T207" i="12"/>
  <c r="S207" i="12"/>
  <c r="R207" i="12"/>
  <c r="Q207" i="12"/>
  <c r="P207" i="12"/>
  <c r="O207" i="12"/>
  <c r="O247" i="12" s="1"/>
  <c r="N207" i="12"/>
  <c r="M207" i="12"/>
  <c r="L207" i="12"/>
  <c r="K207" i="12"/>
  <c r="J207" i="12"/>
  <c r="I207" i="12"/>
  <c r="H207" i="12"/>
  <c r="G207" i="12"/>
  <c r="F207" i="12"/>
  <c r="E207" i="12"/>
  <c r="D207" i="12"/>
  <c r="L197" i="12"/>
  <c r="K197" i="12"/>
  <c r="D197" i="12"/>
  <c r="U196" i="12"/>
  <c r="D196" i="12"/>
  <c r="S195" i="12"/>
  <c r="K195" i="12"/>
  <c r="J195" i="12"/>
  <c r="U194" i="12"/>
  <c r="T194" i="12"/>
  <c r="S194" i="12"/>
  <c r="R194" i="12"/>
  <c r="M194" i="12"/>
  <c r="K194" i="12"/>
  <c r="J194" i="12"/>
  <c r="U193" i="12"/>
  <c r="I193" i="12"/>
  <c r="H193" i="12"/>
  <c r="T192" i="12"/>
  <c r="R192" i="12"/>
  <c r="I192" i="12"/>
  <c r="H192" i="12"/>
  <c r="T191" i="12"/>
  <c r="R190" i="12"/>
  <c r="P190" i="12"/>
  <c r="H190" i="12"/>
  <c r="G190" i="12"/>
  <c r="R189" i="12"/>
  <c r="E189" i="12"/>
  <c r="O188" i="12"/>
  <c r="F188" i="12"/>
  <c r="E188" i="12"/>
  <c r="Q187" i="12"/>
  <c r="M186" i="12"/>
  <c r="E186" i="12"/>
  <c r="D186" i="12"/>
  <c r="O185" i="12"/>
  <c r="V183" i="12"/>
  <c r="U183" i="12"/>
  <c r="N183" i="12"/>
  <c r="J182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M180" i="12"/>
  <c r="D180" i="12"/>
  <c r="O179" i="12"/>
  <c r="L179" i="12"/>
  <c r="V178" i="12"/>
  <c r="V177" i="12"/>
  <c r="U177" i="12"/>
  <c r="T176" i="12"/>
  <c r="L175" i="12"/>
  <c r="I175" i="12"/>
  <c r="S174" i="12"/>
  <c r="R173" i="12"/>
  <c r="T172" i="12"/>
  <c r="S172" i="12"/>
  <c r="J171" i="12"/>
  <c r="V170" i="12"/>
  <c r="K170" i="12"/>
  <c r="L169" i="12"/>
  <c r="E169" i="12"/>
  <c r="U159" i="12"/>
  <c r="V158" i="12"/>
  <c r="U158" i="12"/>
  <c r="T158" i="12"/>
  <c r="S158" i="12"/>
  <c r="S197" i="12" s="1"/>
  <c r="R158" i="12"/>
  <c r="Q158" i="12"/>
  <c r="P158" i="12"/>
  <c r="P197" i="12" s="1"/>
  <c r="O158" i="12"/>
  <c r="N158" i="12"/>
  <c r="M158" i="12"/>
  <c r="M197" i="12" s="1"/>
  <c r="L158" i="12"/>
  <c r="K158" i="12"/>
  <c r="J158" i="12"/>
  <c r="I158" i="12"/>
  <c r="H158" i="12"/>
  <c r="G158" i="12"/>
  <c r="F158" i="12"/>
  <c r="E158" i="12"/>
  <c r="D158" i="12"/>
  <c r="V157" i="12"/>
  <c r="U157" i="12"/>
  <c r="T157" i="12"/>
  <c r="S157" i="12"/>
  <c r="S196" i="12" s="1"/>
  <c r="R157" i="12"/>
  <c r="Q157" i="12"/>
  <c r="P157" i="12"/>
  <c r="P196" i="12" s="1"/>
  <c r="O157" i="12"/>
  <c r="N157" i="12"/>
  <c r="M157" i="12"/>
  <c r="L157" i="12"/>
  <c r="K157" i="12"/>
  <c r="J157" i="12"/>
  <c r="I157" i="12"/>
  <c r="H157" i="12"/>
  <c r="G157" i="12"/>
  <c r="F157" i="12"/>
  <c r="F196" i="12" s="1"/>
  <c r="E157" i="12"/>
  <c r="D157" i="12"/>
  <c r="V156" i="12"/>
  <c r="V195" i="12" s="1"/>
  <c r="U156" i="12"/>
  <c r="T156" i="12"/>
  <c r="S156" i="12"/>
  <c r="R156" i="12"/>
  <c r="Q156" i="12"/>
  <c r="Q195" i="12" s="1"/>
  <c r="P156" i="12"/>
  <c r="O156" i="12"/>
  <c r="N156" i="12"/>
  <c r="M156" i="12"/>
  <c r="L156" i="12"/>
  <c r="K156" i="12"/>
  <c r="J156" i="12"/>
  <c r="I156" i="12"/>
  <c r="I195" i="12" s="1"/>
  <c r="H156" i="12"/>
  <c r="H195" i="12" s="1"/>
  <c r="G156" i="12"/>
  <c r="G195" i="12" s="1"/>
  <c r="F156" i="12"/>
  <c r="F195" i="12" s="1"/>
  <c r="E156" i="12"/>
  <c r="D156" i="12"/>
  <c r="V155" i="12"/>
  <c r="V194" i="12" s="1"/>
  <c r="U155" i="12"/>
  <c r="T155" i="12"/>
  <c r="S155" i="12"/>
  <c r="R155" i="12"/>
  <c r="Q155" i="12"/>
  <c r="Q194" i="12" s="1"/>
  <c r="P155" i="12"/>
  <c r="P194" i="12" s="1"/>
  <c r="O155" i="12"/>
  <c r="O194" i="12" s="1"/>
  <c r="N155" i="12"/>
  <c r="N194" i="12" s="1"/>
  <c r="M155" i="12"/>
  <c r="L155" i="12"/>
  <c r="L194" i="12" s="1"/>
  <c r="K155" i="12"/>
  <c r="J155" i="12"/>
  <c r="I155" i="12"/>
  <c r="I194" i="12" s="1"/>
  <c r="H155" i="12"/>
  <c r="H194" i="12" s="1"/>
  <c r="G155" i="12"/>
  <c r="G194" i="12" s="1"/>
  <c r="F155" i="12"/>
  <c r="F194" i="12" s="1"/>
  <c r="E155" i="12"/>
  <c r="E194" i="12" s="1"/>
  <c r="D155" i="12"/>
  <c r="D194" i="12" s="1"/>
  <c r="V154" i="12"/>
  <c r="U154" i="12"/>
  <c r="T154" i="12"/>
  <c r="S154" i="12"/>
  <c r="R154" i="12"/>
  <c r="Q154" i="12"/>
  <c r="P154" i="12"/>
  <c r="P193" i="12" s="1"/>
  <c r="O154" i="12"/>
  <c r="O193" i="12" s="1"/>
  <c r="N154" i="12"/>
  <c r="M154" i="12"/>
  <c r="L154" i="12"/>
  <c r="L193" i="12" s="1"/>
  <c r="K154" i="12"/>
  <c r="J154" i="12"/>
  <c r="I154" i="12"/>
  <c r="H154" i="12"/>
  <c r="G154" i="12"/>
  <c r="G193" i="12" s="1"/>
  <c r="F154" i="12"/>
  <c r="E154" i="12"/>
  <c r="D154" i="12"/>
  <c r="V153" i="12"/>
  <c r="U153" i="12"/>
  <c r="T153" i="12"/>
  <c r="S153" i="12"/>
  <c r="R153" i="12"/>
  <c r="Q153" i="12"/>
  <c r="P153" i="12"/>
  <c r="O153" i="12"/>
  <c r="O192" i="12" s="1"/>
  <c r="N153" i="12"/>
  <c r="M153" i="12"/>
  <c r="L153" i="12"/>
  <c r="L192" i="12" s="1"/>
  <c r="K153" i="12"/>
  <c r="J153" i="12"/>
  <c r="J192" i="12" s="1"/>
  <c r="I153" i="12"/>
  <c r="H153" i="12"/>
  <c r="G153" i="12"/>
  <c r="F153" i="12"/>
  <c r="E153" i="12"/>
  <c r="D153" i="12"/>
  <c r="V152" i="12"/>
  <c r="V191" i="12" s="1"/>
  <c r="U152" i="12"/>
  <c r="U191" i="12" s="1"/>
  <c r="T152" i="12"/>
  <c r="S152" i="12"/>
  <c r="R152" i="12"/>
  <c r="R191" i="12" s="1"/>
  <c r="Q152" i="12"/>
  <c r="P152" i="12"/>
  <c r="O152" i="12"/>
  <c r="O191" i="12" s="1"/>
  <c r="N152" i="12"/>
  <c r="N191" i="12" s="1"/>
  <c r="M152" i="12"/>
  <c r="M191" i="12" s="1"/>
  <c r="L152" i="12"/>
  <c r="K152" i="12"/>
  <c r="J152" i="12"/>
  <c r="I152" i="12"/>
  <c r="H152" i="12"/>
  <c r="G152" i="12"/>
  <c r="F152" i="12"/>
  <c r="E152" i="12"/>
  <c r="E191" i="12" s="1"/>
  <c r="D152" i="12"/>
  <c r="V151" i="12"/>
  <c r="U151" i="12"/>
  <c r="U190" i="12" s="1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I190" i="12" s="1"/>
  <c r="H151" i="12"/>
  <c r="G151" i="12"/>
  <c r="F151" i="12"/>
  <c r="E151" i="12"/>
  <c r="E190" i="12" s="1"/>
  <c r="D151" i="12"/>
  <c r="V150" i="12"/>
  <c r="U150" i="12"/>
  <c r="U189" i="12" s="1"/>
  <c r="T150" i="12"/>
  <c r="T189" i="12" s="1"/>
  <c r="S150" i="12"/>
  <c r="S189" i="12" s="1"/>
  <c r="R150" i="12"/>
  <c r="Q150" i="12"/>
  <c r="P150" i="12"/>
  <c r="O150" i="12"/>
  <c r="N150" i="12"/>
  <c r="M150" i="12"/>
  <c r="L150" i="12"/>
  <c r="K150" i="12"/>
  <c r="J150" i="12"/>
  <c r="I150" i="12"/>
  <c r="H150" i="12"/>
  <c r="H189" i="12" s="1"/>
  <c r="G150" i="12"/>
  <c r="F150" i="12"/>
  <c r="F189" i="12" s="1"/>
  <c r="E150" i="12"/>
  <c r="D150" i="12"/>
  <c r="D189" i="12" s="1"/>
  <c r="V149" i="12"/>
  <c r="V188" i="12" s="1"/>
  <c r="U149" i="12"/>
  <c r="T149" i="12"/>
  <c r="S149" i="12"/>
  <c r="R149" i="12"/>
  <c r="Q149" i="12"/>
  <c r="P149" i="12"/>
  <c r="O149" i="12"/>
  <c r="N149" i="12"/>
  <c r="M149" i="12"/>
  <c r="M188" i="12" s="1"/>
  <c r="L149" i="12"/>
  <c r="K149" i="12"/>
  <c r="K188" i="12" s="1"/>
  <c r="J149" i="12"/>
  <c r="I149" i="12"/>
  <c r="H149" i="12"/>
  <c r="H188" i="12" s="1"/>
  <c r="G149" i="12"/>
  <c r="G188" i="12" s="1"/>
  <c r="F149" i="12"/>
  <c r="E149" i="12"/>
  <c r="D149" i="12"/>
  <c r="V148" i="12"/>
  <c r="U148" i="12"/>
  <c r="T148" i="12"/>
  <c r="S148" i="12"/>
  <c r="R148" i="12"/>
  <c r="Q148" i="12"/>
  <c r="P148" i="12"/>
  <c r="O148" i="12"/>
  <c r="N148" i="12"/>
  <c r="N187" i="12" s="1"/>
  <c r="M148" i="12"/>
  <c r="L148" i="12"/>
  <c r="K148" i="12"/>
  <c r="K187" i="12" s="1"/>
  <c r="J148" i="12"/>
  <c r="J187" i="12" s="1"/>
  <c r="I148" i="12"/>
  <c r="I187" i="12" s="1"/>
  <c r="H148" i="12"/>
  <c r="G148" i="12"/>
  <c r="F148" i="12"/>
  <c r="E148" i="12"/>
  <c r="D148" i="12"/>
  <c r="V147" i="12"/>
  <c r="U147" i="12"/>
  <c r="U186" i="12" s="1"/>
  <c r="T147" i="12"/>
  <c r="T186" i="12" s="1"/>
  <c r="S147" i="12"/>
  <c r="S186" i="12" s="1"/>
  <c r="R147" i="12"/>
  <c r="Q147" i="12"/>
  <c r="Q186" i="12" s="1"/>
  <c r="P147" i="12"/>
  <c r="O147" i="12"/>
  <c r="O186" i="12" s="1"/>
  <c r="N147" i="12"/>
  <c r="N186" i="12" s="1"/>
  <c r="M147" i="12"/>
  <c r="L147" i="12"/>
  <c r="K147" i="12"/>
  <c r="J147" i="12"/>
  <c r="I147" i="12"/>
  <c r="H147" i="12"/>
  <c r="G147" i="12"/>
  <c r="F147" i="12"/>
  <c r="E147" i="12"/>
  <c r="D147" i="12"/>
  <c r="V146" i="12"/>
  <c r="U146" i="12"/>
  <c r="T146" i="12"/>
  <c r="T185" i="12" s="1"/>
  <c r="S146" i="12"/>
  <c r="R146" i="12"/>
  <c r="Q146" i="12"/>
  <c r="Q185" i="12" s="1"/>
  <c r="P146" i="12"/>
  <c r="P185" i="12" s="1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D185" i="12" s="1"/>
  <c r="V145" i="12"/>
  <c r="U145" i="12"/>
  <c r="T145" i="12"/>
  <c r="T184" i="12" s="1"/>
  <c r="S145" i="12"/>
  <c r="S184" i="12" s="1"/>
  <c r="R145" i="12"/>
  <c r="R184" i="12" s="1"/>
  <c r="Q145" i="12"/>
  <c r="P145" i="12"/>
  <c r="O145" i="12"/>
  <c r="N145" i="12"/>
  <c r="M145" i="12"/>
  <c r="L145" i="12"/>
  <c r="K145" i="12"/>
  <c r="J145" i="12"/>
  <c r="J184" i="12" s="1"/>
  <c r="I145" i="12"/>
  <c r="H145" i="12"/>
  <c r="G145" i="12"/>
  <c r="G184" i="12" s="1"/>
  <c r="F145" i="12"/>
  <c r="E145" i="12"/>
  <c r="D145" i="12"/>
  <c r="D184" i="12" s="1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J183" i="12" s="1"/>
  <c r="I144" i="12"/>
  <c r="H144" i="12"/>
  <c r="G144" i="12"/>
  <c r="G183" i="12" s="1"/>
  <c r="F144" i="12"/>
  <c r="E144" i="12"/>
  <c r="D144" i="12"/>
  <c r="V143" i="12"/>
  <c r="U143" i="12"/>
  <c r="T143" i="12"/>
  <c r="S143" i="12"/>
  <c r="R143" i="12"/>
  <c r="Q143" i="12"/>
  <c r="P143" i="12"/>
  <c r="P182" i="12" s="1"/>
  <c r="O143" i="12"/>
  <c r="N143" i="12"/>
  <c r="M143" i="12"/>
  <c r="M182" i="12" s="1"/>
  <c r="L143" i="12"/>
  <c r="K143" i="12"/>
  <c r="J143" i="12"/>
  <c r="I143" i="12"/>
  <c r="H143" i="12"/>
  <c r="H182" i="12" s="1"/>
  <c r="G143" i="12"/>
  <c r="F143" i="12"/>
  <c r="E143" i="12"/>
  <c r="D143" i="12"/>
  <c r="V141" i="12"/>
  <c r="U141" i="12"/>
  <c r="T141" i="12"/>
  <c r="S141" i="12"/>
  <c r="R141" i="12"/>
  <c r="Q141" i="12"/>
  <c r="P141" i="12"/>
  <c r="P180" i="12" s="1"/>
  <c r="O141" i="12"/>
  <c r="N141" i="12"/>
  <c r="M141" i="12"/>
  <c r="L141" i="12"/>
  <c r="K141" i="12"/>
  <c r="J141" i="12"/>
  <c r="I141" i="12"/>
  <c r="H141" i="12"/>
  <c r="G141" i="12"/>
  <c r="F141" i="12"/>
  <c r="E141" i="12"/>
  <c r="D141" i="12"/>
  <c r="V140" i="12"/>
  <c r="U140" i="12"/>
  <c r="T140" i="12"/>
  <c r="S140" i="12"/>
  <c r="S179" i="12" s="1"/>
  <c r="R140" i="12"/>
  <c r="Q140" i="12"/>
  <c r="P140" i="12"/>
  <c r="P179" i="12" s="1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V139" i="12"/>
  <c r="U139" i="12"/>
  <c r="T139" i="12"/>
  <c r="S139" i="12"/>
  <c r="S178" i="12" s="1"/>
  <c r="R139" i="12"/>
  <c r="R178" i="12" s="1"/>
  <c r="Q139" i="12"/>
  <c r="P139" i="12"/>
  <c r="O139" i="12"/>
  <c r="N139" i="12"/>
  <c r="M139" i="12"/>
  <c r="L139" i="12"/>
  <c r="K139" i="12"/>
  <c r="J139" i="12"/>
  <c r="J178" i="12" s="1"/>
  <c r="I139" i="12"/>
  <c r="H139" i="12"/>
  <c r="G139" i="12"/>
  <c r="F139" i="12"/>
  <c r="F178" i="12" s="1"/>
  <c r="E139" i="12"/>
  <c r="D139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I177" i="12" s="1"/>
  <c r="H138" i="12"/>
  <c r="G138" i="12"/>
  <c r="F138" i="12"/>
  <c r="F177" i="12" s="1"/>
  <c r="E138" i="12"/>
  <c r="D138" i="12"/>
  <c r="V137" i="12"/>
  <c r="U137" i="12"/>
  <c r="T137" i="12"/>
  <c r="S137" i="12"/>
  <c r="R137" i="12"/>
  <c r="Q137" i="12"/>
  <c r="P137" i="12"/>
  <c r="P176" i="12" s="1"/>
  <c r="O137" i="12"/>
  <c r="N137" i="12"/>
  <c r="M137" i="12"/>
  <c r="L137" i="12"/>
  <c r="L176" i="12" s="1"/>
  <c r="K137" i="12"/>
  <c r="J137" i="12"/>
  <c r="J176" i="12" s="1"/>
  <c r="I137" i="12"/>
  <c r="I176" i="12" s="1"/>
  <c r="H137" i="12"/>
  <c r="H176" i="12" s="1"/>
  <c r="G137" i="12"/>
  <c r="F137" i="12"/>
  <c r="E137" i="12"/>
  <c r="D137" i="12"/>
  <c r="V136" i="12"/>
  <c r="U136" i="12"/>
  <c r="T136" i="12"/>
  <c r="S136" i="12"/>
  <c r="R136" i="12"/>
  <c r="Q136" i="12"/>
  <c r="P136" i="12"/>
  <c r="O136" i="12"/>
  <c r="O175" i="12" s="1"/>
  <c r="N136" i="12"/>
  <c r="M136" i="12"/>
  <c r="M159" i="12" s="1"/>
  <c r="L136" i="12"/>
  <c r="K136" i="12"/>
  <c r="J136" i="12"/>
  <c r="I136" i="12"/>
  <c r="H136" i="12"/>
  <c r="G136" i="12"/>
  <c r="F136" i="12"/>
  <c r="E136" i="12"/>
  <c r="D136" i="12"/>
  <c r="V135" i="12"/>
  <c r="V174" i="12" s="1"/>
  <c r="U135" i="12"/>
  <c r="T135" i="12"/>
  <c r="S135" i="12"/>
  <c r="R135" i="12"/>
  <c r="R174" i="12" s="1"/>
  <c r="Q135" i="12"/>
  <c r="P135" i="12"/>
  <c r="O135" i="12"/>
  <c r="O174" i="12" s="1"/>
  <c r="N135" i="12"/>
  <c r="N174" i="12" s="1"/>
  <c r="M135" i="12"/>
  <c r="L135" i="12"/>
  <c r="L174" i="12" s="1"/>
  <c r="K135" i="12"/>
  <c r="J135" i="12"/>
  <c r="I135" i="12"/>
  <c r="H135" i="12"/>
  <c r="G135" i="12"/>
  <c r="F135" i="12"/>
  <c r="E135" i="12"/>
  <c r="D135" i="12"/>
  <c r="V134" i="12"/>
  <c r="U134" i="12"/>
  <c r="U173" i="12" s="1"/>
  <c r="T134" i="12"/>
  <c r="S134" i="12"/>
  <c r="S173" i="12" s="1"/>
  <c r="R134" i="12"/>
  <c r="Q134" i="12"/>
  <c r="Q173" i="12" s="1"/>
  <c r="P134" i="12"/>
  <c r="P173" i="12" s="1"/>
  <c r="O134" i="12"/>
  <c r="O173" i="12" s="1"/>
  <c r="N134" i="12"/>
  <c r="M134" i="12"/>
  <c r="L134" i="12"/>
  <c r="K134" i="12"/>
  <c r="J134" i="12"/>
  <c r="I134" i="12"/>
  <c r="H134" i="12"/>
  <c r="G134" i="12"/>
  <c r="F134" i="12"/>
  <c r="E134" i="12"/>
  <c r="E173" i="12" s="1"/>
  <c r="D134" i="12"/>
  <c r="V133" i="12"/>
  <c r="U133" i="12"/>
  <c r="U172" i="12" s="1"/>
  <c r="T133" i="12"/>
  <c r="S133" i="12"/>
  <c r="R133" i="12"/>
  <c r="R172" i="12" s="1"/>
  <c r="Q133" i="12"/>
  <c r="P133" i="12"/>
  <c r="O133" i="12"/>
  <c r="N133" i="12"/>
  <c r="M133" i="12"/>
  <c r="L133" i="12"/>
  <c r="K133" i="12"/>
  <c r="J133" i="12"/>
  <c r="I133" i="12"/>
  <c r="H133" i="12"/>
  <c r="H172" i="12" s="1"/>
  <c r="G133" i="12"/>
  <c r="F133" i="12"/>
  <c r="E133" i="12"/>
  <c r="E172" i="12" s="1"/>
  <c r="D133" i="12"/>
  <c r="V132" i="12"/>
  <c r="V171" i="12" s="1"/>
  <c r="U132" i="12"/>
  <c r="T132" i="12"/>
  <c r="S132" i="12"/>
  <c r="R132" i="12"/>
  <c r="Q132" i="12"/>
  <c r="P132" i="12"/>
  <c r="O132" i="12"/>
  <c r="N132" i="12"/>
  <c r="M132" i="12"/>
  <c r="L132" i="12"/>
  <c r="K132" i="12"/>
  <c r="K171" i="12" s="1"/>
  <c r="J132" i="12"/>
  <c r="I132" i="12"/>
  <c r="H132" i="12"/>
  <c r="H171" i="12" s="1"/>
  <c r="G132" i="12"/>
  <c r="G171" i="12" s="1"/>
  <c r="F132" i="12"/>
  <c r="F171" i="12" s="1"/>
  <c r="E132" i="12"/>
  <c r="D132" i="12"/>
  <c r="V131" i="12"/>
  <c r="U131" i="12"/>
  <c r="T131" i="12"/>
  <c r="S131" i="12"/>
  <c r="R131" i="12"/>
  <c r="Q131" i="12"/>
  <c r="P131" i="12"/>
  <c r="O131" i="12"/>
  <c r="N131" i="12"/>
  <c r="N170" i="12" s="1"/>
  <c r="M131" i="12"/>
  <c r="L131" i="12"/>
  <c r="K131" i="12"/>
  <c r="J131" i="12"/>
  <c r="I131" i="12"/>
  <c r="I170" i="12" s="1"/>
  <c r="H131" i="12"/>
  <c r="H170" i="12" s="1"/>
  <c r="G131" i="12"/>
  <c r="F131" i="12"/>
  <c r="E131" i="12"/>
  <c r="D131" i="12"/>
  <c r="V130" i="12"/>
  <c r="U130" i="12"/>
  <c r="T130" i="12"/>
  <c r="S130" i="12"/>
  <c r="R130" i="12"/>
  <c r="Q130" i="12"/>
  <c r="P130" i="12"/>
  <c r="O130" i="12"/>
  <c r="O159" i="12" s="1"/>
  <c r="N130" i="12"/>
  <c r="M130" i="12"/>
  <c r="L130" i="12"/>
  <c r="K130" i="12"/>
  <c r="K169" i="12" s="1"/>
  <c r="J130" i="12"/>
  <c r="I130" i="12"/>
  <c r="H130" i="12"/>
  <c r="G130" i="12"/>
  <c r="F130" i="12"/>
  <c r="E130" i="12"/>
  <c r="E159" i="12" s="1"/>
  <c r="D130" i="12"/>
  <c r="U119" i="12"/>
  <c r="M119" i="12"/>
  <c r="P118" i="12"/>
  <c r="T117" i="12"/>
  <c r="S117" i="12"/>
  <c r="D117" i="12"/>
  <c r="V116" i="12"/>
  <c r="P116" i="12"/>
  <c r="O116" i="12"/>
  <c r="N116" i="12"/>
  <c r="M116" i="12"/>
  <c r="G116" i="12"/>
  <c r="F116" i="12"/>
  <c r="Q115" i="12"/>
  <c r="J115" i="12"/>
  <c r="I115" i="12"/>
  <c r="T114" i="12"/>
  <c r="L114" i="12"/>
  <c r="O113" i="12"/>
  <c r="S112" i="12"/>
  <c r="R112" i="12"/>
  <c r="J112" i="12"/>
  <c r="V111" i="12"/>
  <c r="U111" i="12"/>
  <c r="M111" i="12"/>
  <c r="E111" i="12"/>
  <c r="H110" i="12"/>
  <c r="L109" i="12"/>
  <c r="K109" i="12"/>
  <c r="V108" i="12"/>
  <c r="O108" i="12"/>
  <c r="N108" i="12"/>
  <c r="F108" i="12"/>
  <c r="Q107" i="12"/>
  <c r="T106" i="12"/>
  <c r="E106" i="12"/>
  <c r="D106" i="12"/>
  <c r="O105" i="12"/>
  <c r="H105" i="12"/>
  <c r="G105" i="12"/>
  <c r="R104" i="12"/>
  <c r="J104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J102" i="12"/>
  <c r="S101" i="12"/>
  <c r="D101" i="12"/>
  <c r="V100" i="12"/>
  <c r="G100" i="12"/>
  <c r="V98" i="12"/>
  <c r="L98" i="12"/>
  <c r="P97" i="12"/>
  <c r="O97" i="12"/>
  <c r="S96" i="12"/>
  <c r="O95" i="12"/>
  <c r="E95" i="12"/>
  <c r="I94" i="12"/>
  <c r="H94" i="12"/>
  <c r="L93" i="12"/>
  <c r="H92" i="12"/>
  <c r="Q91" i="12"/>
  <c r="U81" i="12"/>
  <c r="T81" i="12"/>
  <c r="V80" i="12"/>
  <c r="U80" i="12"/>
  <c r="T80" i="12"/>
  <c r="S80" i="12"/>
  <c r="S119" i="12" s="1"/>
  <c r="R80" i="12"/>
  <c r="R119" i="12" s="1"/>
  <c r="Q80" i="12"/>
  <c r="Q119" i="12" s="1"/>
  <c r="P80" i="12"/>
  <c r="P119" i="12" s="1"/>
  <c r="O80" i="12"/>
  <c r="O119" i="12" s="1"/>
  <c r="N80" i="12"/>
  <c r="M80" i="12"/>
  <c r="L80" i="12"/>
  <c r="L119" i="12" s="1"/>
  <c r="K80" i="12"/>
  <c r="K119" i="12" s="1"/>
  <c r="J80" i="12"/>
  <c r="J119" i="12" s="1"/>
  <c r="I80" i="12"/>
  <c r="I119" i="12" s="1"/>
  <c r="H80" i="12"/>
  <c r="H119" i="12" s="1"/>
  <c r="G80" i="12"/>
  <c r="F80" i="12"/>
  <c r="E80" i="12"/>
  <c r="D80" i="12"/>
  <c r="V79" i="12"/>
  <c r="V118" i="12" s="1"/>
  <c r="U79" i="12"/>
  <c r="U118" i="12" s="1"/>
  <c r="T79" i="12"/>
  <c r="T118" i="12" s="1"/>
  <c r="S79" i="12"/>
  <c r="S118" i="12" s="1"/>
  <c r="R79" i="12"/>
  <c r="R118" i="12" s="1"/>
  <c r="Q79" i="12"/>
  <c r="P79" i="12"/>
  <c r="O79" i="12"/>
  <c r="O118" i="12" s="1"/>
  <c r="N79" i="12"/>
  <c r="N118" i="12" s="1"/>
  <c r="M79" i="12"/>
  <c r="M118" i="12" s="1"/>
  <c r="L79" i="12"/>
  <c r="K79" i="12"/>
  <c r="K118" i="12" s="1"/>
  <c r="J79" i="12"/>
  <c r="I79" i="12"/>
  <c r="H79" i="12"/>
  <c r="G79" i="12"/>
  <c r="F79" i="12"/>
  <c r="F118" i="12" s="1"/>
  <c r="E79" i="12"/>
  <c r="E118" i="12" s="1"/>
  <c r="D79" i="12"/>
  <c r="D118" i="12" s="1"/>
  <c r="V78" i="12"/>
  <c r="V117" i="12" s="1"/>
  <c r="U78" i="12"/>
  <c r="U117" i="12" s="1"/>
  <c r="T78" i="12"/>
  <c r="S78" i="12"/>
  <c r="R78" i="12"/>
  <c r="R117" i="12" s="1"/>
  <c r="Q78" i="12"/>
  <c r="Q117" i="12" s="1"/>
  <c r="P78" i="12"/>
  <c r="P117" i="12" s="1"/>
  <c r="O78" i="12"/>
  <c r="N78" i="12"/>
  <c r="N117" i="12" s="1"/>
  <c r="M78" i="12"/>
  <c r="L78" i="12"/>
  <c r="K78" i="12"/>
  <c r="J78" i="12"/>
  <c r="I78" i="12"/>
  <c r="I117" i="12" s="1"/>
  <c r="H78" i="12"/>
  <c r="H117" i="12" s="1"/>
  <c r="G78" i="12"/>
  <c r="G117" i="12" s="1"/>
  <c r="F78" i="12"/>
  <c r="F117" i="12" s="1"/>
  <c r="E78" i="12"/>
  <c r="E117" i="12" s="1"/>
  <c r="D78" i="12"/>
  <c r="V77" i="12"/>
  <c r="U77" i="12"/>
  <c r="U116" i="12" s="1"/>
  <c r="T77" i="12"/>
  <c r="T116" i="12" s="1"/>
  <c r="S77" i="12"/>
  <c r="S116" i="12" s="1"/>
  <c r="R77" i="12"/>
  <c r="R116" i="12" s="1"/>
  <c r="Q77" i="12"/>
  <c r="Q116" i="12" s="1"/>
  <c r="P77" i="12"/>
  <c r="O77" i="12"/>
  <c r="N77" i="12"/>
  <c r="M77" i="12"/>
  <c r="L77" i="12"/>
  <c r="L116" i="12" s="1"/>
  <c r="K77" i="12"/>
  <c r="K116" i="12" s="1"/>
  <c r="J77" i="12"/>
  <c r="J116" i="12" s="1"/>
  <c r="I77" i="12"/>
  <c r="I116" i="12" s="1"/>
  <c r="H77" i="12"/>
  <c r="H116" i="12" s="1"/>
  <c r="G77" i="12"/>
  <c r="F77" i="12"/>
  <c r="E77" i="12"/>
  <c r="E116" i="12" s="1"/>
  <c r="D77" i="12"/>
  <c r="D116" i="12" s="1"/>
  <c r="V76" i="12"/>
  <c r="V115" i="12" s="1"/>
  <c r="U76" i="12"/>
  <c r="T76" i="12"/>
  <c r="T115" i="12" s="1"/>
  <c r="S76" i="12"/>
  <c r="R76" i="12"/>
  <c r="Q76" i="12"/>
  <c r="P76" i="12"/>
  <c r="O76" i="12"/>
  <c r="O115" i="12" s="1"/>
  <c r="N76" i="12"/>
  <c r="N115" i="12" s="1"/>
  <c r="M76" i="12"/>
  <c r="L76" i="12"/>
  <c r="L115" i="12" s="1"/>
  <c r="K76" i="12"/>
  <c r="K115" i="12" s="1"/>
  <c r="J76" i="12"/>
  <c r="I76" i="12"/>
  <c r="H76" i="12"/>
  <c r="H115" i="12" s="1"/>
  <c r="G76" i="12"/>
  <c r="G115" i="12" s="1"/>
  <c r="F76" i="12"/>
  <c r="F115" i="12" s="1"/>
  <c r="E76" i="12"/>
  <c r="D76" i="12"/>
  <c r="D115" i="12" s="1"/>
  <c r="V75" i="12"/>
  <c r="U75" i="12"/>
  <c r="T75" i="12"/>
  <c r="S75" i="12"/>
  <c r="R75" i="12"/>
  <c r="R114" i="12" s="1"/>
  <c r="Q75" i="12"/>
  <c r="Q114" i="12" s="1"/>
  <c r="P75" i="12"/>
  <c r="O75" i="12"/>
  <c r="O114" i="12" s="1"/>
  <c r="N75" i="12"/>
  <c r="N114" i="12" s="1"/>
  <c r="M75" i="12"/>
  <c r="L75" i="12"/>
  <c r="K75" i="12"/>
  <c r="K114" i="12" s="1"/>
  <c r="J75" i="12"/>
  <c r="J114" i="12" s="1"/>
  <c r="I75" i="12"/>
  <c r="I114" i="12" s="1"/>
  <c r="H75" i="12"/>
  <c r="G75" i="12"/>
  <c r="G114" i="12" s="1"/>
  <c r="F75" i="12"/>
  <c r="E75" i="12"/>
  <c r="D75" i="12"/>
  <c r="V74" i="12"/>
  <c r="U74" i="12"/>
  <c r="U113" i="12" s="1"/>
  <c r="T74" i="12"/>
  <c r="T113" i="12" s="1"/>
  <c r="S74" i="12"/>
  <c r="R74" i="12"/>
  <c r="R113" i="12" s="1"/>
  <c r="Q74" i="12"/>
  <c r="Q113" i="12" s="1"/>
  <c r="P74" i="12"/>
  <c r="O74" i="12"/>
  <c r="N74" i="12"/>
  <c r="N113" i="12" s="1"/>
  <c r="M74" i="12"/>
  <c r="M113" i="12" s="1"/>
  <c r="L74" i="12"/>
  <c r="L113" i="12" s="1"/>
  <c r="K74" i="12"/>
  <c r="J74" i="12"/>
  <c r="J113" i="12" s="1"/>
  <c r="I74" i="12"/>
  <c r="H74" i="12"/>
  <c r="G74" i="12"/>
  <c r="F74" i="12"/>
  <c r="E74" i="12"/>
  <c r="E113" i="12" s="1"/>
  <c r="D74" i="12"/>
  <c r="D113" i="12" s="1"/>
  <c r="V73" i="12"/>
  <c r="U73" i="12"/>
  <c r="U112" i="12" s="1"/>
  <c r="T73" i="12"/>
  <c r="T112" i="12" s="1"/>
  <c r="S73" i="12"/>
  <c r="R73" i="12"/>
  <c r="Q73" i="12"/>
  <c r="Q112" i="12" s="1"/>
  <c r="P73" i="12"/>
  <c r="P112" i="12" s="1"/>
  <c r="O73" i="12"/>
  <c r="O112" i="12" s="1"/>
  <c r="N73" i="12"/>
  <c r="M73" i="12"/>
  <c r="M112" i="12" s="1"/>
  <c r="L73" i="12"/>
  <c r="K73" i="12"/>
  <c r="J73" i="12"/>
  <c r="I73" i="12"/>
  <c r="H73" i="12"/>
  <c r="H112" i="12" s="1"/>
  <c r="G73" i="12"/>
  <c r="G112" i="12" s="1"/>
  <c r="F73" i="12"/>
  <c r="E73" i="12"/>
  <c r="E112" i="12" s="1"/>
  <c r="D73" i="12"/>
  <c r="D112" i="12" s="1"/>
  <c r="V72" i="12"/>
  <c r="U72" i="12"/>
  <c r="T72" i="12"/>
  <c r="T111" i="12" s="1"/>
  <c r="S72" i="12"/>
  <c r="S111" i="12" s="1"/>
  <c r="R72" i="12"/>
  <c r="R111" i="12" s="1"/>
  <c r="Q72" i="12"/>
  <c r="P72" i="12"/>
  <c r="P111" i="12" s="1"/>
  <c r="O72" i="12"/>
  <c r="N72" i="12"/>
  <c r="M72" i="12"/>
  <c r="L72" i="12"/>
  <c r="K72" i="12"/>
  <c r="K111" i="12" s="1"/>
  <c r="J72" i="12"/>
  <c r="J111" i="12" s="1"/>
  <c r="I72" i="12"/>
  <c r="H72" i="12"/>
  <c r="H111" i="12" s="1"/>
  <c r="G72" i="12"/>
  <c r="G111" i="12" s="1"/>
  <c r="F72" i="12"/>
  <c r="E72" i="12"/>
  <c r="D72" i="12"/>
  <c r="D111" i="12" s="1"/>
  <c r="V71" i="12"/>
  <c r="V110" i="12" s="1"/>
  <c r="U71" i="12"/>
  <c r="U110" i="12" s="1"/>
  <c r="T71" i="12"/>
  <c r="S71" i="12"/>
  <c r="S110" i="12" s="1"/>
  <c r="R71" i="12"/>
  <c r="Q71" i="12"/>
  <c r="P71" i="12"/>
  <c r="O71" i="12"/>
  <c r="N71" i="12"/>
  <c r="N110" i="12" s="1"/>
  <c r="M71" i="12"/>
  <c r="M110" i="12" s="1"/>
  <c r="L71" i="12"/>
  <c r="K71" i="12"/>
  <c r="K110" i="12" s="1"/>
  <c r="J71" i="12"/>
  <c r="J110" i="12" s="1"/>
  <c r="I71" i="12"/>
  <c r="H71" i="12"/>
  <c r="G71" i="12"/>
  <c r="G110" i="12" s="1"/>
  <c r="F71" i="12"/>
  <c r="F110" i="12" s="1"/>
  <c r="E71" i="12"/>
  <c r="E110" i="12" s="1"/>
  <c r="D71" i="12"/>
  <c r="V70" i="12"/>
  <c r="V109" i="12" s="1"/>
  <c r="U70" i="12"/>
  <c r="T70" i="12"/>
  <c r="S70" i="12"/>
  <c r="R70" i="12"/>
  <c r="Q70" i="12"/>
  <c r="Q109" i="12" s="1"/>
  <c r="P70" i="12"/>
  <c r="P109" i="12" s="1"/>
  <c r="O70" i="12"/>
  <c r="N70" i="12"/>
  <c r="N109" i="12" s="1"/>
  <c r="M70" i="12"/>
  <c r="M109" i="12" s="1"/>
  <c r="L70" i="12"/>
  <c r="K70" i="12"/>
  <c r="J70" i="12"/>
  <c r="J109" i="12" s="1"/>
  <c r="I70" i="12"/>
  <c r="I109" i="12" s="1"/>
  <c r="H70" i="12"/>
  <c r="H109" i="12" s="1"/>
  <c r="G70" i="12"/>
  <c r="F70" i="12"/>
  <c r="F109" i="12" s="1"/>
  <c r="E70" i="12"/>
  <c r="D70" i="12"/>
  <c r="V69" i="12"/>
  <c r="U69" i="12"/>
  <c r="T69" i="12"/>
  <c r="T108" i="12" s="1"/>
  <c r="S69" i="12"/>
  <c r="S108" i="12" s="1"/>
  <c r="R69" i="12"/>
  <c r="Q69" i="12"/>
  <c r="Q108" i="12" s="1"/>
  <c r="P69" i="12"/>
  <c r="P108" i="12" s="1"/>
  <c r="O69" i="12"/>
  <c r="N69" i="12"/>
  <c r="M69" i="12"/>
  <c r="M108" i="12" s="1"/>
  <c r="L69" i="12"/>
  <c r="L108" i="12" s="1"/>
  <c r="K69" i="12"/>
  <c r="J69" i="12"/>
  <c r="I69" i="12"/>
  <c r="I108" i="12" s="1"/>
  <c r="H69" i="12"/>
  <c r="G69" i="12"/>
  <c r="F69" i="12"/>
  <c r="E69" i="12"/>
  <c r="D69" i="12"/>
  <c r="D108" i="12" s="1"/>
  <c r="V68" i="12"/>
  <c r="V107" i="12" s="1"/>
  <c r="U68" i="12"/>
  <c r="T68" i="12"/>
  <c r="T107" i="12" s="1"/>
  <c r="S68" i="12"/>
  <c r="S107" i="12" s="1"/>
  <c r="R68" i="12"/>
  <c r="Q68" i="12"/>
  <c r="P68" i="12"/>
  <c r="P107" i="12" s="1"/>
  <c r="O68" i="12"/>
  <c r="O107" i="12" s="1"/>
  <c r="N68" i="12"/>
  <c r="M68" i="12"/>
  <c r="L68" i="12"/>
  <c r="L107" i="12" s="1"/>
  <c r="K68" i="12"/>
  <c r="J68" i="12"/>
  <c r="I68" i="12"/>
  <c r="H68" i="12"/>
  <c r="G68" i="12"/>
  <c r="G107" i="12" s="1"/>
  <c r="F68" i="12"/>
  <c r="F107" i="12" s="1"/>
  <c r="E68" i="12"/>
  <c r="D68" i="12"/>
  <c r="D107" i="12" s="1"/>
  <c r="V67" i="12"/>
  <c r="V106" i="12" s="1"/>
  <c r="U67" i="12"/>
  <c r="T67" i="12"/>
  <c r="S67" i="12"/>
  <c r="S106" i="12" s="1"/>
  <c r="R67" i="12"/>
  <c r="R106" i="12" s="1"/>
  <c r="Q67" i="12"/>
  <c r="P67" i="12"/>
  <c r="O67" i="12"/>
  <c r="O106" i="12" s="1"/>
  <c r="N67" i="12"/>
  <c r="M67" i="12"/>
  <c r="L67" i="12"/>
  <c r="K67" i="12"/>
  <c r="J67" i="12"/>
  <c r="J106" i="12" s="1"/>
  <c r="I67" i="12"/>
  <c r="I106" i="12" s="1"/>
  <c r="H67" i="12"/>
  <c r="G67" i="12"/>
  <c r="G106" i="12" s="1"/>
  <c r="F67" i="12"/>
  <c r="F106" i="12" s="1"/>
  <c r="E67" i="12"/>
  <c r="D67" i="12"/>
  <c r="V66" i="12"/>
  <c r="V105" i="12" s="1"/>
  <c r="U66" i="12"/>
  <c r="U105" i="12" s="1"/>
  <c r="T66" i="12"/>
  <c r="S66" i="12"/>
  <c r="R66" i="12"/>
  <c r="R105" i="12" s="1"/>
  <c r="Q66" i="12"/>
  <c r="P66" i="12"/>
  <c r="O66" i="12"/>
  <c r="N66" i="12"/>
  <c r="M66" i="12"/>
  <c r="M105" i="12" s="1"/>
  <c r="L66" i="12"/>
  <c r="L105" i="12" s="1"/>
  <c r="K66" i="12"/>
  <c r="J66" i="12"/>
  <c r="J105" i="12" s="1"/>
  <c r="I66" i="12"/>
  <c r="I105" i="12" s="1"/>
  <c r="H66" i="12"/>
  <c r="G66" i="12"/>
  <c r="F66" i="12"/>
  <c r="F105" i="12" s="1"/>
  <c r="E66" i="12"/>
  <c r="E105" i="12" s="1"/>
  <c r="D66" i="12"/>
  <c r="V65" i="12"/>
  <c r="U65" i="12"/>
  <c r="U104" i="12" s="1"/>
  <c r="T65" i="12"/>
  <c r="S65" i="12"/>
  <c r="R65" i="12"/>
  <c r="Q65" i="12"/>
  <c r="P65" i="12"/>
  <c r="P104" i="12" s="1"/>
  <c r="O65" i="12"/>
  <c r="O104" i="12" s="1"/>
  <c r="N65" i="12"/>
  <c r="M65" i="12"/>
  <c r="M104" i="12" s="1"/>
  <c r="L65" i="12"/>
  <c r="L104" i="12" s="1"/>
  <c r="K65" i="12"/>
  <c r="J65" i="12"/>
  <c r="I65" i="12"/>
  <c r="I104" i="12" s="1"/>
  <c r="H65" i="12"/>
  <c r="H104" i="12" s="1"/>
  <c r="G65" i="12"/>
  <c r="F65" i="12"/>
  <c r="E65" i="12"/>
  <c r="E104" i="12" s="1"/>
  <c r="D65" i="12"/>
  <c r="V63" i="12"/>
  <c r="U63" i="12"/>
  <c r="T63" i="12"/>
  <c r="T102" i="12" s="1"/>
  <c r="S63" i="12"/>
  <c r="R63" i="12"/>
  <c r="R102" i="12" s="1"/>
  <c r="Q63" i="12"/>
  <c r="Q102" i="12" s="1"/>
  <c r="P63" i="12"/>
  <c r="P102" i="12" s="1"/>
  <c r="O63" i="12"/>
  <c r="O102" i="12" s="1"/>
  <c r="N63" i="12"/>
  <c r="N102" i="12" s="1"/>
  <c r="M63" i="12"/>
  <c r="M102" i="12" s="1"/>
  <c r="L63" i="12"/>
  <c r="L102" i="12" s="1"/>
  <c r="K63" i="12"/>
  <c r="K102" i="12" s="1"/>
  <c r="J63" i="12"/>
  <c r="I63" i="12"/>
  <c r="H63" i="12"/>
  <c r="H102" i="12" s="1"/>
  <c r="G63" i="12"/>
  <c r="F63" i="12"/>
  <c r="E63" i="12"/>
  <c r="D63" i="12"/>
  <c r="D102" i="12" s="1"/>
  <c r="V62" i="12"/>
  <c r="U62" i="12"/>
  <c r="U101" i="12" s="1"/>
  <c r="T62" i="12"/>
  <c r="T101" i="12" s="1"/>
  <c r="S62" i="12"/>
  <c r="R62" i="12"/>
  <c r="R101" i="12" s="1"/>
  <c r="Q62" i="12"/>
  <c r="Q101" i="12" s="1"/>
  <c r="P62" i="12"/>
  <c r="P101" i="12" s="1"/>
  <c r="O62" i="12"/>
  <c r="O101" i="12" s="1"/>
  <c r="N62" i="12"/>
  <c r="N101" i="12" s="1"/>
  <c r="M62" i="12"/>
  <c r="L62" i="12"/>
  <c r="K62" i="12"/>
  <c r="K101" i="12" s="1"/>
  <c r="J62" i="12"/>
  <c r="I62" i="12"/>
  <c r="H62" i="12"/>
  <c r="G62" i="12"/>
  <c r="G101" i="12" s="1"/>
  <c r="F62" i="12"/>
  <c r="E62" i="12"/>
  <c r="E101" i="12" s="1"/>
  <c r="D62" i="12"/>
  <c r="V61" i="12"/>
  <c r="U61" i="12"/>
  <c r="U100" i="12" s="1"/>
  <c r="T61" i="12"/>
  <c r="T100" i="12" s="1"/>
  <c r="S61" i="12"/>
  <c r="S100" i="12" s="1"/>
  <c r="R61" i="12"/>
  <c r="R100" i="12" s="1"/>
  <c r="Q61" i="12"/>
  <c r="Q100" i="12" s="1"/>
  <c r="P61" i="12"/>
  <c r="O61" i="12"/>
  <c r="N61" i="12"/>
  <c r="N100" i="12" s="1"/>
  <c r="M61" i="12"/>
  <c r="L61" i="12"/>
  <c r="K61" i="12"/>
  <c r="J61" i="12"/>
  <c r="J100" i="12" s="1"/>
  <c r="I61" i="12"/>
  <c r="H61" i="12"/>
  <c r="H100" i="12" s="1"/>
  <c r="G61" i="12"/>
  <c r="F61" i="12"/>
  <c r="F100" i="12" s="1"/>
  <c r="E61" i="12"/>
  <c r="E100" i="12" s="1"/>
  <c r="D61" i="12"/>
  <c r="D100" i="12" s="1"/>
  <c r="V60" i="12"/>
  <c r="V99" i="12" s="1"/>
  <c r="U60" i="12"/>
  <c r="U99" i="12" s="1"/>
  <c r="T60" i="12"/>
  <c r="T99" i="12" s="1"/>
  <c r="S60" i="12"/>
  <c r="R60" i="12"/>
  <c r="Q60" i="12"/>
  <c r="Q99" i="12" s="1"/>
  <c r="P60" i="12"/>
  <c r="O60" i="12"/>
  <c r="N60" i="12"/>
  <c r="M60" i="12"/>
  <c r="M99" i="12" s="1"/>
  <c r="L60" i="12"/>
  <c r="K60" i="12"/>
  <c r="K99" i="12" s="1"/>
  <c r="J60" i="12"/>
  <c r="J99" i="12" s="1"/>
  <c r="I60" i="12"/>
  <c r="I99" i="12" s="1"/>
  <c r="H60" i="12"/>
  <c r="H99" i="12" s="1"/>
  <c r="G60" i="12"/>
  <c r="G99" i="12" s="1"/>
  <c r="F60" i="12"/>
  <c r="F99" i="12" s="1"/>
  <c r="E60" i="12"/>
  <c r="E99" i="12" s="1"/>
  <c r="D60" i="12"/>
  <c r="D99" i="12" s="1"/>
  <c r="V59" i="12"/>
  <c r="U59" i="12"/>
  <c r="T59" i="12"/>
  <c r="T98" i="12" s="1"/>
  <c r="S59" i="12"/>
  <c r="R59" i="12"/>
  <c r="Q59" i="12"/>
  <c r="P59" i="12"/>
  <c r="P98" i="12" s="1"/>
  <c r="O59" i="12"/>
  <c r="N59" i="12"/>
  <c r="N98" i="12" s="1"/>
  <c r="M59" i="12"/>
  <c r="M98" i="12" s="1"/>
  <c r="L59" i="12"/>
  <c r="K59" i="12"/>
  <c r="K98" i="12" s="1"/>
  <c r="J59" i="12"/>
  <c r="J98" i="12" s="1"/>
  <c r="I59" i="12"/>
  <c r="I98" i="12" s="1"/>
  <c r="H59" i="12"/>
  <c r="H98" i="12" s="1"/>
  <c r="G59" i="12"/>
  <c r="G98" i="12" s="1"/>
  <c r="F59" i="12"/>
  <c r="E59" i="12"/>
  <c r="D59" i="12"/>
  <c r="D98" i="12" s="1"/>
  <c r="V58" i="12"/>
  <c r="U58" i="12"/>
  <c r="T58" i="12"/>
  <c r="S58" i="12"/>
  <c r="S97" i="12" s="1"/>
  <c r="R58" i="12"/>
  <c r="Q58" i="12"/>
  <c r="Q97" i="12" s="1"/>
  <c r="P58" i="12"/>
  <c r="O58" i="12"/>
  <c r="N58" i="12"/>
  <c r="N97" i="12" s="1"/>
  <c r="M58" i="12"/>
  <c r="M97" i="12" s="1"/>
  <c r="L58" i="12"/>
  <c r="L97" i="12" s="1"/>
  <c r="K58" i="12"/>
  <c r="K97" i="12" s="1"/>
  <c r="J58" i="12"/>
  <c r="J97" i="12" s="1"/>
  <c r="I58" i="12"/>
  <c r="H58" i="12"/>
  <c r="G58" i="12"/>
  <c r="G97" i="12" s="1"/>
  <c r="F58" i="12"/>
  <c r="E58" i="12"/>
  <c r="D58" i="12"/>
  <c r="V57" i="12"/>
  <c r="V96" i="12" s="1"/>
  <c r="U57" i="12"/>
  <c r="T57" i="12"/>
  <c r="T96" i="12" s="1"/>
  <c r="S57" i="12"/>
  <c r="R57" i="12"/>
  <c r="R96" i="12" s="1"/>
  <c r="Q57" i="12"/>
  <c r="Q96" i="12" s="1"/>
  <c r="P57" i="12"/>
  <c r="P96" i="12" s="1"/>
  <c r="O57" i="12"/>
  <c r="O96" i="12" s="1"/>
  <c r="N57" i="12"/>
  <c r="N96" i="12" s="1"/>
  <c r="M57" i="12"/>
  <c r="M96" i="12" s="1"/>
  <c r="L57" i="12"/>
  <c r="K57" i="12"/>
  <c r="J57" i="12"/>
  <c r="J96" i="12" s="1"/>
  <c r="I57" i="12"/>
  <c r="H57" i="12"/>
  <c r="G57" i="12"/>
  <c r="F57" i="12"/>
  <c r="F96" i="12" s="1"/>
  <c r="E57" i="12"/>
  <c r="D57" i="12"/>
  <c r="D96" i="12" s="1"/>
  <c r="V56" i="12"/>
  <c r="V95" i="12" s="1"/>
  <c r="U56" i="12"/>
  <c r="U95" i="12" s="1"/>
  <c r="T56" i="12"/>
  <c r="T95" i="12" s="1"/>
  <c r="S56" i="12"/>
  <c r="S95" i="12" s="1"/>
  <c r="R56" i="12"/>
  <c r="R95" i="12" s="1"/>
  <c r="Q56" i="12"/>
  <c r="Q95" i="12" s="1"/>
  <c r="P56" i="12"/>
  <c r="P95" i="12" s="1"/>
  <c r="O56" i="12"/>
  <c r="N56" i="12"/>
  <c r="M56" i="12"/>
  <c r="M95" i="12" s="1"/>
  <c r="L56" i="12"/>
  <c r="K56" i="12"/>
  <c r="J56" i="12"/>
  <c r="I56" i="12"/>
  <c r="I95" i="12" s="1"/>
  <c r="H56" i="12"/>
  <c r="G56" i="12"/>
  <c r="G95" i="12" s="1"/>
  <c r="F56" i="12"/>
  <c r="F95" i="12" s="1"/>
  <c r="E56" i="12"/>
  <c r="D56" i="12"/>
  <c r="D95" i="12" s="1"/>
  <c r="V55" i="12"/>
  <c r="V94" i="12" s="1"/>
  <c r="U55" i="12"/>
  <c r="U94" i="12" s="1"/>
  <c r="T55" i="12"/>
  <c r="T94" i="12" s="1"/>
  <c r="S55" i="12"/>
  <c r="S94" i="12" s="1"/>
  <c r="R55" i="12"/>
  <c r="Q55" i="12"/>
  <c r="P55" i="12"/>
  <c r="P94" i="12" s="1"/>
  <c r="O55" i="12"/>
  <c r="N55" i="12"/>
  <c r="M55" i="12"/>
  <c r="L55" i="12"/>
  <c r="L94" i="12" s="1"/>
  <c r="K55" i="12"/>
  <c r="J55" i="12"/>
  <c r="J94" i="12" s="1"/>
  <c r="I55" i="12"/>
  <c r="H55" i="12"/>
  <c r="G55" i="12"/>
  <c r="G94" i="12" s="1"/>
  <c r="F55" i="12"/>
  <c r="F94" i="12" s="1"/>
  <c r="E55" i="12"/>
  <c r="E94" i="12" s="1"/>
  <c r="D55" i="12"/>
  <c r="D94" i="12" s="1"/>
  <c r="V54" i="12"/>
  <c r="V93" i="12" s="1"/>
  <c r="U54" i="12"/>
  <c r="T54" i="12"/>
  <c r="S54" i="12"/>
  <c r="S93" i="12" s="1"/>
  <c r="R54" i="12"/>
  <c r="Q54" i="12"/>
  <c r="P54" i="12"/>
  <c r="O54" i="12"/>
  <c r="O93" i="12" s="1"/>
  <c r="N54" i="12"/>
  <c r="M54" i="12"/>
  <c r="M93" i="12" s="1"/>
  <c r="L54" i="12"/>
  <c r="L81" i="12" s="1"/>
  <c r="K54" i="12"/>
  <c r="K93" i="12" s="1"/>
  <c r="J54" i="12"/>
  <c r="J93" i="12" s="1"/>
  <c r="I54" i="12"/>
  <c r="I93" i="12" s="1"/>
  <c r="H54" i="12"/>
  <c r="H93" i="12" s="1"/>
  <c r="G54" i="12"/>
  <c r="G93" i="12" s="1"/>
  <c r="F54" i="12"/>
  <c r="F93" i="12" s="1"/>
  <c r="E54" i="12"/>
  <c r="D54" i="12"/>
  <c r="V53" i="12"/>
  <c r="V92" i="12" s="1"/>
  <c r="U53" i="12"/>
  <c r="T53" i="12"/>
  <c r="S53" i="12"/>
  <c r="R53" i="12"/>
  <c r="R92" i="12" s="1"/>
  <c r="Q53" i="12"/>
  <c r="P53" i="12"/>
  <c r="P92" i="12" s="1"/>
  <c r="O53" i="12"/>
  <c r="O92" i="12" s="1"/>
  <c r="N53" i="12"/>
  <c r="N81" i="12" s="1"/>
  <c r="M53" i="12"/>
  <c r="L53" i="12"/>
  <c r="L92" i="12" s="1"/>
  <c r="K53" i="12"/>
  <c r="K92" i="12" s="1"/>
  <c r="J53" i="12"/>
  <c r="J92" i="12" s="1"/>
  <c r="I53" i="12"/>
  <c r="I92" i="12" s="1"/>
  <c r="H53" i="12"/>
  <c r="G53" i="12"/>
  <c r="F53" i="12"/>
  <c r="F92" i="12" s="1"/>
  <c r="E53" i="12"/>
  <c r="D53" i="12"/>
  <c r="V52" i="12"/>
  <c r="U52" i="12"/>
  <c r="U91" i="12" s="1"/>
  <c r="T52" i="12"/>
  <c r="S52" i="12"/>
  <c r="S91" i="12" s="1"/>
  <c r="R52" i="12"/>
  <c r="R91" i="12" s="1"/>
  <c r="Q52" i="12"/>
  <c r="P52" i="12"/>
  <c r="O52" i="12"/>
  <c r="O91" i="12" s="1"/>
  <c r="N52" i="12"/>
  <c r="M52" i="12"/>
  <c r="M91" i="12" s="1"/>
  <c r="L52" i="12"/>
  <c r="L91" i="12" s="1"/>
  <c r="K52" i="12"/>
  <c r="J52" i="12"/>
  <c r="I52" i="12"/>
  <c r="I81" i="12" s="1"/>
  <c r="H52" i="12"/>
  <c r="G52" i="12"/>
  <c r="F52" i="12"/>
  <c r="E52" i="12"/>
  <c r="E91" i="12" s="1"/>
  <c r="D52" i="12"/>
  <c r="V41" i="12"/>
  <c r="V119" i="12" s="1"/>
  <c r="U41" i="12"/>
  <c r="U197" i="12" s="1"/>
  <c r="T41" i="12"/>
  <c r="T197" i="12" s="1"/>
  <c r="S41" i="12"/>
  <c r="R41" i="12"/>
  <c r="R197" i="12" s="1"/>
  <c r="Q41" i="12"/>
  <c r="Q275" i="12" s="1"/>
  <c r="P41" i="12"/>
  <c r="O41" i="12"/>
  <c r="N41" i="12"/>
  <c r="N119" i="12" s="1"/>
  <c r="M41" i="12"/>
  <c r="L41" i="12"/>
  <c r="L275" i="12" s="1"/>
  <c r="K41" i="12"/>
  <c r="J41" i="12"/>
  <c r="J197" i="12" s="1"/>
  <c r="I41" i="12"/>
  <c r="I275" i="12" s="1"/>
  <c r="H41" i="12"/>
  <c r="H275" i="12" s="1"/>
  <c r="G41" i="12"/>
  <c r="G119" i="12" s="1"/>
  <c r="F41" i="12"/>
  <c r="E41" i="12"/>
  <c r="E119" i="12" s="1"/>
  <c r="D41" i="12"/>
  <c r="D119" i="12" s="1"/>
  <c r="V40" i="12"/>
  <c r="V196" i="12" s="1"/>
  <c r="U40" i="12"/>
  <c r="T40" i="12"/>
  <c r="T196" i="12" s="1"/>
  <c r="S40" i="12"/>
  <c r="R40" i="12"/>
  <c r="Q40" i="12"/>
  <c r="Q118" i="12" s="1"/>
  <c r="P40" i="12"/>
  <c r="O40" i="12"/>
  <c r="O274" i="12" s="1"/>
  <c r="N40" i="12"/>
  <c r="N196" i="12" s="1"/>
  <c r="M40" i="12"/>
  <c r="M196" i="12" s="1"/>
  <c r="L40" i="12"/>
  <c r="L274" i="12" s="1"/>
  <c r="K40" i="12"/>
  <c r="K274" i="12" s="1"/>
  <c r="J40" i="12"/>
  <c r="I40" i="12"/>
  <c r="H40" i="12"/>
  <c r="H274" i="12" s="1"/>
  <c r="G40" i="12"/>
  <c r="G118" i="12" s="1"/>
  <c r="F40" i="12"/>
  <c r="F274" i="12" s="1"/>
  <c r="E40" i="12"/>
  <c r="E196" i="12" s="1"/>
  <c r="D40" i="12"/>
  <c r="D274" i="12" s="1"/>
  <c r="V39" i="12"/>
  <c r="U39" i="12"/>
  <c r="T39" i="12"/>
  <c r="S39" i="12"/>
  <c r="R39" i="12"/>
  <c r="R195" i="12" s="1"/>
  <c r="Q39" i="12"/>
  <c r="P39" i="12"/>
  <c r="P195" i="12" s="1"/>
  <c r="O39" i="12"/>
  <c r="N39" i="12"/>
  <c r="N273" i="12" s="1"/>
  <c r="M39" i="12"/>
  <c r="L39" i="12"/>
  <c r="K39" i="12"/>
  <c r="K117" i="12" s="1"/>
  <c r="J39" i="12"/>
  <c r="J117" i="12" s="1"/>
  <c r="I39" i="12"/>
  <c r="H39" i="12"/>
  <c r="G39" i="12"/>
  <c r="G273" i="12" s="1"/>
  <c r="F39" i="12"/>
  <c r="E39" i="12"/>
  <c r="D39" i="12"/>
  <c r="V38" i="12"/>
  <c r="U38" i="12"/>
  <c r="U272" i="12" s="1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V37" i="12"/>
  <c r="V193" i="12" s="1"/>
  <c r="U37" i="12"/>
  <c r="U271" i="12" s="1"/>
  <c r="T37" i="12"/>
  <c r="T271" i="12" s="1"/>
  <c r="S37" i="12"/>
  <c r="R37" i="12"/>
  <c r="R115" i="12" s="1"/>
  <c r="Q37" i="12"/>
  <c r="P37" i="12"/>
  <c r="P115" i="12" s="1"/>
  <c r="O37" i="12"/>
  <c r="N37" i="12"/>
  <c r="N193" i="12" s="1"/>
  <c r="M37" i="12"/>
  <c r="L37" i="12"/>
  <c r="L271" i="12" s="1"/>
  <c r="K37" i="12"/>
  <c r="J37" i="12"/>
  <c r="I37" i="12"/>
  <c r="H37" i="12"/>
  <c r="H271" i="12" s="1"/>
  <c r="G37" i="12"/>
  <c r="F37" i="12"/>
  <c r="F193" i="12" s="1"/>
  <c r="E37" i="12"/>
  <c r="D37" i="12"/>
  <c r="D271" i="12" s="1"/>
  <c r="V36" i="12"/>
  <c r="V114" i="12" s="1"/>
  <c r="U36" i="12"/>
  <c r="T36" i="12"/>
  <c r="T270" i="12" s="1"/>
  <c r="S36" i="12"/>
  <c r="S192" i="12" s="1"/>
  <c r="R36" i="12"/>
  <c r="Q36" i="12"/>
  <c r="Q192" i="12" s="1"/>
  <c r="P36" i="12"/>
  <c r="P270" i="12" s="1"/>
  <c r="O36" i="12"/>
  <c r="N36" i="12"/>
  <c r="M36" i="12"/>
  <c r="M114" i="12" s="1"/>
  <c r="L36" i="12"/>
  <c r="K36" i="12"/>
  <c r="K192" i="12" s="1"/>
  <c r="J36" i="12"/>
  <c r="I36" i="12"/>
  <c r="H36" i="12"/>
  <c r="H270" i="12" s="1"/>
  <c r="G36" i="12"/>
  <c r="G270" i="12" s="1"/>
  <c r="F36" i="12"/>
  <c r="F114" i="12" s="1"/>
  <c r="E36" i="12"/>
  <c r="D36" i="12"/>
  <c r="D114" i="12" s="1"/>
  <c r="V35" i="12"/>
  <c r="V113" i="12" s="1"/>
  <c r="U35" i="12"/>
  <c r="T35" i="12"/>
  <c r="S35" i="12"/>
  <c r="R35" i="12"/>
  <c r="Q35" i="12"/>
  <c r="P35" i="12"/>
  <c r="P191" i="12" s="1"/>
  <c r="O35" i="12"/>
  <c r="N35" i="12"/>
  <c r="N269" i="12" s="1"/>
  <c r="M35" i="12"/>
  <c r="L35" i="12"/>
  <c r="L191" i="12" s="1"/>
  <c r="K35" i="12"/>
  <c r="J35" i="12"/>
  <c r="J269" i="12" s="1"/>
  <c r="I35" i="12"/>
  <c r="H35" i="12"/>
  <c r="H113" i="12" s="1"/>
  <c r="G35" i="12"/>
  <c r="G191" i="12" s="1"/>
  <c r="F35" i="12"/>
  <c r="F113" i="12" s="1"/>
  <c r="E35" i="12"/>
  <c r="D35" i="12"/>
  <c r="D191" i="12" s="1"/>
  <c r="V34" i="12"/>
  <c r="V268" i="12" s="1"/>
  <c r="U34" i="12"/>
  <c r="T34" i="12"/>
  <c r="S34" i="12"/>
  <c r="R34" i="12"/>
  <c r="Q34" i="12"/>
  <c r="Q190" i="12" s="1"/>
  <c r="P34" i="12"/>
  <c r="O34" i="12"/>
  <c r="O190" i="12" s="1"/>
  <c r="N34" i="12"/>
  <c r="M34" i="12"/>
  <c r="M268" i="12" s="1"/>
  <c r="L34" i="12"/>
  <c r="K34" i="12"/>
  <c r="J34" i="12"/>
  <c r="I34" i="12"/>
  <c r="I112" i="12" s="1"/>
  <c r="H34" i="12"/>
  <c r="G34" i="12"/>
  <c r="F34" i="12"/>
  <c r="F268" i="12" s="1"/>
  <c r="E34" i="12"/>
  <c r="E268" i="12" s="1"/>
  <c r="D34" i="12"/>
  <c r="V33" i="12"/>
  <c r="U33" i="12"/>
  <c r="T33" i="12"/>
  <c r="S33" i="12"/>
  <c r="R33" i="12"/>
  <c r="Q33" i="12"/>
  <c r="P33" i="12"/>
  <c r="P267" i="12" s="1"/>
  <c r="O33" i="12"/>
  <c r="O111" i="12" s="1"/>
  <c r="N33" i="12"/>
  <c r="N111" i="12" s="1"/>
  <c r="M33" i="12"/>
  <c r="L33" i="12"/>
  <c r="L111" i="12" s="1"/>
  <c r="K33" i="12"/>
  <c r="K189" i="12" s="1"/>
  <c r="J33" i="12"/>
  <c r="J189" i="12" s="1"/>
  <c r="I33" i="12"/>
  <c r="I267" i="12" s="1"/>
  <c r="H33" i="12"/>
  <c r="G33" i="12"/>
  <c r="F33" i="12"/>
  <c r="F111" i="12" s="1"/>
  <c r="E33" i="12"/>
  <c r="D33" i="12"/>
  <c r="D267" i="12" s="1"/>
  <c r="V32" i="12"/>
  <c r="U32" i="12"/>
  <c r="U188" i="12" s="1"/>
  <c r="T32" i="12"/>
  <c r="S32" i="12"/>
  <c r="S266" i="12" s="1"/>
  <c r="R32" i="12"/>
  <c r="R110" i="12" s="1"/>
  <c r="Q32" i="12"/>
  <c r="P32" i="12"/>
  <c r="P188" i="12" s="1"/>
  <c r="O32" i="12"/>
  <c r="O110" i="12" s="1"/>
  <c r="N32" i="12"/>
  <c r="N188" i="12" s="1"/>
  <c r="M32" i="12"/>
  <c r="L32" i="12"/>
  <c r="L266" i="12" s="1"/>
  <c r="K32" i="12"/>
  <c r="K266" i="12" s="1"/>
  <c r="J32" i="12"/>
  <c r="I32" i="12"/>
  <c r="I110" i="12" s="1"/>
  <c r="H32" i="12"/>
  <c r="H266" i="12" s="1"/>
  <c r="G32" i="12"/>
  <c r="G266" i="12" s="1"/>
  <c r="F32" i="12"/>
  <c r="E32" i="12"/>
  <c r="D32" i="12"/>
  <c r="V31" i="12"/>
  <c r="V265" i="12" s="1"/>
  <c r="U31" i="12"/>
  <c r="T31" i="12"/>
  <c r="T109" i="12" s="1"/>
  <c r="S31" i="12"/>
  <c r="S265" i="12" s="1"/>
  <c r="R31" i="12"/>
  <c r="R109" i="12" s="1"/>
  <c r="Q31" i="12"/>
  <c r="P31" i="12"/>
  <c r="P187" i="12" s="1"/>
  <c r="O31" i="12"/>
  <c r="O265" i="12" s="1"/>
  <c r="N31" i="12"/>
  <c r="M31" i="12"/>
  <c r="L31" i="12"/>
  <c r="K31" i="12"/>
  <c r="J31" i="12"/>
  <c r="I31" i="12"/>
  <c r="H31" i="12"/>
  <c r="H187" i="12" s="1"/>
  <c r="G31" i="12"/>
  <c r="F31" i="12"/>
  <c r="F265" i="12" s="1"/>
  <c r="E31" i="12"/>
  <c r="D31" i="12"/>
  <c r="D109" i="12" s="1"/>
  <c r="V30" i="12"/>
  <c r="U30" i="12"/>
  <c r="U108" i="12" s="1"/>
  <c r="T30" i="12"/>
  <c r="S30" i="12"/>
  <c r="R30" i="12"/>
  <c r="Q30" i="12"/>
  <c r="Q264" i="12" s="1"/>
  <c r="P30" i="12"/>
  <c r="O30" i="12"/>
  <c r="N30" i="12"/>
  <c r="M30" i="12"/>
  <c r="M264" i="12" s="1"/>
  <c r="L30" i="12"/>
  <c r="L186" i="12" s="1"/>
  <c r="K30" i="12"/>
  <c r="K186" i="12" s="1"/>
  <c r="J30" i="12"/>
  <c r="J186" i="12" s="1"/>
  <c r="I30" i="12"/>
  <c r="I264" i="12" s="1"/>
  <c r="H30" i="12"/>
  <c r="H108" i="12" s="1"/>
  <c r="G30" i="12"/>
  <c r="F30" i="12"/>
  <c r="F264" i="12" s="1"/>
  <c r="E30" i="12"/>
  <c r="E108" i="12" s="1"/>
  <c r="D30" i="12"/>
  <c r="V29" i="12"/>
  <c r="V185" i="12" s="1"/>
  <c r="U29" i="12"/>
  <c r="U263" i="12" s="1"/>
  <c r="T29" i="12"/>
  <c r="S29" i="12"/>
  <c r="R29" i="12"/>
  <c r="R107" i="12" s="1"/>
  <c r="Q29" i="12"/>
  <c r="Q263" i="12" s="1"/>
  <c r="P29" i="12"/>
  <c r="O29" i="12"/>
  <c r="N29" i="12"/>
  <c r="N185" i="12" s="1"/>
  <c r="M29" i="12"/>
  <c r="M263" i="12" s="1"/>
  <c r="L29" i="12"/>
  <c r="L263" i="12" s="1"/>
  <c r="K29" i="12"/>
  <c r="K107" i="12" s="1"/>
  <c r="J29" i="12"/>
  <c r="I29" i="12"/>
  <c r="I107" i="12" s="1"/>
  <c r="H29" i="12"/>
  <c r="H107" i="12" s="1"/>
  <c r="G29" i="12"/>
  <c r="G263" i="12" s="1"/>
  <c r="F29" i="12"/>
  <c r="E29" i="12"/>
  <c r="E263" i="12" s="1"/>
  <c r="D29" i="12"/>
  <c r="V28" i="12"/>
  <c r="U28" i="12"/>
  <c r="U106" i="12" s="1"/>
  <c r="T28" i="12"/>
  <c r="S28" i="12"/>
  <c r="S262" i="12" s="1"/>
  <c r="R28" i="12"/>
  <c r="Q28" i="12"/>
  <c r="Q184" i="12" s="1"/>
  <c r="P28" i="12"/>
  <c r="P184" i="12" s="1"/>
  <c r="O28" i="12"/>
  <c r="O262" i="12" s="1"/>
  <c r="N28" i="12"/>
  <c r="M28" i="12"/>
  <c r="M106" i="12" s="1"/>
  <c r="L28" i="12"/>
  <c r="L106" i="12" s="1"/>
  <c r="K28" i="12"/>
  <c r="K184" i="12" s="1"/>
  <c r="J28" i="12"/>
  <c r="I28" i="12"/>
  <c r="I184" i="12" s="1"/>
  <c r="H28" i="12"/>
  <c r="G28" i="12"/>
  <c r="G262" i="12" s="1"/>
  <c r="F28" i="12"/>
  <c r="E28" i="12"/>
  <c r="D28" i="12"/>
  <c r="V27" i="12"/>
  <c r="V261" i="12" s="1"/>
  <c r="U27" i="12"/>
  <c r="T27" i="12"/>
  <c r="T183" i="12" s="1"/>
  <c r="S27" i="12"/>
  <c r="R27" i="12"/>
  <c r="R261" i="12" s="1"/>
  <c r="Q27" i="12"/>
  <c r="P27" i="12"/>
  <c r="O27" i="12"/>
  <c r="N27" i="12"/>
  <c r="N105" i="12" s="1"/>
  <c r="M27" i="12"/>
  <c r="M183" i="12" s="1"/>
  <c r="L27" i="12"/>
  <c r="L183" i="12" s="1"/>
  <c r="K27" i="12"/>
  <c r="J27" i="12"/>
  <c r="I27" i="12"/>
  <c r="H27" i="12"/>
  <c r="G27" i="12"/>
  <c r="F27" i="12"/>
  <c r="F261" i="12" s="1"/>
  <c r="E27" i="12"/>
  <c r="E183" i="12" s="1"/>
  <c r="D27" i="12"/>
  <c r="D183" i="12" s="1"/>
  <c r="V26" i="12"/>
  <c r="V260" i="12" s="1"/>
  <c r="U26" i="12"/>
  <c r="U260" i="12" s="1"/>
  <c r="T26" i="12"/>
  <c r="T104" i="12" s="1"/>
  <c r="S26" i="12"/>
  <c r="R26" i="12"/>
  <c r="R260" i="12" s="1"/>
  <c r="Q26" i="12"/>
  <c r="Q104" i="12" s="1"/>
  <c r="P26" i="12"/>
  <c r="P260" i="12" s="1"/>
  <c r="O26" i="12"/>
  <c r="O182" i="12" s="1"/>
  <c r="N26" i="12"/>
  <c r="N260" i="12" s="1"/>
  <c r="M26" i="12"/>
  <c r="L26" i="12"/>
  <c r="K26" i="12"/>
  <c r="K104" i="12" s="1"/>
  <c r="J26" i="12"/>
  <c r="I26" i="12"/>
  <c r="I182" i="12" s="1"/>
  <c r="H26" i="12"/>
  <c r="G26" i="12"/>
  <c r="G182" i="12" s="1"/>
  <c r="F26" i="12"/>
  <c r="E26" i="12"/>
  <c r="E260" i="12" s="1"/>
  <c r="D26" i="12"/>
  <c r="D104" i="12" s="1"/>
  <c r="V24" i="12"/>
  <c r="V258" i="12" s="1"/>
  <c r="U24" i="12"/>
  <c r="T24" i="12"/>
  <c r="T180" i="12" s="1"/>
  <c r="S24" i="12"/>
  <c r="S258" i="12" s="1"/>
  <c r="R24" i="12"/>
  <c r="Q24" i="12"/>
  <c r="P24" i="12"/>
  <c r="O24" i="12"/>
  <c r="O258" i="12" s="1"/>
  <c r="N24" i="12"/>
  <c r="M24" i="12"/>
  <c r="L24" i="12"/>
  <c r="L180" i="12" s="1"/>
  <c r="K24" i="12"/>
  <c r="J24" i="12"/>
  <c r="J180" i="12" s="1"/>
  <c r="I24" i="12"/>
  <c r="H24" i="12"/>
  <c r="G24" i="12"/>
  <c r="G258" i="12" s="1"/>
  <c r="F24" i="12"/>
  <c r="F258" i="12" s="1"/>
  <c r="E24" i="12"/>
  <c r="E102" i="12" s="1"/>
  <c r="D24" i="12"/>
  <c r="V23" i="12"/>
  <c r="U23" i="12"/>
  <c r="T23" i="12"/>
  <c r="S23" i="12"/>
  <c r="S257" i="12" s="1"/>
  <c r="R23" i="12"/>
  <c r="Q23" i="12"/>
  <c r="Q257" i="12" s="1"/>
  <c r="P23" i="12"/>
  <c r="O23" i="12"/>
  <c r="O257" i="12" s="1"/>
  <c r="N23" i="12"/>
  <c r="M23" i="12"/>
  <c r="M179" i="12" s="1"/>
  <c r="L23" i="12"/>
  <c r="K23" i="12"/>
  <c r="J23" i="12"/>
  <c r="I23" i="12"/>
  <c r="I257" i="12" s="1"/>
  <c r="H23" i="12"/>
  <c r="G23" i="12"/>
  <c r="G179" i="12" s="1"/>
  <c r="F23" i="12"/>
  <c r="E23" i="12"/>
  <c r="D23" i="12"/>
  <c r="V22" i="12"/>
  <c r="U22" i="12"/>
  <c r="U178" i="12" s="1"/>
  <c r="T22" i="12"/>
  <c r="S22" i="12"/>
  <c r="R22" i="12"/>
  <c r="Q22" i="12"/>
  <c r="P22" i="12"/>
  <c r="P178" i="12" s="1"/>
  <c r="O22" i="12"/>
  <c r="N22" i="12"/>
  <c r="N256" i="12" s="1"/>
  <c r="M22" i="12"/>
  <c r="L22" i="12"/>
  <c r="K22" i="12"/>
  <c r="K100" i="12" s="1"/>
  <c r="J22" i="12"/>
  <c r="I22" i="12"/>
  <c r="I256" i="12" s="1"/>
  <c r="H22" i="12"/>
  <c r="G22" i="12"/>
  <c r="F22" i="12"/>
  <c r="F256" i="12" s="1"/>
  <c r="E22" i="12"/>
  <c r="E256" i="12" s="1"/>
  <c r="D22" i="12"/>
  <c r="V21" i="12"/>
  <c r="U21" i="12"/>
  <c r="U255" i="12" s="1"/>
  <c r="T21" i="12"/>
  <c r="S21" i="12"/>
  <c r="S177" i="12" s="1"/>
  <c r="R21" i="12"/>
  <c r="Q21" i="12"/>
  <c r="P21" i="12"/>
  <c r="P255" i="12" s="1"/>
  <c r="O21" i="12"/>
  <c r="O255" i="12" s="1"/>
  <c r="N21" i="12"/>
  <c r="N177" i="12" s="1"/>
  <c r="M21" i="12"/>
  <c r="M177" i="12" s="1"/>
  <c r="L21" i="12"/>
  <c r="K21" i="12"/>
  <c r="J21" i="12"/>
  <c r="J177" i="12" s="1"/>
  <c r="I21" i="12"/>
  <c r="H21" i="12"/>
  <c r="G21" i="12"/>
  <c r="G255" i="12" s="1"/>
  <c r="F21" i="12"/>
  <c r="E21" i="12"/>
  <c r="E177" i="12" s="1"/>
  <c r="D21" i="12"/>
  <c r="V20" i="12"/>
  <c r="V176" i="12" s="1"/>
  <c r="U20" i="12"/>
  <c r="T20" i="12"/>
  <c r="T254" i="12" s="1"/>
  <c r="S20" i="12"/>
  <c r="R20" i="12"/>
  <c r="R254" i="12" s="1"/>
  <c r="Q20" i="12"/>
  <c r="Q98" i="12" s="1"/>
  <c r="P20" i="12"/>
  <c r="O20" i="12"/>
  <c r="N20" i="12"/>
  <c r="M20" i="12"/>
  <c r="L20" i="12"/>
  <c r="L254" i="12" s="1"/>
  <c r="K20" i="12"/>
  <c r="J20" i="12"/>
  <c r="I20" i="12"/>
  <c r="H20" i="12"/>
  <c r="H254" i="12" s="1"/>
  <c r="G20" i="12"/>
  <c r="F20" i="12"/>
  <c r="F176" i="12" s="1"/>
  <c r="E20" i="12"/>
  <c r="D20" i="12"/>
  <c r="V19" i="12"/>
  <c r="V253" i="12" s="1"/>
  <c r="U19" i="12"/>
  <c r="T19" i="12"/>
  <c r="T97" i="12" s="1"/>
  <c r="S19" i="12"/>
  <c r="S175" i="12" s="1"/>
  <c r="R19" i="12"/>
  <c r="Q19" i="12"/>
  <c r="P19" i="12"/>
  <c r="O19" i="12"/>
  <c r="N19" i="12"/>
  <c r="N253" i="12" s="1"/>
  <c r="M19" i="12"/>
  <c r="M253" i="12" s="1"/>
  <c r="L19" i="12"/>
  <c r="K19" i="12"/>
  <c r="K175" i="12" s="1"/>
  <c r="J19" i="12"/>
  <c r="I19" i="12"/>
  <c r="I97" i="12" s="1"/>
  <c r="H19" i="12"/>
  <c r="G19" i="12"/>
  <c r="G253" i="12" s="1"/>
  <c r="F19" i="12"/>
  <c r="F253" i="12" s="1"/>
  <c r="E19" i="12"/>
  <c r="E253" i="12" s="1"/>
  <c r="D19" i="12"/>
  <c r="V18" i="12"/>
  <c r="U18" i="12"/>
  <c r="T18" i="12"/>
  <c r="S18" i="12"/>
  <c r="R18" i="12"/>
  <c r="Q18" i="12"/>
  <c r="P18" i="12"/>
  <c r="O18" i="12"/>
  <c r="N18" i="12"/>
  <c r="M18" i="12"/>
  <c r="L18" i="12"/>
  <c r="L96" i="12" s="1"/>
  <c r="K18" i="12"/>
  <c r="J18" i="12"/>
  <c r="I18" i="12"/>
  <c r="H18" i="12"/>
  <c r="G18" i="12"/>
  <c r="G96" i="12" s="1"/>
  <c r="F18" i="12"/>
  <c r="F174" i="12" s="1"/>
  <c r="E18" i="12"/>
  <c r="D18" i="12"/>
  <c r="V17" i="12"/>
  <c r="V173" i="12" s="1"/>
  <c r="U17" i="12"/>
  <c r="U251" i="12" s="1"/>
  <c r="T17" i="12"/>
  <c r="T251" i="12" s="1"/>
  <c r="S17" i="12"/>
  <c r="R17" i="12"/>
  <c r="Q17" i="12"/>
  <c r="Q251" i="12" s="1"/>
  <c r="P17" i="12"/>
  <c r="O17" i="12"/>
  <c r="N17" i="12"/>
  <c r="M17" i="12"/>
  <c r="L17" i="12"/>
  <c r="K17" i="12"/>
  <c r="K251" i="12" s="1"/>
  <c r="J17" i="12"/>
  <c r="J95" i="12" s="1"/>
  <c r="I17" i="12"/>
  <c r="I173" i="12" s="1"/>
  <c r="H17" i="12"/>
  <c r="G17" i="12"/>
  <c r="F17" i="12"/>
  <c r="E17" i="12"/>
  <c r="D17" i="12"/>
  <c r="D251" i="12" s="1"/>
  <c r="V16" i="12"/>
  <c r="U16" i="12"/>
  <c r="U250" i="12" s="1"/>
  <c r="T16" i="12"/>
  <c r="T250" i="12" s="1"/>
  <c r="S16" i="12"/>
  <c r="R16" i="12"/>
  <c r="R94" i="12" s="1"/>
  <c r="Q16" i="12"/>
  <c r="P16" i="12"/>
  <c r="O16" i="12"/>
  <c r="O250" i="12" s="1"/>
  <c r="N16" i="12"/>
  <c r="M16" i="12"/>
  <c r="M172" i="12" s="1"/>
  <c r="L16" i="12"/>
  <c r="L172" i="12" s="1"/>
  <c r="K16" i="12"/>
  <c r="J16" i="12"/>
  <c r="I16" i="12"/>
  <c r="I172" i="12" s="1"/>
  <c r="H16" i="12"/>
  <c r="G16" i="12"/>
  <c r="F16" i="12"/>
  <c r="E16" i="12"/>
  <c r="D16" i="12"/>
  <c r="D172" i="12" s="1"/>
  <c r="V15" i="12"/>
  <c r="U15" i="12"/>
  <c r="U93" i="12" s="1"/>
  <c r="T15" i="12"/>
  <c r="S15" i="12"/>
  <c r="R15" i="12"/>
  <c r="Q15" i="12"/>
  <c r="P15" i="12"/>
  <c r="P93" i="12" s="1"/>
  <c r="O15" i="12"/>
  <c r="O171" i="12" s="1"/>
  <c r="N15" i="12"/>
  <c r="M15" i="12"/>
  <c r="L15" i="12"/>
  <c r="L171" i="12" s="1"/>
  <c r="K15" i="12"/>
  <c r="K249" i="12" s="1"/>
  <c r="J15" i="12"/>
  <c r="J249" i="12" s="1"/>
  <c r="I15" i="12"/>
  <c r="H15" i="12"/>
  <c r="G15" i="12"/>
  <c r="G249" i="12" s="1"/>
  <c r="F15" i="12"/>
  <c r="E15" i="12"/>
  <c r="E171" i="12" s="1"/>
  <c r="D15" i="12"/>
  <c r="V14" i="12"/>
  <c r="V248" i="12" s="1"/>
  <c r="U14" i="12"/>
  <c r="U248" i="12" s="1"/>
  <c r="T14" i="12"/>
  <c r="T248" i="12" s="1"/>
  <c r="S14" i="12"/>
  <c r="R14" i="12"/>
  <c r="R170" i="12" s="1"/>
  <c r="Q14" i="12"/>
  <c r="P14" i="12"/>
  <c r="O14" i="12"/>
  <c r="N14" i="12"/>
  <c r="M14" i="12"/>
  <c r="M248" i="12" s="1"/>
  <c r="L14" i="12"/>
  <c r="K14" i="12"/>
  <c r="K248" i="12" s="1"/>
  <c r="J14" i="12"/>
  <c r="J170" i="12" s="1"/>
  <c r="I14" i="12"/>
  <c r="H14" i="12"/>
  <c r="G14" i="12"/>
  <c r="F14" i="12"/>
  <c r="E14" i="12"/>
  <c r="E42" i="12" s="1"/>
  <c r="D14" i="12"/>
  <c r="V13" i="12"/>
  <c r="V169" i="12" s="1"/>
  <c r="U13" i="12"/>
  <c r="U169" i="12" s="1"/>
  <c r="T13" i="12"/>
  <c r="T247" i="12" s="1"/>
  <c r="S13" i="12"/>
  <c r="R13" i="12"/>
  <c r="Q13" i="12"/>
  <c r="Q247" i="12" s="1"/>
  <c r="P13" i="12"/>
  <c r="O13" i="12"/>
  <c r="N13" i="12"/>
  <c r="M13" i="12"/>
  <c r="M169" i="12" s="1"/>
  <c r="L13" i="12"/>
  <c r="K13" i="12"/>
  <c r="K91" i="12" s="1"/>
  <c r="J13" i="12"/>
  <c r="I13" i="12"/>
  <c r="H13" i="12"/>
  <c r="G13" i="12"/>
  <c r="F13" i="12"/>
  <c r="E13" i="12"/>
  <c r="D13" i="12"/>
  <c r="C297" i="11"/>
  <c r="E295" i="11"/>
  <c r="D295" i="11"/>
  <c r="H294" i="11"/>
  <c r="D294" i="11"/>
  <c r="H293" i="11"/>
  <c r="D293" i="11"/>
  <c r="H292" i="11"/>
  <c r="D290" i="11"/>
  <c r="E288" i="11"/>
  <c r="G287" i="11"/>
  <c r="E287" i="11"/>
  <c r="E284" i="11"/>
  <c r="G283" i="11"/>
  <c r="E282" i="11"/>
  <c r="K279" i="11"/>
  <c r="J279" i="11"/>
  <c r="G279" i="11"/>
  <c r="G278" i="11"/>
  <c r="K277" i="11"/>
  <c r="H277" i="11"/>
  <c r="G277" i="11"/>
  <c r="D277" i="11"/>
  <c r="K275" i="11"/>
  <c r="D275" i="11"/>
  <c r="H273" i="11"/>
  <c r="D273" i="11"/>
  <c r="H272" i="11"/>
  <c r="K271" i="11"/>
  <c r="D271" i="11"/>
  <c r="H270" i="11"/>
  <c r="D270" i="11"/>
  <c r="K269" i="11"/>
  <c r="H269" i="11"/>
  <c r="H268" i="11"/>
  <c r="D268" i="11"/>
  <c r="K267" i="11"/>
  <c r="H267" i="11"/>
  <c r="D267" i="11"/>
  <c r="D266" i="11"/>
  <c r="D265" i="11"/>
  <c r="C255" i="11"/>
  <c r="K254" i="11"/>
  <c r="K253" i="11"/>
  <c r="J253" i="11"/>
  <c r="J295" i="11" s="1"/>
  <c r="I253" i="11"/>
  <c r="H253" i="11"/>
  <c r="G253" i="11"/>
  <c r="F253" i="11"/>
  <c r="E253" i="11"/>
  <c r="D253" i="11"/>
  <c r="K252" i="11"/>
  <c r="J252" i="11"/>
  <c r="I252" i="11"/>
  <c r="I294" i="11" s="1"/>
  <c r="H252" i="11"/>
  <c r="G252" i="11"/>
  <c r="F252" i="11"/>
  <c r="F294" i="11" s="1"/>
  <c r="E252" i="11"/>
  <c r="D252" i="11"/>
  <c r="K251" i="11"/>
  <c r="J251" i="11"/>
  <c r="J293" i="11" s="1"/>
  <c r="I251" i="11"/>
  <c r="H251" i="11"/>
  <c r="G251" i="11"/>
  <c r="F251" i="11"/>
  <c r="E251" i="11"/>
  <c r="E293" i="11" s="1"/>
  <c r="D251" i="11"/>
  <c r="K250" i="11"/>
  <c r="J250" i="11"/>
  <c r="I250" i="11"/>
  <c r="I292" i="11" s="1"/>
  <c r="H250" i="11"/>
  <c r="G250" i="11"/>
  <c r="F250" i="11"/>
  <c r="F292" i="11" s="1"/>
  <c r="E250" i="11"/>
  <c r="D250" i="11"/>
  <c r="D292" i="11" s="1"/>
  <c r="K249" i="11"/>
  <c r="J249" i="11"/>
  <c r="J291" i="11" s="1"/>
  <c r="I249" i="11"/>
  <c r="H249" i="11"/>
  <c r="G249" i="11"/>
  <c r="F249" i="11"/>
  <c r="E249" i="11"/>
  <c r="E291" i="11" s="1"/>
  <c r="D249" i="11"/>
  <c r="K248" i="11"/>
  <c r="J248" i="11"/>
  <c r="I248" i="11"/>
  <c r="I290" i="11" s="1"/>
  <c r="H248" i="11"/>
  <c r="H290" i="11" s="1"/>
  <c r="G248" i="11"/>
  <c r="F248" i="11"/>
  <c r="F290" i="11" s="1"/>
  <c r="E248" i="11"/>
  <c r="D248" i="11"/>
  <c r="K247" i="11"/>
  <c r="J247" i="11"/>
  <c r="J289" i="11" s="1"/>
  <c r="I247" i="11"/>
  <c r="H247" i="11"/>
  <c r="G247" i="11"/>
  <c r="F247" i="11"/>
  <c r="E247" i="11"/>
  <c r="D247" i="11"/>
  <c r="K246" i="11"/>
  <c r="J246" i="11"/>
  <c r="I246" i="11"/>
  <c r="I288" i="11" s="1"/>
  <c r="H246" i="11"/>
  <c r="H288" i="11" s="1"/>
  <c r="G246" i="11"/>
  <c r="F246" i="11"/>
  <c r="F288" i="11" s="1"/>
  <c r="E246" i="11"/>
  <c r="D246" i="11"/>
  <c r="D288" i="11" s="1"/>
  <c r="K245" i="11"/>
  <c r="J245" i="11"/>
  <c r="J287" i="11" s="1"/>
  <c r="I245" i="11"/>
  <c r="H245" i="11"/>
  <c r="G245" i="11"/>
  <c r="F245" i="11"/>
  <c r="E245" i="11"/>
  <c r="D245" i="11"/>
  <c r="K244" i="11"/>
  <c r="J244" i="11"/>
  <c r="I244" i="11"/>
  <c r="I286" i="11" s="1"/>
  <c r="H244" i="11"/>
  <c r="H286" i="11" s="1"/>
  <c r="G244" i="11"/>
  <c r="F244" i="11"/>
  <c r="F286" i="11" s="1"/>
  <c r="E244" i="11"/>
  <c r="E286" i="11" s="1"/>
  <c r="D244" i="11"/>
  <c r="D286" i="11" s="1"/>
  <c r="K243" i="11"/>
  <c r="J243" i="11"/>
  <c r="J285" i="11" s="1"/>
  <c r="I243" i="11"/>
  <c r="H243" i="11"/>
  <c r="G243" i="11"/>
  <c r="F243" i="11"/>
  <c r="E243" i="11"/>
  <c r="D243" i="11"/>
  <c r="K242" i="11"/>
  <c r="J242" i="11"/>
  <c r="I242" i="11"/>
  <c r="I284" i="11" s="1"/>
  <c r="H242" i="11"/>
  <c r="H284" i="11" s="1"/>
  <c r="G242" i="11"/>
  <c r="F242" i="11"/>
  <c r="F284" i="11" s="1"/>
  <c r="E242" i="11"/>
  <c r="D242" i="11"/>
  <c r="D284" i="11" s="1"/>
  <c r="K241" i="11"/>
  <c r="J241" i="11"/>
  <c r="J283" i="11" s="1"/>
  <c r="I241" i="11"/>
  <c r="H241" i="11"/>
  <c r="G241" i="11"/>
  <c r="F241" i="11"/>
  <c r="E241" i="11"/>
  <c r="E283" i="11" s="1"/>
  <c r="D241" i="11"/>
  <c r="K240" i="11"/>
  <c r="J240" i="11"/>
  <c r="I240" i="11"/>
  <c r="I282" i="11" s="1"/>
  <c r="H240" i="11"/>
  <c r="H282" i="11" s="1"/>
  <c r="G240" i="11"/>
  <c r="F240" i="11"/>
  <c r="F282" i="11" s="1"/>
  <c r="E240" i="11"/>
  <c r="D240" i="11"/>
  <c r="D282" i="11" s="1"/>
  <c r="K239" i="11"/>
  <c r="J239" i="11"/>
  <c r="J281" i="11" s="1"/>
  <c r="I239" i="11"/>
  <c r="H239" i="11"/>
  <c r="G239" i="11"/>
  <c r="F239" i="11"/>
  <c r="E239" i="11"/>
  <c r="E281" i="11" s="1"/>
  <c r="D239" i="11"/>
  <c r="K238" i="11"/>
  <c r="J238" i="11"/>
  <c r="I238" i="11"/>
  <c r="I280" i="11" s="1"/>
  <c r="H238" i="11"/>
  <c r="H280" i="11" s="1"/>
  <c r="G238" i="11"/>
  <c r="F238" i="11"/>
  <c r="F280" i="11" s="1"/>
  <c r="E238" i="11"/>
  <c r="E280" i="11" s="1"/>
  <c r="D238" i="11"/>
  <c r="D280" i="11" s="1"/>
  <c r="K237" i="11"/>
  <c r="J237" i="11"/>
  <c r="I237" i="11"/>
  <c r="H237" i="11"/>
  <c r="H279" i="11" s="1"/>
  <c r="G237" i="11"/>
  <c r="F237" i="11"/>
  <c r="E237" i="11"/>
  <c r="E279" i="11" s="1"/>
  <c r="D237" i="11"/>
  <c r="K236" i="11"/>
  <c r="J236" i="11"/>
  <c r="I236" i="11"/>
  <c r="I278" i="11" s="1"/>
  <c r="H236" i="11"/>
  <c r="H278" i="11" s="1"/>
  <c r="G236" i="11"/>
  <c r="F236" i="11"/>
  <c r="F278" i="11" s="1"/>
  <c r="E236" i="11"/>
  <c r="E278" i="11" s="1"/>
  <c r="D236" i="11"/>
  <c r="D278" i="11" s="1"/>
  <c r="K235" i="11"/>
  <c r="J235" i="11"/>
  <c r="J277" i="11" s="1"/>
  <c r="I235" i="11"/>
  <c r="H235" i="11"/>
  <c r="G235" i="11"/>
  <c r="F235" i="11"/>
  <c r="F277" i="11" s="1"/>
  <c r="E235" i="11"/>
  <c r="E277" i="11" s="1"/>
  <c r="D235" i="11"/>
  <c r="K234" i="11"/>
  <c r="J234" i="11"/>
  <c r="I234" i="11"/>
  <c r="I276" i="11" s="1"/>
  <c r="H234" i="11"/>
  <c r="H276" i="11" s="1"/>
  <c r="G234" i="11"/>
  <c r="F234" i="11"/>
  <c r="F276" i="11" s="1"/>
  <c r="E234" i="11"/>
  <c r="E276" i="11" s="1"/>
  <c r="D234" i="11"/>
  <c r="D276" i="11" s="1"/>
  <c r="K233" i="11"/>
  <c r="J233" i="11"/>
  <c r="J275" i="11" s="1"/>
  <c r="I233" i="11"/>
  <c r="H233" i="11"/>
  <c r="G233" i="11"/>
  <c r="F233" i="11"/>
  <c r="E233" i="11"/>
  <c r="E275" i="11" s="1"/>
  <c r="D233" i="11"/>
  <c r="K232" i="11"/>
  <c r="J232" i="11"/>
  <c r="I232" i="11"/>
  <c r="I274" i="11" s="1"/>
  <c r="H232" i="11"/>
  <c r="H274" i="11" s="1"/>
  <c r="G232" i="11"/>
  <c r="F232" i="11"/>
  <c r="F274" i="11" s="1"/>
  <c r="E232" i="11"/>
  <c r="E274" i="11" s="1"/>
  <c r="D232" i="11"/>
  <c r="K231" i="11"/>
  <c r="J231" i="11"/>
  <c r="J273" i="11" s="1"/>
  <c r="I231" i="11"/>
  <c r="H231" i="11"/>
  <c r="G231" i="11"/>
  <c r="F231" i="11"/>
  <c r="E231" i="11"/>
  <c r="E273" i="11" s="1"/>
  <c r="D231" i="11"/>
  <c r="K230" i="11"/>
  <c r="J230" i="11"/>
  <c r="I230" i="11"/>
  <c r="I272" i="11" s="1"/>
  <c r="H230" i="11"/>
  <c r="G230" i="11"/>
  <c r="F230" i="11"/>
  <c r="F272" i="11" s="1"/>
  <c r="E230" i="11"/>
  <c r="E272" i="11" s="1"/>
  <c r="D230" i="11"/>
  <c r="D272" i="11" s="1"/>
  <c r="K229" i="11"/>
  <c r="J229" i="11"/>
  <c r="J271" i="11" s="1"/>
  <c r="I229" i="11"/>
  <c r="H229" i="11"/>
  <c r="H271" i="11" s="1"/>
  <c r="G229" i="11"/>
  <c r="F229" i="11"/>
  <c r="E229" i="11"/>
  <c r="E271" i="11" s="1"/>
  <c r="D229" i="11"/>
  <c r="K228" i="11"/>
  <c r="J228" i="11"/>
  <c r="I228" i="11"/>
  <c r="I270" i="11" s="1"/>
  <c r="H228" i="11"/>
  <c r="G228" i="11"/>
  <c r="F228" i="11"/>
  <c r="F270" i="11" s="1"/>
  <c r="E228" i="11"/>
  <c r="E270" i="11" s="1"/>
  <c r="D228" i="11"/>
  <c r="K227" i="11"/>
  <c r="J227" i="11"/>
  <c r="J269" i="11" s="1"/>
  <c r="I227" i="11"/>
  <c r="H227" i="11"/>
  <c r="G227" i="11"/>
  <c r="F227" i="11"/>
  <c r="E227" i="11"/>
  <c r="E269" i="11" s="1"/>
  <c r="D227" i="11"/>
  <c r="D269" i="11" s="1"/>
  <c r="K226" i="11"/>
  <c r="J226" i="11"/>
  <c r="I226" i="11"/>
  <c r="I268" i="11" s="1"/>
  <c r="H226" i="11"/>
  <c r="G226" i="11"/>
  <c r="F226" i="11"/>
  <c r="F268" i="11" s="1"/>
  <c r="E226" i="11"/>
  <c r="E268" i="11" s="1"/>
  <c r="D226" i="11"/>
  <c r="K225" i="11"/>
  <c r="J225" i="11"/>
  <c r="J267" i="11" s="1"/>
  <c r="I225" i="11"/>
  <c r="H225" i="11"/>
  <c r="G225" i="11"/>
  <c r="F225" i="11"/>
  <c r="E225" i="11"/>
  <c r="E267" i="11" s="1"/>
  <c r="D225" i="11"/>
  <c r="K224" i="11"/>
  <c r="J224" i="11"/>
  <c r="I224" i="11"/>
  <c r="I266" i="11" s="1"/>
  <c r="H224" i="11"/>
  <c r="H266" i="11" s="1"/>
  <c r="G224" i="11"/>
  <c r="G254" i="11" s="1"/>
  <c r="F224" i="11"/>
  <c r="F266" i="11" s="1"/>
  <c r="E224" i="11"/>
  <c r="E266" i="11" s="1"/>
  <c r="D224" i="11"/>
  <c r="D254" i="11" s="1"/>
  <c r="K223" i="11"/>
  <c r="J223" i="11"/>
  <c r="I223" i="11"/>
  <c r="I254" i="11" s="1"/>
  <c r="H223" i="11"/>
  <c r="G223" i="11"/>
  <c r="F223" i="11"/>
  <c r="E223" i="11"/>
  <c r="D223" i="11"/>
  <c r="C214" i="11"/>
  <c r="H211" i="11"/>
  <c r="E211" i="11"/>
  <c r="G210" i="11"/>
  <c r="D210" i="11"/>
  <c r="F209" i="11"/>
  <c r="F208" i="11"/>
  <c r="E208" i="11"/>
  <c r="D206" i="11"/>
  <c r="H205" i="11"/>
  <c r="D204" i="11"/>
  <c r="I203" i="11"/>
  <c r="H201" i="11"/>
  <c r="D200" i="11"/>
  <c r="I199" i="11"/>
  <c r="H199" i="11"/>
  <c r="F199" i="11"/>
  <c r="E199" i="11"/>
  <c r="J196" i="11"/>
  <c r="H195" i="11"/>
  <c r="E195" i="11"/>
  <c r="D195" i="11"/>
  <c r="E194" i="11"/>
  <c r="D194" i="11"/>
  <c r="D193" i="11"/>
  <c r="I192" i="11"/>
  <c r="G192" i="11"/>
  <c r="D192" i="11"/>
  <c r="F191" i="11"/>
  <c r="E189" i="11"/>
  <c r="D187" i="11"/>
  <c r="E186" i="11"/>
  <c r="D186" i="11"/>
  <c r="I185" i="11"/>
  <c r="D184" i="11"/>
  <c r="H183" i="11"/>
  <c r="J182" i="11"/>
  <c r="C172" i="11"/>
  <c r="K170" i="11"/>
  <c r="K212" i="11" s="1"/>
  <c r="J170" i="11"/>
  <c r="J212" i="11" s="1"/>
  <c r="I170" i="11"/>
  <c r="H170" i="11"/>
  <c r="G170" i="11"/>
  <c r="G212" i="11" s="1"/>
  <c r="F170" i="11"/>
  <c r="E170" i="11"/>
  <c r="E212" i="11" s="1"/>
  <c r="D170" i="11"/>
  <c r="K169" i="11"/>
  <c r="J169" i="11"/>
  <c r="I169" i="11"/>
  <c r="H169" i="11"/>
  <c r="G169" i="11"/>
  <c r="G211" i="11" s="1"/>
  <c r="F169" i="11"/>
  <c r="F211" i="11" s="1"/>
  <c r="E169" i="11"/>
  <c r="D169" i="11"/>
  <c r="D211" i="11" s="1"/>
  <c r="K168" i="11"/>
  <c r="K210" i="11" s="1"/>
  <c r="J168" i="11"/>
  <c r="J210" i="11" s="1"/>
  <c r="I168" i="11"/>
  <c r="H168" i="11"/>
  <c r="G168" i="11"/>
  <c r="F168" i="11"/>
  <c r="E168" i="11"/>
  <c r="E210" i="11" s="1"/>
  <c r="D168" i="11"/>
  <c r="K167" i="11"/>
  <c r="J167" i="11"/>
  <c r="I167" i="11"/>
  <c r="H167" i="11"/>
  <c r="H209" i="11" s="1"/>
  <c r="G167" i="11"/>
  <c r="G209" i="11" s="1"/>
  <c r="F167" i="11"/>
  <c r="E167" i="11"/>
  <c r="E209" i="11" s="1"/>
  <c r="D167" i="11"/>
  <c r="D209" i="11" s="1"/>
  <c r="K166" i="11"/>
  <c r="K208" i="11" s="1"/>
  <c r="J166" i="11"/>
  <c r="J208" i="11" s="1"/>
  <c r="I166" i="11"/>
  <c r="H166" i="11"/>
  <c r="G166" i="11"/>
  <c r="G208" i="11" s="1"/>
  <c r="F166" i="11"/>
  <c r="E166" i="11"/>
  <c r="D166" i="11"/>
  <c r="K165" i="11"/>
  <c r="J165" i="11"/>
  <c r="I165" i="11"/>
  <c r="H165" i="11"/>
  <c r="H207" i="11" s="1"/>
  <c r="G165" i="11"/>
  <c r="G207" i="11" s="1"/>
  <c r="F165" i="11"/>
  <c r="F207" i="11" s="1"/>
  <c r="E165" i="11"/>
  <c r="E207" i="11" s="1"/>
  <c r="D165" i="11"/>
  <c r="D207" i="11" s="1"/>
  <c r="K164" i="11"/>
  <c r="K206" i="11" s="1"/>
  <c r="J164" i="11"/>
  <c r="J206" i="11" s="1"/>
  <c r="I164" i="11"/>
  <c r="H164" i="11"/>
  <c r="G164" i="11"/>
  <c r="G206" i="11" s="1"/>
  <c r="F164" i="11"/>
  <c r="E164" i="11"/>
  <c r="E206" i="11" s="1"/>
  <c r="D164" i="11"/>
  <c r="K163" i="11"/>
  <c r="J163" i="11"/>
  <c r="I163" i="11"/>
  <c r="H163" i="11"/>
  <c r="G163" i="11"/>
  <c r="G205" i="11" s="1"/>
  <c r="F163" i="11"/>
  <c r="F205" i="11" s="1"/>
  <c r="E163" i="11"/>
  <c r="E205" i="11" s="1"/>
  <c r="D163" i="11"/>
  <c r="D205" i="11" s="1"/>
  <c r="K162" i="11"/>
  <c r="K204" i="11" s="1"/>
  <c r="J162" i="11"/>
  <c r="J204" i="11" s="1"/>
  <c r="I162" i="11"/>
  <c r="H162" i="11"/>
  <c r="G162" i="11"/>
  <c r="G204" i="11" s="1"/>
  <c r="F162" i="11"/>
  <c r="E162" i="11"/>
  <c r="D162" i="11"/>
  <c r="K161" i="11"/>
  <c r="J161" i="11"/>
  <c r="I161" i="11"/>
  <c r="H161" i="11"/>
  <c r="H203" i="11" s="1"/>
  <c r="G161" i="11"/>
  <c r="G203" i="11" s="1"/>
  <c r="F161" i="11"/>
  <c r="F203" i="11" s="1"/>
  <c r="E161" i="11"/>
  <c r="E203" i="11" s="1"/>
  <c r="D161" i="11"/>
  <c r="D203" i="11" s="1"/>
  <c r="K160" i="11"/>
  <c r="K202" i="11" s="1"/>
  <c r="J160" i="11"/>
  <c r="J202" i="11" s="1"/>
  <c r="I160" i="11"/>
  <c r="H160" i="11"/>
  <c r="G160" i="11"/>
  <c r="G202" i="11" s="1"/>
  <c r="F160" i="11"/>
  <c r="E160" i="11"/>
  <c r="E202" i="11" s="1"/>
  <c r="D160" i="11"/>
  <c r="K159" i="11"/>
  <c r="J159" i="11"/>
  <c r="I159" i="11"/>
  <c r="H159" i="11"/>
  <c r="G159" i="11"/>
  <c r="F159" i="11"/>
  <c r="F201" i="11" s="1"/>
  <c r="E159" i="11"/>
  <c r="E201" i="11" s="1"/>
  <c r="D159" i="11"/>
  <c r="D201" i="11" s="1"/>
  <c r="K158" i="11"/>
  <c r="K200" i="11" s="1"/>
  <c r="J158" i="11"/>
  <c r="J200" i="11" s="1"/>
  <c r="I158" i="11"/>
  <c r="H158" i="11"/>
  <c r="G158" i="11"/>
  <c r="G200" i="11" s="1"/>
  <c r="F158" i="11"/>
  <c r="E158" i="11"/>
  <c r="E200" i="11" s="1"/>
  <c r="D158" i="11"/>
  <c r="K157" i="11"/>
  <c r="J157" i="11"/>
  <c r="I157" i="11"/>
  <c r="H157" i="11"/>
  <c r="G157" i="11"/>
  <c r="G199" i="11" s="1"/>
  <c r="F157" i="11"/>
  <c r="E157" i="11"/>
  <c r="D157" i="11"/>
  <c r="D199" i="11" s="1"/>
  <c r="K156" i="11"/>
  <c r="K198" i="11" s="1"/>
  <c r="J156" i="11"/>
  <c r="J198" i="11" s="1"/>
  <c r="I156" i="11"/>
  <c r="H156" i="11"/>
  <c r="G156" i="11"/>
  <c r="G198" i="11" s="1"/>
  <c r="F156" i="11"/>
  <c r="E156" i="11"/>
  <c r="D156" i="11"/>
  <c r="K155" i="11"/>
  <c r="J155" i="11"/>
  <c r="I155" i="11"/>
  <c r="H155" i="11"/>
  <c r="H197" i="11" s="1"/>
  <c r="G155" i="11"/>
  <c r="F155" i="11"/>
  <c r="F197" i="11" s="1"/>
  <c r="E155" i="11"/>
  <c r="E197" i="11" s="1"/>
  <c r="D155" i="11"/>
  <c r="D197" i="11" s="1"/>
  <c r="K154" i="11"/>
  <c r="K196" i="11" s="1"/>
  <c r="J154" i="11"/>
  <c r="I154" i="11"/>
  <c r="H154" i="11"/>
  <c r="G154" i="11"/>
  <c r="G196" i="11" s="1"/>
  <c r="F154" i="11"/>
  <c r="E154" i="11"/>
  <c r="D154" i="11"/>
  <c r="K153" i="11"/>
  <c r="J153" i="11"/>
  <c r="I153" i="11"/>
  <c r="H153" i="11"/>
  <c r="G153" i="11"/>
  <c r="G195" i="11" s="1"/>
  <c r="F153" i="11"/>
  <c r="F195" i="11" s="1"/>
  <c r="E153" i="11"/>
  <c r="D153" i="11"/>
  <c r="K152" i="11"/>
  <c r="K194" i="11" s="1"/>
  <c r="J152" i="11"/>
  <c r="J194" i="11" s="1"/>
  <c r="I152" i="11"/>
  <c r="H152" i="11"/>
  <c r="G152" i="11"/>
  <c r="G194" i="11" s="1"/>
  <c r="F152" i="11"/>
  <c r="F194" i="11" s="1"/>
  <c r="E152" i="11"/>
  <c r="D152" i="11"/>
  <c r="K151" i="11"/>
  <c r="J151" i="11"/>
  <c r="I151" i="11"/>
  <c r="H151" i="11"/>
  <c r="H193" i="11" s="1"/>
  <c r="G151" i="11"/>
  <c r="F151" i="11"/>
  <c r="F193" i="11" s="1"/>
  <c r="E151" i="11"/>
  <c r="E193" i="11" s="1"/>
  <c r="D151" i="11"/>
  <c r="K150" i="11"/>
  <c r="K192" i="11" s="1"/>
  <c r="J150" i="11"/>
  <c r="J192" i="11" s="1"/>
  <c r="I150" i="11"/>
  <c r="H150" i="11"/>
  <c r="G150" i="11"/>
  <c r="F150" i="11"/>
  <c r="E150" i="11"/>
  <c r="D150" i="11"/>
  <c r="K149" i="11"/>
  <c r="J149" i="11"/>
  <c r="I149" i="11"/>
  <c r="H149" i="11"/>
  <c r="H191" i="11" s="1"/>
  <c r="G149" i="11"/>
  <c r="G191" i="11" s="1"/>
  <c r="F149" i="11"/>
  <c r="E149" i="11"/>
  <c r="E191" i="11" s="1"/>
  <c r="D149" i="11"/>
  <c r="D191" i="11" s="1"/>
  <c r="K148" i="11"/>
  <c r="K190" i="11" s="1"/>
  <c r="J148" i="11"/>
  <c r="J190" i="11" s="1"/>
  <c r="I148" i="11"/>
  <c r="H148" i="11"/>
  <c r="G148" i="11"/>
  <c r="G190" i="11" s="1"/>
  <c r="F148" i="11"/>
  <c r="E148" i="11"/>
  <c r="D148" i="11"/>
  <c r="K147" i="11"/>
  <c r="J147" i="11"/>
  <c r="I147" i="11"/>
  <c r="H147" i="11"/>
  <c r="H189" i="11" s="1"/>
  <c r="G147" i="11"/>
  <c r="G189" i="11" s="1"/>
  <c r="F147" i="11"/>
  <c r="F189" i="11" s="1"/>
  <c r="E147" i="11"/>
  <c r="D147" i="11"/>
  <c r="D189" i="11" s="1"/>
  <c r="K146" i="11"/>
  <c r="K188" i="11" s="1"/>
  <c r="J146" i="11"/>
  <c r="J188" i="11" s="1"/>
  <c r="I146" i="11"/>
  <c r="H146" i="11"/>
  <c r="G146" i="11"/>
  <c r="G188" i="11" s="1"/>
  <c r="F146" i="11"/>
  <c r="E146" i="11"/>
  <c r="D146" i="11"/>
  <c r="K145" i="11"/>
  <c r="J145" i="11"/>
  <c r="I145" i="11"/>
  <c r="H145" i="11"/>
  <c r="H187" i="11" s="1"/>
  <c r="G145" i="11"/>
  <c r="G187" i="11" s="1"/>
  <c r="F145" i="11"/>
  <c r="F187" i="11" s="1"/>
  <c r="E145" i="11"/>
  <c r="E187" i="11" s="1"/>
  <c r="D145" i="11"/>
  <c r="K144" i="11"/>
  <c r="K186" i="11" s="1"/>
  <c r="J144" i="11"/>
  <c r="J186" i="11" s="1"/>
  <c r="I144" i="11"/>
  <c r="H144" i="11"/>
  <c r="G144" i="11"/>
  <c r="G186" i="11" s="1"/>
  <c r="F144" i="11"/>
  <c r="E144" i="11"/>
  <c r="D144" i="11"/>
  <c r="K143" i="11"/>
  <c r="J143" i="11"/>
  <c r="I143" i="11"/>
  <c r="H143" i="11"/>
  <c r="H185" i="11" s="1"/>
  <c r="G143" i="11"/>
  <c r="G185" i="11" s="1"/>
  <c r="F143" i="11"/>
  <c r="F185" i="11" s="1"/>
  <c r="E143" i="11"/>
  <c r="E185" i="11" s="1"/>
  <c r="D143" i="11"/>
  <c r="D185" i="11" s="1"/>
  <c r="K142" i="11"/>
  <c r="K184" i="11" s="1"/>
  <c r="J142" i="11"/>
  <c r="J184" i="11" s="1"/>
  <c r="I142" i="11"/>
  <c r="H142" i="11"/>
  <c r="G142" i="11"/>
  <c r="G184" i="11" s="1"/>
  <c r="F142" i="11"/>
  <c r="E142" i="11"/>
  <c r="D142" i="11"/>
  <c r="K141" i="11"/>
  <c r="J141" i="11"/>
  <c r="I141" i="11"/>
  <c r="H141" i="11"/>
  <c r="H171" i="11" s="1"/>
  <c r="G141" i="11"/>
  <c r="G183" i="11" s="1"/>
  <c r="F141" i="11"/>
  <c r="F183" i="11" s="1"/>
  <c r="E141" i="11"/>
  <c r="E183" i="11" s="1"/>
  <c r="D141" i="11"/>
  <c r="D183" i="11" s="1"/>
  <c r="K140" i="11"/>
  <c r="J140" i="11"/>
  <c r="J171" i="11" s="1"/>
  <c r="I140" i="11"/>
  <c r="I171" i="11" s="1"/>
  <c r="H140" i="11"/>
  <c r="G140" i="11"/>
  <c r="F140" i="11"/>
  <c r="E140" i="11"/>
  <c r="D140" i="11"/>
  <c r="C130" i="11"/>
  <c r="K128" i="11"/>
  <c r="J128" i="11"/>
  <c r="G128" i="11"/>
  <c r="G125" i="11"/>
  <c r="D125" i="11"/>
  <c r="K124" i="11"/>
  <c r="I124" i="11"/>
  <c r="H124" i="11"/>
  <c r="E124" i="11"/>
  <c r="F123" i="11"/>
  <c r="K122" i="11"/>
  <c r="H122" i="11"/>
  <c r="G122" i="11"/>
  <c r="D122" i="11"/>
  <c r="E121" i="11"/>
  <c r="K120" i="11"/>
  <c r="G120" i="11"/>
  <c r="K119" i="11"/>
  <c r="D119" i="11"/>
  <c r="K118" i="11"/>
  <c r="H118" i="11"/>
  <c r="E118" i="11"/>
  <c r="I117" i="11"/>
  <c r="K116" i="11"/>
  <c r="H116" i="11"/>
  <c r="G116" i="11"/>
  <c r="E116" i="11"/>
  <c r="D116" i="11"/>
  <c r="G114" i="11"/>
  <c r="D114" i="11"/>
  <c r="G113" i="11"/>
  <c r="I111" i="11"/>
  <c r="F111" i="11"/>
  <c r="H110" i="11"/>
  <c r="G110" i="11"/>
  <c r="E110" i="11"/>
  <c r="D110" i="11"/>
  <c r="I109" i="11"/>
  <c r="K108" i="11"/>
  <c r="G108" i="11"/>
  <c r="D108" i="11"/>
  <c r="I107" i="11"/>
  <c r="K106" i="11"/>
  <c r="G106" i="11"/>
  <c r="D106" i="11"/>
  <c r="I105" i="11"/>
  <c r="K104" i="11"/>
  <c r="G104" i="11"/>
  <c r="D104" i="11"/>
  <c r="I103" i="11"/>
  <c r="K102" i="11"/>
  <c r="G102" i="11"/>
  <c r="D102" i="11"/>
  <c r="I101" i="11"/>
  <c r="K100" i="11"/>
  <c r="G100" i="11"/>
  <c r="D100" i="11"/>
  <c r="I99" i="11"/>
  <c r="E99" i="11"/>
  <c r="K98" i="11"/>
  <c r="G98" i="11"/>
  <c r="D98" i="11"/>
  <c r="C89" i="11"/>
  <c r="E88" i="11"/>
  <c r="K87" i="11"/>
  <c r="J87" i="11"/>
  <c r="I87" i="11"/>
  <c r="H87" i="11"/>
  <c r="H128" i="11" s="1"/>
  <c r="G87" i="11"/>
  <c r="F87" i="11"/>
  <c r="F128" i="11" s="1"/>
  <c r="E87" i="11"/>
  <c r="D87" i="11"/>
  <c r="D128" i="11" s="1"/>
  <c r="K86" i="11"/>
  <c r="J86" i="11"/>
  <c r="I86" i="11"/>
  <c r="I127" i="11" s="1"/>
  <c r="H86" i="11"/>
  <c r="H127" i="11" s="1"/>
  <c r="G86" i="11"/>
  <c r="G127" i="11" s="1"/>
  <c r="F86" i="11"/>
  <c r="F127" i="11" s="1"/>
  <c r="E86" i="11"/>
  <c r="E127" i="11" s="1"/>
  <c r="D86" i="11"/>
  <c r="D127" i="11" s="1"/>
  <c r="K85" i="11"/>
  <c r="K126" i="11" s="1"/>
  <c r="J85" i="11"/>
  <c r="J126" i="11" s="1"/>
  <c r="I85" i="11"/>
  <c r="I126" i="11" s="1"/>
  <c r="H85" i="11"/>
  <c r="H126" i="11" s="1"/>
  <c r="G85" i="11"/>
  <c r="G126" i="11" s="1"/>
  <c r="F85" i="11"/>
  <c r="F126" i="11" s="1"/>
  <c r="E85" i="11"/>
  <c r="E126" i="11" s="1"/>
  <c r="D85" i="11"/>
  <c r="D126" i="11" s="1"/>
  <c r="K84" i="11"/>
  <c r="J84" i="11"/>
  <c r="I84" i="11"/>
  <c r="I125" i="11" s="1"/>
  <c r="H84" i="11"/>
  <c r="H125" i="11" s="1"/>
  <c r="G84" i="11"/>
  <c r="F84" i="11"/>
  <c r="F125" i="11" s="1"/>
  <c r="E84" i="11"/>
  <c r="E125" i="11" s="1"/>
  <c r="D84" i="11"/>
  <c r="K83" i="11"/>
  <c r="J83" i="11"/>
  <c r="J124" i="11" s="1"/>
  <c r="I83" i="11"/>
  <c r="H83" i="11"/>
  <c r="G83" i="11"/>
  <c r="F83" i="11"/>
  <c r="F124" i="11" s="1"/>
  <c r="E83" i="11"/>
  <c r="D83" i="11"/>
  <c r="D124" i="11" s="1"/>
  <c r="K82" i="11"/>
  <c r="J82" i="11"/>
  <c r="I82" i="11"/>
  <c r="I123" i="11" s="1"/>
  <c r="H82" i="11"/>
  <c r="H123" i="11" s="1"/>
  <c r="G82" i="11"/>
  <c r="G123" i="11" s="1"/>
  <c r="F82" i="11"/>
  <c r="E82" i="11"/>
  <c r="E123" i="11" s="1"/>
  <c r="D82" i="11"/>
  <c r="D123" i="11" s="1"/>
  <c r="K81" i="11"/>
  <c r="J81" i="11"/>
  <c r="J122" i="11" s="1"/>
  <c r="I81" i="11"/>
  <c r="H81" i="11"/>
  <c r="G81" i="11"/>
  <c r="F81" i="11"/>
  <c r="F122" i="11" s="1"/>
  <c r="E81" i="11"/>
  <c r="E122" i="11" s="1"/>
  <c r="D81" i="11"/>
  <c r="K80" i="11"/>
  <c r="J80" i="11"/>
  <c r="I80" i="11"/>
  <c r="H80" i="11"/>
  <c r="H121" i="11" s="1"/>
  <c r="G80" i="11"/>
  <c r="G121" i="11" s="1"/>
  <c r="F80" i="11"/>
  <c r="F121" i="11" s="1"/>
  <c r="E80" i="11"/>
  <c r="D80" i="11"/>
  <c r="D121" i="11" s="1"/>
  <c r="K79" i="11"/>
  <c r="J79" i="11"/>
  <c r="J120" i="11" s="1"/>
  <c r="I79" i="11"/>
  <c r="H79" i="11"/>
  <c r="H120" i="11" s="1"/>
  <c r="G79" i="11"/>
  <c r="F79" i="11"/>
  <c r="F120" i="11" s="1"/>
  <c r="E79" i="11"/>
  <c r="D79" i="11"/>
  <c r="D120" i="11" s="1"/>
  <c r="K78" i="11"/>
  <c r="J78" i="11"/>
  <c r="I78" i="11"/>
  <c r="I119" i="11" s="1"/>
  <c r="H78" i="11"/>
  <c r="H119" i="11" s="1"/>
  <c r="G78" i="11"/>
  <c r="G119" i="11" s="1"/>
  <c r="F78" i="11"/>
  <c r="F119" i="11" s="1"/>
  <c r="E78" i="11"/>
  <c r="E119" i="11" s="1"/>
  <c r="D78" i="11"/>
  <c r="K77" i="11"/>
  <c r="J77" i="11"/>
  <c r="J118" i="11" s="1"/>
  <c r="I77" i="11"/>
  <c r="H77" i="11"/>
  <c r="G77" i="11"/>
  <c r="F77" i="11"/>
  <c r="F118" i="11" s="1"/>
  <c r="E77" i="11"/>
  <c r="D77" i="11"/>
  <c r="D118" i="11" s="1"/>
  <c r="K76" i="11"/>
  <c r="J76" i="11"/>
  <c r="I76" i="11"/>
  <c r="H76" i="11"/>
  <c r="H117" i="11" s="1"/>
  <c r="G76" i="11"/>
  <c r="G117" i="11" s="1"/>
  <c r="F76" i="11"/>
  <c r="F117" i="11" s="1"/>
  <c r="E76" i="11"/>
  <c r="E117" i="11" s="1"/>
  <c r="D76" i="11"/>
  <c r="D117" i="11" s="1"/>
  <c r="K75" i="11"/>
  <c r="J75" i="11"/>
  <c r="J116" i="11" s="1"/>
  <c r="I75" i="11"/>
  <c r="H75" i="11"/>
  <c r="G75" i="11"/>
  <c r="F75" i="11"/>
  <c r="F116" i="11" s="1"/>
  <c r="E75" i="11"/>
  <c r="D75" i="11"/>
  <c r="K74" i="11"/>
  <c r="J74" i="11"/>
  <c r="I74" i="11"/>
  <c r="I115" i="11" s="1"/>
  <c r="H74" i="11"/>
  <c r="H115" i="11" s="1"/>
  <c r="G74" i="11"/>
  <c r="G115" i="11" s="1"/>
  <c r="F74" i="11"/>
  <c r="F115" i="11" s="1"/>
  <c r="E74" i="11"/>
  <c r="E115" i="11" s="1"/>
  <c r="D74" i="11"/>
  <c r="D115" i="11" s="1"/>
  <c r="K73" i="11"/>
  <c r="K114" i="11" s="1"/>
  <c r="J73" i="11"/>
  <c r="J114" i="11" s="1"/>
  <c r="I73" i="11"/>
  <c r="H73" i="11"/>
  <c r="H114" i="11" s="1"/>
  <c r="G73" i="11"/>
  <c r="F73" i="11"/>
  <c r="F114" i="11" s="1"/>
  <c r="E73" i="11"/>
  <c r="E114" i="11" s="1"/>
  <c r="D73" i="11"/>
  <c r="K72" i="11"/>
  <c r="J72" i="11"/>
  <c r="I72" i="11"/>
  <c r="H72" i="11"/>
  <c r="H113" i="11" s="1"/>
  <c r="G72" i="11"/>
  <c r="F72" i="11"/>
  <c r="F113" i="11" s="1"/>
  <c r="E72" i="11"/>
  <c r="E113" i="11" s="1"/>
  <c r="D72" i="11"/>
  <c r="D113" i="11" s="1"/>
  <c r="K71" i="11"/>
  <c r="K112" i="11" s="1"/>
  <c r="J71" i="11"/>
  <c r="J112" i="11" s="1"/>
  <c r="I71" i="11"/>
  <c r="I112" i="11" s="1"/>
  <c r="H71" i="11"/>
  <c r="H112" i="11" s="1"/>
  <c r="G71" i="11"/>
  <c r="F71" i="11"/>
  <c r="F112" i="11" s="1"/>
  <c r="E71" i="11"/>
  <c r="D71" i="11"/>
  <c r="D112" i="11" s="1"/>
  <c r="K70" i="11"/>
  <c r="J70" i="11"/>
  <c r="I70" i="11"/>
  <c r="H70" i="11"/>
  <c r="H111" i="11" s="1"/>
  <c r="G70" i="11"/>
  <c r="G111" i="11" s="1"/>
  <c r="F70" i="11"/>
  <c r="E70" i="11"/>
  <c r="E111" i="11" s="1"/>
  <c r="D70" i="11"/>
  <c r="D111" i="11" s="1"/>
  <c r="K69" i="11"/>
  <c r="K110" i="11" s="1"/>
  <c r="J69" i="11"/>
  <c r="J110" i="11" s="1"/>
  <c r="I69" i="11"/>
  <c r="H69" i="11"/>
  <c r="G69" i="11"/>
  <c r="F69" i="11"/>
  <c r="F110" i="11" s="1"/>
  <c r="E69" i="11"/>
  <c r="D69" i="11"/>
  <c r="K68" i="11"/>
  <c r="J68" i="11"/>
  <c r="I68" i="11"/>
  <c r="H68" i="11"/>
  <c r="H109" i="11" s="1"/>
  <c r="G68" i="11"/>
  <c r="G109" i="11" s="1"/>
  <c r="F68" i="11"/>
  <c r="F109" i="11" s="1"/>
  <c r="E68" i="11"/>
  <c r="E109" i="11" s="1"/>
  <c r="D68" i="11"/>
  <c r="D109" i="11" s="1"/>
  <c r="K67" i="11"/>
  <c r="J67" i="11"/>
  <c r="J108" i="11" s="1"/>
  <c r="I67" i="11"/>
  <c r="H67" i="11"/>
  <c r="H108" i="11" s="1"/>
  <c r="G67" i="11"/>
  <c r="F67" i="11"/>
  <c r="F108" i="11" s="1"/>
  <c r="E67" i="11"/>
  <c r="D67" i="11"/>
  <c r="K66" i="11"/>
  <c r="J66" i="11"/>
  <c r="I66" i="11"/>
  <c r="H66" i="11"/>
  <c r="H107" i="11" s="1"/>
  <c r="G66" i="11"/>
  <c r="G107" i="11" s="1"/>
  <c r="F66" i="11"/>
  <c r="F107" i="11" s="1"/>
  <c r="E66" i="11"/>
  <c r="E107" i="11" s="1"/>
  <c r="D66" i="11"/>
  <c r="D107" i="11" s="1"/>
  <c r="K65" i="11"/>
  <c r="J65" i="11"/>
  <c r="J106" i="11" s="1"/>
  <c r="I65" i="11"/>
  <c r="H65" i="11"/>
  <c r="H106" i="11" s="1"/>
  <c r="G65" i="11"/>
  <c r="F65" i="11"/>
  <c r="F106" i="11" s="1"/>
  <c r="E65" i="11"/>
  <c r="D65" i="11"/>
  <c r="K64" i="11"/>
  <c r="J64" i="11"/>
  <c r="I64" i="11"/>
  <c r="H64" i="11"/>
  <c r="H105" i="11" s="1"/>
  <c r="G64" i="11"/>
  <c r="G105" i="11" s="1"/>
  <c r="F64" i="11"/>
  <c r="F105" i="11" s="1"/>
  <c r="E64" i="11"/>
  <c r="E105" i="11" s="1"/>
  <c r="D64" i="11"/>
  <c r="D105" i="11" s="1"/>
  <c r="K63" i="11"/>
  <c r="J63" i="11"/>
  <c r="J104" i="11" s="1"/>
  <c r="I63" i="11"/>
  <c r="H63" i="11"/>
  <c r="H104" i="11" s="1"/>
  <c r="G63" i="11"/>
  <c r="F63" i="11"/>
  <c r="F104" i="11" s="1"/>
  <c r="E63" i="11"/>
  <c r="D63" i="11"/>
  <c r="K62" i="11"/>
  <c r="J62" i="11"/>
  <c r="I62" i="11"/>
  <c r="H62" i="11"/>
  <c r="H103" i="11" s="1"/>
  <c r="G62" i="11"/>
  <c r="G103" i="11" s="1"/>
  <c r="F62" i="11"/>
  <c r="F103" i="11" s="1"/>
  <c r="E62" i="11"/>
  <c r="E103" i="11" s="1"/>
  <c r="D62" i="11"/>
  <c r="D103" i="11" s="1"/>
  <c r="K61" i="11"/>
  <c r="J61" i="11"/>
  <c r="J102" i="11" s="1"/>
  <c r="I61" i="11"/>
  <c r="H61" i="11"/>
  <c r="H102" i="11" s="1"/>
  <c r="G61" i="11"/>
  <c r="F61" i="11"/>
  <c r="F102" i="11" s="1"/>
  <c r="E61" i="11"/>
  <c r="D61" i="11"/>
  <c r="K60" i="11"/>
  <c r="J60" i="11"/>
  <c r="I60" i="11"/>
  <c r="H60" i="11"/>
  <c r="H101" i="11" s="1"/>
  <c r="G60" i="11"/>
  <c r="G101" i="11" s="1"/>
  <c r="F60" i="11"/>
  <c r="F101" i="11" s="1"/>
  <c r="E60" i="11"/>
  <c r="E101" i="11" s="1"/>
  <c r="D60" i="11"/>
  <c r="D101" i="11" s="1"/>
  <c r="K59" i="11"/>
  <c r="J59" i="11"/>
  <c r="J100" i="11" s="1"/>
  <c r="I59" i="11"/>
  <c r="H59" i="11"/>
  <c r="H100" i="11" s="1"/>
  <c r="G59" i="11"/>
  <c r="F59" i="11"/>
  <c r="F100" i="11" s="1"/>
  <c r="E59" i="11"/>
  <c r="D59" i="11"/>
  <c r="K58" i="11"/>
  <c r="J58" i="11"/>
  <c r="I58" i="11"/>
  <c r="H58" i="11"/>
  <c r="H88" i="11" s="1"/>
  <c r="H129" i="11" s="1"/>
  <c r="G58" i="11"/>
  <c r="G99" i="11" s="1"/>
  <c r="F58" i="11"/>
  <c r="F99" i="11" s="1"/>
  <c r="E58" i="11"/>
  <c r="D58" i="11"/>
  <c r="D99" i="11" s="1"/>
  <c r="K57" i="11"/>
  <c r="K88" i="11" s="1"/>
  <c r="J57" i="11"/>
  <c r="I57" i="11"/>
  <c r="H57" i="11"/>
  <c r="H98" i="11" s="1"/>
  <c r="G57" i="11"/>
  <c r="F57" i="11"/>
  <c r="E57" i="11"/>
  <c r="D57" i="11"/>
  <c r="C47" i="11"/>
  <c r="K46" i="11"/>
  <c r="K45" i="11"/>
  <c r="K295" i="11" s="1"/>
  <c r="J45" i="11"/>
  <c r="I45" i="11"/>
  <c r="I295" i="11" s="1"/>
  <c r="H45" i="11"/>
  <c r="H295" i="11" s="1"/>
  <c r="G45" i="11"/>
  <c r="G295" i="11" s="1"/>
  <c r="F45" i="11"/>
  <c r="F212" i="11" s="1"/>
  <c r="E45" i="11"/>
  <c r="E128" i="11" s="1"/>
  <c r="D45" i="11"/>
  <c r="D212" i="11" s="1"/>
  <c r="K44" i="11"/>
  <c r="J44" i="11"/>
  <c r="I44" i="11"/>
  <c r="I211" i="11" s="1"/>
  <c r="H44" i="11"/>
  <c r="G44" i="11"/>
  <c r="G294" i="11" s="1"/>
  <c r="F44" i="11"/>
  <c r="E44" i="11"/>
  <c r="D44" i="11"/>
  <c r="K43" i="11"/>
  <c r="K293" i="11" s="1"/>
  <c r="J43" i="11"/>
  <c r="I43" i="11"/>
  <c r="I210" i="11" s="1"/>
  <c r="H43" i="11"/>
  <c r="G43" i="11"/>
  <c r="G293" i="11" s="1"/>
  <c r="F43" i="11"/>
  <c r="F210" i="11" s="1"/>
  <c r="E43" i="11"/>
  <c r="D43" i="11"/>
  <c r="K42" i="11"/>
  <c r="J42" i="11"/>
  <c r="J209" i="11" s="1"/>
  <c r="I42" i="11"/>
  <c r="I209" i="11" s="1"/>
  <c r="H42" i="11"/>
  <c r="G42" i="11"/>
  <c r="G292" i="11" s="1"/>
  <c r="F42" i="11"/>
  <c r="E42" i="11"/>
  <c r="D42" i="11"/>
  <c r="K41" i="11"/>
  <c r="K291" i="11" s="1"/>
  <c r="J41" i="11"/>
  <c r="I41" i="11"/>
  <c r="I208" i="11" s="1"/>
  <c r="H41" i="11"/>
  <c r="H291" i="11" s="1"/>
  <c r="G41" i="11"/>
  <c r="G124" i="11" s="1"/>
  <c r="F41" i="11"/>
  <c r="E41" i="11"/>
  <c r="D41" i="11"/>
  <c r="D208" i="11" s="1"/>
  <c r="K40" i="11"/>
  <c r="J40" i="11"/>
  <c r="J207" i="11" s="1"/>
  <c r="I40" i="11"/>
  <c r="I207" i="11" s="1"/>
  <c r="H40" i="11"/>
  <c r="G40" i="11"/>
  <c r="G290" i="11" s="1"/>
  <c r="F40" i="11"/>
  <c r="E40" i="11"/>
  <c r="D40" i="11"/>
  <c r="K39" i="11"/>
  <c r="K289" i="11" s="1"/>
  <c r="J39" i="11"/>
  <c r="I39" i="11"/>
  <c r="I289" i="11" s="1"/>
  <c r="H39" i="11"/>
  <c r="H289" i="11" s="1"/>
  <c r="G39" i="11"/>
  <c r="G289" i="11" s="1"/>
  <c r="F39" i="11"/>
  <c r="F206" i="11" s="1"/>
  <c r="E39" i="11"/>
  <c r="E289" i="11" s="1"/>
  <c r="D39" i="11"/>
  <c r="D289" i="11" s="1"/>
  <c r="K38" i="11"/>
  <c r="K205" i="11" s="1"/>
  <c r="J38" i="11"/>
  <c r="I38" i="11"/>
  <c r="I205" i="11" s="1"/>
  <c r="H38" i="11"/>
  <c r="G38" i="11"/>
  <c r="F38" i="11"/>
  <c r="E38" i="11"/>
  <c r="D38" i="11"/>
  <c r="K37" i="11"/>
  <c r="K287" i="11" s="1"/>
  <c r="J37" i="11"/>
  <c r="I37" i="11"/>
  <c r="I287" i="11" s="1"/>
  <c r="H37" i="11"/>
  <c r="H287" i="11" s="1"/>
  <c r="G37" i="11"/>
  <c r="F37" i="11"/>
  <c r="F204" i="11" s="1"/>
  <c r="E37" i="11"/>
  <c r="E120" i="11" s="1"/>
  <c r="D37" i="11"/>
  <c r="D287" i="11" s="1"/>
  <c r="K36" i="11"/>
  <c r="J36" i="11"/>
  <c r="J203" i="11" s="1"/>
  <c r="I36" i="11"/>
  <c r="H36" i="11"/>
  <c r="G36" i="11"/>
  <c r="G286" i="11" s="1"/>
  <c r="F36" i="11"/>
  <c r="E36" i="11"/>
  <c r="D36" i="11"/>
  <c r="K35" i="11"/>
  <c r="K285" i="11" s="1"/>
  <c r="J35" i="11"/>
  <c r="I35" i="11"/>
  <c r="H35" i="11"/>
  <c r="H285" i="11" s="1"/>
  <c r="G35" i="11"/>
  <c r="G285" i="11" s="1"/>
  <c r="F35" i="11"/>
  <c r="F202" i="11" s="1"/>
  <c r="E35" i="11"/>
  <c r="E285" i="11" s="1"/>
  <c r="D35" i="11"/>
  <c r="D202" i="11" s="1"/>
  <c r="K34" i="11"/>
  <c r="J34" i="11"/>
  <c r="J201" i="11" s="1"/>
  <c r="I34" i="11"/>
  <c r="I201" i="11" s="1"/>
  <c r="H34" i="11"/>
  <c r="G34" i="11"/>
  <c r="G201" i="11" s="1"/>
  <c r="F34" i="11"/>
  <c r="E34" i="11"/>
  <c r="D34" i="11"/>
  <c r="K33" i="11"/>
  <c r="K283" i="11" s="1"/>
  <c r="J33" i="11"/>
  <c r="I33" i="11"/>
  <c r="H33" i="11"/>
  <c r="H283" i="11" s="1"/>
  <c r="G33" i="11"/>
  <c r="F33" i="11"/>
  <c r="E33" i="11"/>
  <c r="D33" i="11"/>
  <c r="D283" i="11" s="1"/>
  <c r="K32" i="11"/>
  <c r="J32" i="11"/>
  <c r="I32" i="11"/>
  <c r="H32" i="11"/>
  <c r="G32" i="11"/>
  <c r="G282" i="11" s="1"/>
  <c r="F32" i="11"/>
  <c r="E32" i="11"/>
  <c r="D32" i="11"/>
  <c r="K31" i="11"/>
  <c r="K281" i="11" s="1"/>
  <c r="J31" i="11"/>
  <c r="I31" i="11"/>
  <c r="I198" i="11" s="1"/>
  <c r="H31" i="11"/>
  <c r="H281" i="11" s="1"/>
  <c r="G31" i="11"/>
  <c r="G281" i="11" s="1"/>
  <c r="F31" i="11"/>
  <c r="F198" i="11" s="1"/>
  <c r="E31" i="11"/>
  <c r="D31" i="11"/>
  <c r="D198" i="11" s="1"/>
  <c r="K30" i="11"/>
  <c r="K113" i="11" s="1"/>
  <c r="J30" i="11"/>
  <c r="J197" i="11" s="1"/>
  <c r="I30" i="11"/>
  <c r="I113" i="11" s="1"/>
  <c r="H30" i="11"/>
  <c r="G30" i="11"/>
  <c r="F30" i="11"/>
  <c r="E30" i="11"/>
  <c r="D30" i="11"/>
  <c r="K29" i="11"/>
  <c r="J29" i="11"/>
  <c r="I29" i="11"/>
  <c r="H29" i="11"/>
  <c r="G29" i="11"/>
  <c r="G112" i="11" s="1"/>
  <c r="F29" i="11"/>
  <c r="F196" i="11" s="1"/>
  <c r="E29" i="11"/>
  <c r="E112" i="11" s="1"/>
  <c r="D29" i="11"/>
  <c r="D279" i="11" s="1"/>
  <c r="K28" i="11"/>
  <c r="K111" i="11" s="1"/>
  <c r="J28" i="11"/>
  <c r="I28" i="11"/>
  <c r="I195" i="11" s="1"/>
  <c r="H28" i="11"/>
  <c r="G28" i="11"/>
  <c r="F28" i="11"/>
  <c r="E28" i="11"/>
  <c r="D28" i="11"/>
  <c r="K27" i="11"/>
  <c r="J27" i="11"/>
  <c r="I27" i="11"/>
  <c r="I194" i="11" s="1"/>
  <c r="H27" i="11"/>
  <c r="G27" i="11"/>
  <c r="F27" i="11"/>
  <c r="E27" i="11"/>
  <c r="D27" i="11"/>
  <c r="K26" i="11"/>
  <c r="J26" i="11"/>
  <c r="I26" i="11"/>
  <c r="I193" i="11" s="1"/>
  <c r="H26" i="11"/>
  <c r="G26" i="11"/>
  <c r="G193" i="11" s="1"/>
  <c r="F26" i="11"/>
  <c r="E26" i="11"/>
  <c r="D26" i="11"/>
  <c r="K25" i="11"/>
  <c r="J25" i="11"/>
  <c r="I25" i="11"/>
  <c r="H25" i="11"/>
  <c r="H275" i="11" s="1"/>
  <c r="G25" i="11"/>
  <c r="G275" i="11" s="1"/>
  <c r="F25" i="11"/>
  <c r="E25" i="11"/>
  <c r="E108" i="11" s="1"/>
  <c r="D25" i="11"/>
  <c r="K24" i="11"/>
  <c r="J24" i="11"/>
  <c r="I24" i="11"/>
  <c r="I191" i="11" s="1"/>
  <c r="H24" i="11"/>
  <c r="G24" i="11"/>
  <c r="G274" i="11" s="1"/>
  <c r="F24" i="11"/>
  <c r="E24" i="11"/>
  <c r="D24" i="11"/>
  <c r="D274" i="11" s="1"/>
  <c r="K23" i="11"/>
  <c r="K273" i="11" s="1"/>
  <c r="J23" i="11"/>
  <c r="I23" i="11"/>
  <c r="H23" i="11"/>
  <c r="G23" i="11"/>
  <c r="G273" i="11" s="1"/>
  <c r="F23" i="11"/>
  <c r="F190" i="11" s="1"/>
  <c r="E23" i="11"/>
  <c r="E106" i="11" s="1"/>
  <c r="D23" i="11"/>
  <c r="D190" i="11" s="1"/>
  <c r="K22" i="11"/>
  <c r="J22" i="11"/>
  <c r="J105" i="11" s="1"/>
  <c r="I22" i="11"/>
  <c r="I189" i="11" s="1"/>
  <c r="H22" i="11"/>
  <c r="G22" i="11"/>
  <c r="G272" i="11" s="1"/>
  <c r="F22" i="11"/>
  <c r="E22" i="11"/>
  <c r="D22" i="11"/>
  <c r="K21" i="11"/>
  <c r="J21" i="11"/>
  <c r="I21" i="11"/>
  <c r="I188" i="11" s="1"/>
  <c r="H21" i="11"/>
  <c r="G21" i="11"/>
  <c r="G271" i="11" s="1"/>
  <c r="F21" i="11"/>
  <c r="F188" i="11" s="1"/>
  <c r="E21" i="11"/>
  <c r="E104" i="11" s="1"/>
  <c r="D21" i="11"/>
  <c r="D188" i="11" s="1"/>
  <c r="K20" i="11"/>
  <c r="J20" i="11"/>
  <c r="I20" i="11"/>
  <c r="I187" i="11" s="1"/>
  <c r="H20" i="11"/>
  <c r="G20" i="11"/>
  <c r="G270" i="11" s="1"/>
  <c r="F20" i="11"/>
  <c r="E20" i="11"/>
  <c r="D20" i="11"/>
  <c r="K19" i="11"/>
  <c r="J19" i="11"/>
  <c r="I19" i="11"/>
  <c r="I186" i="11" s="1"/>
  <c r="H19" i="11"/>
  <c r="G19" i="11"/>
  <c r="G269" i="11" s="1"/>
  <c r="F19" i="11"/>
  <c r="E19" i="11"/>
  <c r="E102" i="11" s="1"/>
  <c r="D19" i="11"/>
  <c r="K18" i="11"/>
  <c r="J18" i="11"/>
  <c r="J101" i="11" s="1"/>
  <c r="I18" i="11"/>
  <c r="H18" i="11"/>
  <c r="G18" i="11"/>
  <c r="F18" i="11"/>
  <c r="E18" i="11"/>
  <c r="D18" i="11"/>
  <c r="K17" i="11"/>
  <c r="J17" i="11"/>
  <c r="I17" i="11"/>
  <c r="I267" i="11" s="1"/>
  <c r="H17" i="11"/>
  <c r="G17" i="11"/>
  <c r="G267" i="11" s="1"/>
  <c r="F17" i="11"/>
  <c r="F184" i="11" s="1"/>
  <c r="E17" i="11"/>
  <c r="E100" i="11" s="1"/>
  <c r="D17" i="11"/>
  <c r="K16" i="11"/>
  <c r="J16" i="11"/>
  <c r="J99" i="11" s="1"/>
  <c r="I16" i="11"/>
  <c r="I183" i="11" s="1"/>
  <c r="H16" i="11"/>
  <c r="G16" i="11"/>
  <c r="G46" i="11" s="1"/>
  <c r="F16" i="11"/>
  <c r="E16" i="11"/>
  <c r="D16" i="11"/>
  <c r="K15" i="11"/>
  <c r="K265" i="11" s="1"/>
  <c r="J15" i="11"/>
  <c r="I15" i="11"/>
  <c r="H15" i="11"/>
  <c r="H46" i="11" s="1"/>
  <c r="G15" i="11"/>
  <c r="G265" i="11" s="1"/>
  <c r="F15" i="11"/>
  <c r="E15" i="11"/>
  <c r="D15" i="11"/>
  <c r="D46" i="11" s="1"/>
  <c r="R273" i="10"/>
  <c r="U272" i="10"/>
  <c r="T271" i="10"/>
  <c r="N271" i="10"/>
  <c r="G271" i="10"/>
  <c r="E271" i="10"/>
  <c r="D271" i="10"/>
  <c r="J269" i="10"/>
  <c r="J267" i="10"/>
  <c r="D267" i="10"/>
  <c r="M266" i="10"/>
  <c r="O260" i="10"/>
  <c r="I260" i="10"/>
  <c r="R259" i="10"/>
  <c r="V258" i="10"/>
  <c r="U258" i="10"/>
  <c r="T258" i="10"/>
  <c r="S258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E258" i="10"/>
  <c r="D258" i="10"/>
  <c r="O257" i="10"/>
  <c r="N257" i="10"/>
  <c r="R256" i="10"/>
  <c r="G253" i="10"/>
  <c r="T250" i="10"/>
  <c r="S250" i="10"/>
  <c r="I248" i="10"/>
  <c r="H247" i="10"/>
  <c r="V235" i="10"/>
  <c r="U235" i="10"/>
  <c r="T235" i="10"/>
  <c r="S235" i="10"/>
  <c r="S274" i="10" s="1"/>
  <c r="R235" i="10"/>
  <c r="Q235" i="10"/>
  <c r="P235" i="10"/>
  <c r="O235" i="10"/>
  <c r="O274" i="10" s="1"/>
  <c r="N235" i="10"/>
  <c r="M235" i="10"/>
  <c r="L235" i="10"/>
  <c r="K235" i="10"/>
  <c r="J235" i="10"/>
  <c r="I235" i="10"/>
  <c r="I274" i="10" s="1"/>
  <c r="H235" i="10"/>
  <c r="H274" i="10" s="1"/>
  <c r="G235" i="10"/>
  <c r="F235" i="10"/>
  <c r="E235" i="10"/>
  <c r="D235" i="10"/>
  <c r="V234" i="10"/>
  <c r="V273" i="10" s="1"/>
  <c r="U234" i="10"/>
  <c r="T234" i="10"/>
  <c r="S234" i="10"/>
  <c r="R234" i="10"/>
  <c r="Q234" i="10"/>
  <c r="P234" i="10"/>
  <c r="O234" i="10"/>
  <c r="N234" i="10"/>
  <c r="M234" i="10"/>
  <c r="L234" i="10"/>
  <c r="L273" i="10" s="1"/>
  <c r="K234" i="10"/>
  <c r="K273" i="10" s="1"/>
  <c r="J234" i="10"/>
  <c r="I234" i="10"/>
  <c r="H234" i="10"/>
  <c r="H273" i="10" s="1"/>
  <c r="G234" i="10"/>
  <c r="F234" i="10"/>
  <c r="F273" i="10" s="1"/>
  <c r="E234" i="10"/>
  <c r="D234" i="10"/>
  <c r="V233" i="10"/>
  <c r="U233" i="10"/>
  <c r="T233" i="10"/>
  <c r="S233" i="10"/>
  <c r="R233" i="10"/>
  <c r="Q233" i="10"/>
  <c r="P233" i="10"/>
  <c r="O233" i="10"/>
  <c r="O272" i="10" s="1"/>
  <c r="N233" i="10"/>
  <c r="M233" i="10"/>
  <c r="L233" i="10"/>
  <c r="K233" i="10"/>
  <c r="J233" i="10"/>
  <c r="I233" i="10"/>
  <c r="I272" i="10" s="1"/>
  <c r="H233" i="10"/>
  <c r="G233" i="10"/>
  <c r="F233" i="10"/>
  <c r="E233" i="10"/>
  <c r="E272" i="10" s="1"/>
  <c r="D233" i="10"/>
  <c r="V232" i="10"/>
  <c r="U232" i="10"/>
  <c r="T232" i="10"/>
  <c r="S232" i="10"/>
  <c r="S271" i="10" s="1"/>
  <c r="R232" i="10"/>
  <c r="R271" i="10" s="1"/>
  <c r="Q232" i="10"/>
  <c r="Q271" i="10" s="1"/>
  <c r="P232" i="10"/>
  <c r="P271" i="10" s="1"/>
  <c r="O232" i="10"/>
  <c r="O271" i="10" s="1"/>
  <c r="N232" i="10"/>
  <c r="M232" i="10"/>
  <c r="M271" i="10" s="1"/>
  <c r="L232" i="10"/>
  <c r="L271" i="10" s="1"/>
  <c r="K232" i="10"/>
  <c r="K271" i="10" s="1"/>
  <c r="J232" i="10"/>
  <c r="J271" i="10" s="1"/>
  <c r="I232" i="10"/>
  <c r="I271" i="10" s="1"/>
  <c r="H232" i="10"/>
  <c r="H271" i="10" s="1"/>
  <c r="G232" i="10"/>
  <c r="F232" i="10"/>
  <c r="F271" i="10" s="1"/>
  <c r="E232" i="10"/>
  <c r="D232" i="10"/>
  <c r="V231" i="10"/>
  <c r="U231" i="10"/>
  <c r="U270" i="10" s="1"/>
  <c r="T231" i="10"/>
  <c r="S231" i="10"/>
  <c r="R231" i="10"/>
  <c r="Q231" i="10"/>
  <c r="Q270" i="10" s="1"/>
  <c r="P231" i="10"/>
  <c r="O231" i="10"/>
  <c r="O270" i="10" s="1"/>
  <c r="N231" i="10"/>
  <c r="M231" i="10"/>
  <c r="L231" i="10"/>
  <c r="K231" i="10"/>
  <c r="K270" i="10" s="1"/>
  <c r="J231" i="10"/>
  <c r="I231" i="10"/>
  <c r="H231" i="10"/>
  <c r="G231" i="10"/>
  <c r="F231" i="10"/>
  <c r="E231" i="10"/>
  <c r="E270" i="10" s="1"/>
  <c r="D231" i="10"/>
  <c r="V230" i="10"/>
  <c r="U230" i="10"/>
  <c r="T230" i="10"/>
  <c r="S230" i="10"/>
  <c r="R230" i="10"/>
  <c r="R269" i="10" s="1"/>
  <c r="Q230" i="10"/>
  <c r="P230" i="10"/>
  <c r="O230" i="10"/>
  <c r="N230" i="10"/>
  <c r="N269" i="10" s="1"/>
  <c r="M230" i="10"/>
  <c r="L230" i="10"/>
  <c r="K230" i="10"/>
  <c r="J230" i="10"/>
  <c r="I230" i="10"/>
  <c r="H230" i="10"/>
  <c r="H269" i="10" s="1"/>
  <c r="G230" i="10"/>
  <c r="F230" i="10"/>
  <c r="E230" i="10"/>
  <c r="D230" i="10"/>
  <c r="D269" i="10" s="1"/>
  <c r="V229" i="10"/>
  <c r="U229" i="10"/>
  <c r="U268" i="10" s="1"/>
  <c r="T229" i="10"/>
  <c r="S229" i="10"/>
  <c r="R229" i="10"/>
  <c r="Q229" i="10"/>
  <c r="Q268" i="10" s="1"/>
  <c r="P229" i="10"/>
  <c r="O229" i="10"/>
  <c r="N229" i="10"/>
  <c r="M229" i="10"/>
  <c r="L229" i="10"/>
  <c r="K229" i="10"/>
  <c r="K268" i="10" s="1"/>
  <c r="J229" i="10"/>
  <c r="I229" i="10"/>
  <c r="H229" i="10"/>
  <c r="G229" i="10"/>
  <c r="F229" i="10"/>
  <c r="E229" i="10"/>
  <c r="E268" i="10" s="1"/>
  <c r="D229" i="10"/>
  <c r="V228" i="10"/>
  <c r="U228" i="10"/>
  <c r="T228" i="10"/>
  <c r="T267" i="10" s="1"/>
  <c r="S228" i="10"/>
  <c r="R228" i="10"/>
  <c r="Q228" i="10"/>
  <c r="P228" i="10"/>
  <c r="O228" i="10"/>
  <c r="N228" i="10"/>
  <c r="N267" i="10" s="1"/>
  <c r="M228" i="10"/>
  <c r="L228" i="10"/>
  <c r="K228" i="10"/>
  <c r="J228" i="10"/>
  <c r="I228" i="10"/>
  <c r="H228" i="10"/>
  <c r="H267" i="10" s="1"/>
  <c r="G228" i="10"/>
  <c r="F228" i="10"/>
  <c r="E228" i="10"/>
  <c r="D228" i="10"/>
  <c r="V227" i="10"/>
  <c r="U227" i="10"/>
  <c r="T227" i="10"/>
  <c r="S227" i="10"/>
  <c r="R227" i="10"/>
  <c r="Q227" i="10"/>
  <c r="Q266" i="10" s="1"/>
  <c r="P227" i="10"/>
  <c r="O227" i="10"/>
  <c r="N227" i="10"/>
  <c r="M227" i="10"/>
  <c r="L227" i="10"/>
  <c r="K227" i="10"/>
  <c r="K266" i="10" s="1"/>
  <c r="J227" i="10"/>
  <c r="I227" i="10"/>
  <c r="H227" i="10"/>
  <c r="G227" i="10"/>
  <c r="G266" i="10" s="1"/>
  <c r="F227" i="10"/>
  <c r="E227" i="10"/>
  <c r="D227" i="10"/>
  <c r="V226" i="10"/>
  <c r="U226" i="10"/>
  <c r="T226" i="10"/>
  <c r="T265" i="10" s="1"/>
  <c r="S226" i="10"/>
  <c r="R226" i="10"/>
  <c r="Q226" i="10"/>
  <c r="P226" i="10"/>
  <c r="O226" i="10"/>
  <c r="N226" i="10"/>
  <c r="N265" i="10" s="1"/>
  <c r="M226" i="10"/>
  <c r="L226" i="10"/>
  <c r="K226" i="10"/>
  <c r="J226" i="10"/>
  <c r="J265" i="10" s="1"/>
  <c r="I226" i="10"/>
  <c r="H226" i="10"/>
  <c r="G226" i="10"/>
  <c r="F226" i="10"/>
  <c r="E226" i="10"/>
  <c r="D226" i="10"/>
  <c r="D265" i="10" s="1"/>
  <c r="V225" i="10"/>
  <c r="V264" i="10" s="1"/>
  <c r="U225" i="10"/>
  <c r="T225" i="10"/>
  <c r="S225" i="10"/>
  <c r="R225" i="10"/>
  <c r="Q225" i="10"/>
  <c r="Q264" i="10" s="1"/>
  <c r="P225" i="10"/>
  <c r="O225" i="10"/>
  <c r="N225" i="10"/>
  <c r="M225" i="10"/>
  <c r="M264" i="10" s="1"/>
  <c r="L225" i="10"/>
  <c r="K225" i="10"/>
  <c r="J225" i="10"/>
  <c r="I225" i="10"/>
  <c r="H225" i="10"/>
  <c r="G225" i="10"/>
  <c r="G264" i="10" s="1"/>
  <c r="F225" i="10"/>
  <c r="E225" i="10"/>
  <c r="D225" i="10"/>
  <c r="V224" i="10"/>
  <c r="V263" i="10" s="1"/>
  <c r="U224" i="10"/>
  <c r="T224" i="10"/>
  <c r="T263" i="10" s="1"/>
  <c r="S224" i="10"/>
  <c r="R224" i="10"/>
  <c r="Q224" i="10"/>
  <c r="P224" i="10"/>
  <c r="P263" i="10" s="1"/>
  <c r="O224" i="10"/>
  <c r="N224" i="10"/>
  <c r="M224" i="10"/>
  <c r="L224" i="10"/>
  <c r="K224" i="10"/>
  <c r="J224" i="10"/>
  <c r="J263" i="10" s="1"/>
  <c r="I224" i="10"/>
  <c r="H224" i="10"/>
  <c r="G224" i="10"/>
  <c r="F224" i="10"/>
  <c r="E224" i="10"/>
  <c r="D224" i="10"/>
  <c r="D263" i="10" s="1"/>
  <c r="V223" i="10"/>
  <c r="U223" i="10"/>
  <c r="T223" i="10"/>
  <c r="S223" i="10"/>
  <c r="S262" i="10" s="1"/>
  <c r="R223" i="10"/>
  <c r="Q223" i="10"/>
  <c r="P223" i="10"/>
  <c r="O223" i="10"/>
  <c r="N223" i="10"/>
  <c r="M223" i="10"/>
  <c r="M262" i="10" s="1"/>
  <c r="L223" i="10"/>
  <c r="K223" i="10"/>
  <c r="J223" i="10"/>
  <c r="I223" i="10"/>
  <c r="I262" i="10" s="1"/>
  <c r="H223" i="10"/>
  <c r="G223" i="10"/>
  <c r="G262" i="10" s="1"/>
  <c r="F223" i="10"/>
  <c r="E223" i="10"/>
  <c r="D223" i="10"/>
  <c r="V222" i="10"/>
  <c r="V261" i="10" s="1"/>
  <c r="U222" i="10"/>
  <c r="T222" i="10"/>
  <c r="S222" i="10"/>
  <c r="R222" i="10"/>
  <c r="Q222" i="10"/>
  <c r="P222" i="10"/>
  <c r="P261" i="10" s="1"/>
  <c r="O222" i="10"/>
  <c r="N222" i="10"/>
  <c r="M222" i="10"/>
  <c r="L222" i="10"/>
  <c r="K222" i="10"/>
  <c r="J222" i="10"/>
  <c r="J261" i="10" s="1"/>
  <c r="I222" i="10"/>
  <c r="H222" i="10"/>
  <c r="G222" i="10"/>
  <c r="F222" i="10"/>
  <c r="F261" i="10" s="1"/>
  <c r="E222" i="10"/>
  <c r="D222" i="10"/>
  <c r="V221" i="10"/>
  <c r="U221" i="10"/>
  <c r="T221" i="10"/>
  <c r="S221" i="10"/>
  <c r="S260" i="10" s="1"/>
  <c r="R221" i="10"/>
  <c r="Q221" i="10"/>
  <c r="P221" i="10"/>
  <c r="O221" i="10"/>
  <c r="N221" i="10"/>
  <c r="M221" i="10"/>
  <c r="M260" i="10" s="1"/>
  <c r="L221" i="10"/>
  <c r="K221" i="10"/>
  <c r="J221" i="10"/>
  <c r="I221" i="10"/>
  <c r="H221" i="10"/>
  <c r="G221" i="10"/>
  <c r="F221" i="10"/>
  <c r="E221" i="10"/>
  <c r="D221" i="10"/>
  <c r="V220" i="10"/>
  <c r="V259" i="10" s="1"/>
  <c r="U220" i="10"/>
  <c r="T220" i="10"/>
  <c r="S220" i="10"/>
  <c r="R220" i="10"/>
  <c r="Q220" i="10"/>
  <c r="P220" i="10"/>
  <c r="P259" i="10" s="1"/>
  <c r="O220" i="10"/>
  <c r="N220" i="10"/>
  <c r="M220" i="10"/>
  <c r="L220" i="10"/>
  <c r="L259" i="10" s="1"/>
  <c r="K220" i="10"/>
  <c r="J220" i="10"/>
  <c r="I220" i="10"/>
  <c r="H220" i="10"/>
  <c r="G220" i="10"/>
  <c r="F220" i="10"/>
  <c r="E220" i="10"/>
  <c r="D220" i="10"/>
  <c r="V218" i="10"/>
  <c r="U218" i="10"/>
  <c r="T218" i="10"/>
  <c r="S218" i="10"/>
  <c r="S257" i="10" s="1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V217" i="10"/>
  <c r="V256" i="10" s="1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F256" i="10" s="1"/>
  <c r="E217" i="10"/>
  <c r="D217" i="10"/>
  <c r="V216" i="10"/>
  <c r="U216" i="10"/>
  <c r="U255" i="10" s="1"/>
  <c r="T216" i="10"/>
  <c r="S216" i="10"/>
  <c r="R216" i="10"/>
  <c r="Q216" i="10"/>
  <c r="P216" i="10"/>
  <c r="O216" i="10"/>
  <c r="N216" i="10"/>
  <c r="N255" i="10" s="1"/>
  <c r="M216" i="10"/>
  <c r="L216" i="10"/>
  <c r="K216" i="10"/>
  <c r="J216" i="10"/>
  <c r="I216" i="10"/>
  <c r="I255" i="10" s="1"/>
  <c r="H216" i="10"/>
  <c r="G216" i="10"/>
  <c r="F216" i="10"/>
  <c r="E216" i="10"/>
  <c r="E255" i="10" s="1"/>
  <c r="D216" i="10"/>
  <c r="V215" i="10"/>
  <c r="U215" i="10"/>
  <c r="T215" i="10"/>
  <c r="S215" i="10"/>
  <c r="R215" i="10"/>
  <c r="Q215" i="10"/>
  <c r="Q254" i="10" s="1"/>
  <c r="P215" i="10"/>
  <c r="O215" i="10"/>
  <c r="N215" i="10"/>
  <c r="M215" i="10"/>
  <c r="L215" i="10"/>
  <c r="K215" i="10"/>
  <c r="J215" i="10"/>
  <c r="I215" i="10"/>
  <c r="H215" i="10"/>
  <c r="H254" i="10" s="1"/>
  <c r="G215" i="10"/>
  <c r="F215" i="10"/>
  <c r="E215" i="10"/>
  <c r="D215" i="10"/>
  <c r="V214" i="10"/>
  <c r="U214" i="10"/>
  <c r="T214" i="10"/>
  <c r="S214" i="10"/>
  <c r="R214" i="10"/>
  <c r="Q214" i="10"/>
  <c r="P214" i="10"/>
  <c r="O214" i="10"/>
  <c r="O253" i="10" s="1"/>
  <c r="N214" i="10"/>
  <c r="M214" i="10"/>
  <c r="L214" i="10"/>
  <c r="K214" i="10"/>
  <c r="K253" i="10" s="1"/>
  <c r="J214" i="10"/>
  <c r="I214" i="10"/>
  <c r="H214" i="10"/>
  <c r="G214" i="10"/>
  <c r="F214" i="10"/>
  <c r="E214" i="10"/>
  <c r="D214" i="10"/>
  <c r="V213" i="10"/>
  <c r="U213" i="10"/>
  <c r="T213" i="10"/>
  <c r="S213" i="10"/>
  <c r="R213" i="10"/>
  <c r="R252" i="10" s="1"/>
  <c r="Q213" i="10"/>
  <c r="P213" i="10"/>
  <c r="O213" i="10"/>
  <c r="N213" i="10"/>
  <c r="N252" i="10" s="1"/>
  <c r="M213" i="10"/>
  <c r="L213" i="10"/>
  <c r="K213" i="10"/>
  <c r="J213" i="10"/>
  <c r="I213" i="10"/>
  <c r="H213" i="10"/>
  <c r="G213" i="10"/>
  <c r="F213" i="10"/>
  <c r="E213" i="10"/>
  <c r="D213" i="10"/>
  <c r="V212" i="10"/>
  <c r="U212" i="10"/>
  <c r="U251" i="10" s="1"/>
  <c r="T212" i="10"/>
  <c r="S212" i="10"/>
  <c r="R212" i="10"/>
  <c r="Q212" i="10"/>
  <c r="Q251" i="10" s="1"/>
  <c r="P212" i="10"/>
  <c r="O212" i="10"/>
  <c r="N212" i="10"/>
  <c r="M212" i="10"/>
  <c r="L212" i="10"/>
  <c r="K212" i="10"/>
  <c r="J212" i="10"/>
  <c r="I212" i="10"/>
  <c r="H212" i="10"/>
  <c r="G212" i="10"/>
  <c r="F212" i="10"/>
  <c r="E212" i="10"/>
  <c r="E251" i="10" s="1"/>
  <c r="D212" i="10"/>
  <c r="V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H211" i="10"/>
  <c r="H250" i="10" s="1"/>
  <c r="G211" i="10"/>
  <c r="F211" i="10"/>
  <c r="E211" i="10"/>
  <c r="D211" i="10"/>
  <c r="D250" i="10" s="1"/>
  <c r="V210" i="10"/>
  <c r="U210" i="10"/>
  <c r="T210" i="10"/>
  <c r="S210" i="10"/>
  <c r="R210" i="10"/>
  <c r="Q210" i="10"/>
  <c r="P210" i="10"/>
  <c r="O210" i="10"/>
  <c r="N210" i="10"/>
  <c r="M210" i="10"/>
  <c r="L210" i="10"/>
  <c r="K210" i="10"/>
  <c r="K249" i="10" s="1"/>
  <c r="J210" i="10"/>
  <c r="I210" i="10"/>
  <c r="H210" i="10"/>
  <c r="G210" i="10"/>
  <c r="G249" i="10" s="1"/>
  <c r="F210" i="10"/>
  <c r="E210" i="10"/>
  <c r="D210" i="10"/>
  <c r="V209" i="10"/>
  <c r="U209" i="10"/>
  <c r="T209" i="10"/>
  <c r="S209" i="10"/>
  <c r="R209" i="10"/>
  <c r="Q209" i="10"/>
  <c r="P209" i="10"/>
  <c r="O209" i="10"/>
  <c r="N209" i="10"/>
  <c r="N248" i="10" s="1"/>
  <c r="M209" i="10"/>
  <c r="L209" i="10"/>
  <c r="K209" i="10"/>
  <c r="J209" i="10"/>
  <c r="J248" i="10" s="1"/>
  <c r="I209" i="10"/>
  <c r="H209" i="10"/>
  <c r="G209" i="10"/>
  <c r="F209" i="10"/>
  <c r="E209" i="10"/>
  <c r="D209" i="10"/>
  <c r="V208" i="10"/>
  <c r="U208" i="10"/>
  <c r="T208" i="10"/>
  <c r="S208" i="10"/>
  <c r="R208" i="10"/>
  <c r="Q208" i="10"/>
  <c r="Q247" i="10" s="1"/>
  <c r="P208" i="10"/>
  <c r="O208" i="10"/>
  <c r="N208" i="10"/>
  <c r="M208" i="10"/>
  <c r="M247" i="10" s="1"/>
  <c r="L208" i="10"/>
  <c r="K208" i="10"/>
  <c r="J208" i="10"/>
  <c r="I208" i="10"/>
  <c r="H208" i="10"/>
  <c r="G208" i="10"/>
  <c r="F208" i="10"/>
  <c r="F247" i="10" s="1"/>
  <c r="E208" i="10"/>
  <c r="D208" i="10"/>
  <c r="V207" i="10"/>
  <c r="U207" i="10"/>
  <c r="T207" i="10"/>
  <c r="S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O197" i="10"/>
  <c r="R196" i="10"/>
  <c r="Q196" i="10"/>
  <c r="K196" i="10"/>
  <c r="N195" i="10"/>
  <c r="L195" i="10"/>
  <c r="V194" i="10"/>
  <c r="T194" i="10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J193" i="10"/>
  <c r="I193" i="10"/>
  <c r="U192" i="10"/>
  <c r="V191" i="10"/>
  <c r="O190" i="10"/>
  <c r="E190" i="10"/>
  <c r="H189" i="10"/>
  <c r="G189" i="10"/>
  <c r="T188" i="10"/>
  <c r="D188" i="10"/>
  <c r="L187" i="10"/>
  <c r="O186" i="10"/>
  <c r="N186" i="10"/>
  <c r="H185" i="10"/>
  <c r="T183" i="10"/>
  <c r="J183" i="10"/>
  <c r="Q182" i="10"/>
  <c r="M182" i="10"/>
  <c r="V181" i="10"/>
  <c r="U181" i="10"/>
  <c r="T181" i="10"/>
  <c r="S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O180" i="10"/>
  <c r="N180" i="10"/>
  <c r="G180" i="10"/>
  <c r="L179" i="10"/>
  <c r="J179" i="10"/>
  <c r="U178" i="10"/>
  <c r="E178" i="10"/>
  <c r="R177" i="10"/>
  <c r="U176" i="10"/>
  <c r="H173" i="10"/>
  <c r="U172" i="10"/>
  <c r="G172" i="10"/>
  <c r="F172" i="10"/>
  <c r="F171" i="10"/>
  <c r="O170" i="10"/>
  <c r="T169" i="10"/>
  <c r="N169" i="10"/>
  <c r="R159" i="10"/>
  <c r="V158" i="10"/>
  <c r="V197" i="10" s="1"/>
  <c r="U158" i="10"/>
  <c r="T158" i="10"/>
  <c r="T197" i="10" s="1"/>
  <c r="S158" i="10"/>
  <c r="R158" i="10"/>
  <c r="Q158" i="10"/>
  <c r="P158" i="10"/>
  <c r="P197" i="10" s="1"/>
  <c r="O158" i="10"/>
  <c r="N158" i="10"/>
  <c r="M158" i="10"/>
  <c r="L158" i="10"/>
  <c r="K158" i="10"/>
  <c r="J158" i="10"/>
  <c r="I158" i="10"/>
  <c r="I197" i="10" s="1"/>
  <c r="H158" i="10"/>
  <c r="H197" i="10" s="1"/>
  <c r="G158" i="10"/>
  <c r="F158" i="10"/>
  <c r="F197" i="10" s="1"/>
  <c r="E158" i="10"/>
  <c r="D158" i="10"/>
  <c r="D197" i="10" s="1"/>
  <c r="V157" i="10"/>
  <c r="U157" i="10"/>
  <c r="T157" i="10"/>
  <c r="S157" i="10"/>
  <c r="S196" i="10" s="1"/>
  <c r="R157" i="10"/>
  <c r="Q157" i="10"/>
  <c r="P157" i="10"/>
  <c r="O157" i="10"/>
  <c r="N157" i="10"/>
  <c r="M157" i="10"/>
  <c r="M196" i="10" s="1"/>
  <c r="L157" i="10"/>
  <c r="L196" i="10" s="1"/>
  <c r="K157" i="10"/>
  <c r="J157" i="10"/>
  <c r="I157" i="10"/>
  <c r="I196" i="10" s="1"/>
  <c r="H157" i="10"/>
  <c r="G157" i="10"/>
  <c r="F157" i="10"/>
  <c r="E157" i="10"/>
  <c r="D157" i="10"/>
  <c r="V156" i="10"/>
  <c r="V195" i="10" s="1"/>
  <c r="U156" i="10"/>
  <c r="U195" i="10" s="1"/>
  <c r="T156" i="10"/>
  <c r="T195" i="10" s="1"/>
  <c r="S156" i="10"/>
  <c r="R156" i="10"/>
  <c r="Q156" i="10"/>
  <c r="P156" i="10"/>
  <c r="P195" i="10" s="1"/>
  <c r="O156" i="10"/>
  <c r="O195" i="10" s="1"/>
  <c r="N156" i="10"/>
  <c r="M156" i="10"/>
  <c r="L156" i="10"/>
  <c r="K156" i="10"/>
  <c r="J156" i="10"/>
  <c r="I156" i="10"/>
  <c r="H156" i="10"/>
  <c r="G156" i="10"/>
  <c r="F156" i="10"/>
  <c r="F195" i="10" s="1"/>
  <c r="E156" i="10"/>
  <c r="E195" i="10" s="1"/>
  <c r="D156" i="10"/>
  <c r="D195" i="10" s="1"/>
  <c r="V155" i="10"/>
  <c r="U155" i="10"/>
  <c r="V154" i="10"/>
  <c r="V193" i="10" s="1"/>
  <c r="U154" i="10"/>
  <c r="T154" i="10"/>
  <c r="S154" i="10"/>
  <c r="R154" i="10"/>
  <c r="Q154" i="10"/>
  <c r="P154" i="10"/>
  <c r="P193" i="10" s="1"/>
  <c r="O154" i="10"/>
  <c r="N154" i="10"/>
  <c r="M154" i="10"/>
  <c r="L154" i="10"/>
  <c r="K154" i="10"/>
  <c r="K193" i="10" s="1"/>
  <c r="J154" i="10"/>
  <c r="I154" i="10"/>
  <c r="H154" i="10"/>
  <c r="G154" i="10"/>
  <c r="F154" i="10"/>
  <c r="F193" i="10" s="1"/>
  <c r="E154" i="10"/>
  <c r="E193" i="10" s="1"/>
  <c r="D154" i="10"/>
  <c r="V153" i="10"/>
  <c r="U153" i="10"/>
  <c r="T153" i="10"/>
  <c r="S153" i="10"/>
  <c r="R153" i="10"/>
  <c r="Q153" i="10"/>
  <c r="P153" i="10"/>
  <c r="O153" i="10"/>
  <c r="N153" i="10"/>
  <c r="N192" i="10" s="1"/>
  <c r="M153" i="10"/>
  <c r="M192" i="10" s="1"/>
  <c r="L153" i="10"/>
  <c r="L192" i="10" s="1"/>
  <c r="K153" i="10"/>
  <c r="J153" i="10"/>
  <c r="I153" i="10"/>
  <c r="I192" i="10" s="1"/>
  <c r="H153" i="10"/>
  <c r="H192" i="10" s="1"/>
  <c r="G153" i="10"/>
  <c r="F153" i="10"/>
  <c r="E153" i="10"/>
  <c r="D153" i="10"/>
  <c r="V152" i="10"/>
  <c r="U152" i="10"/>
  <c r="T152" i="10"/>
  <c r="S152" i="10"/>
  <c r="R152" i="10"/>
  <c r="Q152" i="10"/>
  <c r="Q191" i="10" s="1"/>
  <c r="P152" i="10"/>
  <c r="P191" i="10" s="1"/>
  <c r="O152" i="10"/>
  <c r="O191" i="10" s="1"/>
  <c r="N152" i="10"/>
  <c r="M152" i="10"/>
  <c r="L152" i="10"/>
  <c r="L191" i="10" s="1"/>
  <c r="K152" i="10"/>
  <c r="K191" i="10" s="1"/>
  <c r="J152" i="10"/>
  <c r="I152" i="10"/>
  <c r="H152" i="10"/>
  <c r="G152" i="10"/>
  <c r="F152" i="10"/>
  <c r="F191" i="10" s="1"/>
  <c r="E152" i="10"/>
  <c r="D152" i="10"/>
  <c r="V151" i="10"/>
  <c r="U151" i="10"/>
  <c r="T151" i="10"/>
  <c r="T190" i="10" s="1"/>
  <c r="S151" i="10"/>
  <c r="S190" i="10" s="1"/>
  <c r="R151" i="10"/>
  <c r="R190" i="10" s="1"/>
  <c r="Q151" i="10"/>
  <c r="P151" i="10"/>
  <c r="O151" i="10"/>
  <c r="N151" i="10"/>
  <c r="M151" i="10"/>
  <c r="L151" i="10"/>
  <c r="K151" i="10"/>
  <c r="J151" i="10"/>
  <c r="I151" i="10"/>
  <c r="I190" i="10" s="1"/>
  <c r="H151" i="10"/>
  <c r="G151" i="10"/>
  <c r="F151" i="10"/>
  <c r="E151" i="10"/>
  <c r="D151" i="10"/>
  <c r="D190" i="10" s="1"/>
  <c r="V150" i="10"/>
  <c r="V189" i="10" s="1"/>
  <c r="U150" i="10"/>
  <c r="T150" i="10"/>
  <c r="S150" i="10"/>
  <c r="R150" i="10"/>
  <c r="R189" i="10" s="1"/>
  <c r="Q150" i="10"/>
  <c r="P150" i="10"/>
  <c r="O150" i="10"/>
  <c r="N150" i="10"/>
  <c r="M150" i="10"/>
  <c r="L150" i="10"/>
  <c r="L189" i="10" s="1"/>
  <c r="K150" i="10"/>
  <c r="J150" i="10"/>
  <c r="I150" i="10"/>
  <c r="H150" i="10"/>
  <c r="G150" i="10"/>
  <c r="F150" i="10"/>
  <c r="E150" i="10"/>
  <c r="D150" i="10"/>
  <c r="V149" i="10"/>
  <c r="U149" i="10"/>
  <c r="U188" i="10" s="1"/>
  <c r="T149" i="10"/>
  <c r="S149" i="10"/>
  <c r="R149" i="10"/>
  <c r="Q149" i="10"/>
  <c r="P149" i="10"/>
  <c r="O149" i="10"/>
  <c r="N149" i="10"/>
  <c r="M149" i="10"/>
  <c r="L149" i="10"/>
  <c r="K149" i="10"/>
  <c r="J149" i="10"/>
  <c r="J188" i="10" s="1"/>
  <c r="I149" i="10"/>
  <c r="I188" i="10" s="1"/>
  <c r="H149" i="10"/>
  <c r="H188" i="10" s="1"/>
  <c r="G149" i="10"/>
  <c r="F149" i="10"/>
  <c r="E149" i="10"/>
  <c r="E188" i="10" s="1"/>
  <c r="D149" i="10"/>
  <c r="V148" i="10"/>
  <c r="U148" i="10"/>
  <c r="T148" i="10"/>
  <c r="S148" i="10"/>
  <c r="R148" i="10"/>
  <c r="Q148" i="10"/>
  <c r="P148" i="10"/>
  <c r="O148" i="10"/>
  <c r="N148" i="10"/>
  <c r="M148" i="10"/>
  <c r="M187" i="10" s="1"/>
  <c r="L148" i="10"/>
  <c r="K148" i="10"/>
  <c r="J148" i="10"/>
  <c r="I148" i="10"/>
  <c r="H148" i="10"/>
  <c r="H187" i="10" s="1"/>
  <c r="G148" i="10"/>
  <c r="F148" i="10"/>
  <c r="E148" i="10"/>
  <c r="D148" i="10"/>
  <c r="V147" i="10"/>
  <c r="U147" i="10"/>
  <c r="U186" i="10" s="1"/>
  <c r="T147" i="10"/>
  <c r="S147" i="10"/>
  <c r="R147" i="10"/>
  <c r="Q147" i="10"/>
  <c r="P147" i="10"/>
  <c r="P186" i="10" s="1"/>
  <c r="O147" i="10"/>
  <c r="N147" i="10"/>
  <c r="M147" i="10"/>
  <c r="L147" i="10"/>
  <c r="K147" i="10"/>
  <c r="K186" i="10" s="1"/>
  <c r="J147" i="10"/>
  <c r="J186" i="10" s="1"/>
  <c r="I147" i="10"/>
  <c r="H147" i="10"/>
  <c r="G147" i="10"/>
  <c r="F147" i="10"/>
  <c r="E147" i="10"/>
  <c r="D147" i="10"/>
  <c r="V146" i="10"/>
  <c r="U146" i="10"/>
  <c r="T146" i="10"/>
  <c r="S146" i="10"/>
  <c r="S185" i="10" s="1"/>
  <c r="R146" i="10"/>
  <c r="R185" i="10" s="1"/>
  <c r="Q146" i="10"/>
  <c r="Q185" i="10" s="1"/>
  <c r="P146" i="10"/>
  <c r="O146" i="10"/>
  <c r="N146" i="10"/>
  <c r="N185" i="10" s="1"/>
  <c r="M146" i="10"/>
  <c r="M185" i="10" s="1"/>
  <c r="L146" i="10"/>
  <c r="K146" i="10"/>
  <c r="J146" i="10"/>
  <c r="I146" i="10"/>
  <c r="H146" i="10"/>
  <c r="G146" i="10"/>
  <c r="F146" i="10"/>
  <c r="E146" i="10"/>
  <c r="D146" i="10"/>
  <c r="V145" i="10"/>
  <c r="V184" i="10" s="1"/>
  <c r="U145" i="10"/>
  <c r="U184" i="10" s="1"/>
  <c r="T145" i="10"/>
  <c r="T184" i="10" s="1"/>
  <c r="S145" i="10"/>
  <c r="R145" i="10"/>
  <c r="Q145" i="10"/>
  <c r="Q184" i="10" s="1"/>
  <c r="P145" i="10"/>
  <c r="P184" i="10" s="1"/>
  <c r="O145" i="10"/>
  <c r="N145" i="10"/>
  <c r="M145" i="10"/>
  <c r="L145" i="10"/>
  <c r="K145" i="10"/>
  <c r="K184" i="10" s="1"/>
  <c r="J145" i="10"/>
  <c r="I145" i="10"/>
  <c r="H145" i="10"/>
  <c r="G145" i="10"/>
  <c r="F145" i="10"/>
  <c r="F184" i="10" s="1"/>
  <c r="E145" i="10"/>
  <c r="E184" i="10" s="1"/>
  <c r="D145" i="10"/>
  <c r="D184" i="10" s="1"/>
  <c r="V144" i="10"/>
  <c r="U144" i="10"/>
  <c r="T144" i="10"/>
  <c r="S144" i="10"/>
  <c r="R144" i="10"/>
  <c r="Q144" i="10"/>
  <c r="P144" i="10"/>
  <c r="O144" i="10"/>
  <c r="N144" i="10"/>
  <c r="N183" i="10" s="1"/>
  <c r="M144" i="10"/>
  <c r="L144" i="10"/>
  <c r="K144" i="10"/>
  <c r="J144" i="10"/>
  <c r="I144" i="10"/>
  <c r="I183" i="10" s="1"/>
  <c r="H144" i="10"/>
  <c r="H183" i="10" s="1"/>
  <c r="G144" i="10"/>
  <c r="F144" i="10"/>
  <c r="E144" i="10"/>
  <c r="D144" i="10"/>
  <c r="D183" i="10" s="1"/>
  <c r="V143" i="10"/>
  <c r="V182" i="10" s="1"/>
  <c r="U143" i="10"/>
  <c r="T143" i="10"/>
  <c r="S143" i="10"/>
  <c r="R143" i="10"/>
  <c r="Q143" i="10"/>
  <c r="P143" i="10"/>
  <c r="O143" i="10"/>
  <c r="N143" i="10"/>
  <c r="M143" i="10"/>
  <c r="L143" i="10"/>
  <c r="L182" i="10" s="1"/>
  <c r="K143" i="10"/>
  <c r="K182" i="10" s="1"/>
  <c r="J143" i="10"/>
  <c r="J182" i="10" s="1"/>
  <c r="I143" i="10"/>
  <c r="H143" i="10"/>
  <c r="G143" i="10"/>
  <c r="G182" i="10" s="1"/>
  <c r="F143" i="10"/>
  <c r="E143" i="10"/>
  <c r="D143" i="10"/>
  <c r="R142" i="10"/>
  <c r="R181" i="10" s="1"/>
  <c r="V141" i="10"/>
  <c r="U141" i="10"/>
  <c r="T141" i="10"/>
  <c r="S141" i="10"/>
  <c r="R141" i="10"/>
  <c r="Q141" i="10"/>
  <c r="P141" i="10"/>
  <c r="P180" i="10" s="1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V140" i="10"/>
  <c r="U140" i="10"/>
  <c r="T140" i="10"/>
  <c r="S140" i="10"/>
  <c r="R140" i="10"/>
  <c r="R179" i="10" s="1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V139" i="10"/>
  <c r="U139" i="10"/>
  <c r="T139" i="10"/>
  <c r="S139" i="10"/>
  <c r="R139" i="10"/>
  <c r="Q139" i="10"/>
  <c r="P139" i="10"/>
  <c r="O139" i="10"/>
  <c r="N139" i="10"/>
  <c r="M139" i="10"/>
  <c r="L139" i="10"/>
  <c r="K139" i="10"/>
  <c r="J139" i="10"/>
  <c r="I139" i="10"/>
  <c r="I178" i="10" s="1"/>
  <c r="H139" i="10"/>
  <c r="G139" i="10"/>
  <c r="F139" i="10"/>
  <c r="E139" i="10"/>
  <c r="D139" i="10"/>
  <c r="V138" i="10"/>
  <c r="U138" i="10"/>
  <c r="T138" i="10"/>
  <c r="S138" i="10"/>
  <c r="R138" i="10"/>
  <c r="Q138" i="10"/>
  <c r="P138" i="10"/>
  <c r="O138" i="10"/>
  <c r="N138" i="10"/>
  <c r="M138" i="10"/>
  <c r="L138" i="10"/>
  <c r="L177" i="10" s="1"/>
  <c r="K138" i="10"/>
  <c r="J138" i="10"/>
  <c r="I138" i="10"/>
  <c r="H138" i="10"/>
  <c r="H177" i="10" s="1"/>
  <c r="G138" i="10"/>
  <c r="G177" i="10" s="1"/>
  <c r="F138" i="10"/>
  <c r="E138" i="10"/>
  <c r="D138" i="10"/>
  <c r="V137" i="10"/>
  <c r="U137" i="10"/>
  <c r="T137" i="10"/>
  <c r="S137" i="10"/>
  <c r="R137" i="10"/>
  <c r="Q137" i="10"/>
  <c r="P137" i="10"/>
  <c r="O137" i="10"/>
  <c r="O176" i="10" s="1"/>
  <c r="N137" i="10"/>
  <c r="M137" i="10"/>
  <c r="L137" i="10"/>
  <c r="K137" i="10"/>
  <c r="K176" i="10" s="1"/>
  <c r="J137" i="10"/>
  <c r="J176" i="10" s="1"/>
  <c r="I137" i="10"/>
  <c r="H137" i="10"/>
  <c r="G137" i="10"/>
  <c r="F137" i="10"/>
  <c r="E137" i="10"/>
  <c r="D137" i="10"/>
  <c r="V136" i="10"/>
  <c r="V175" i="10" s="1"/>
  <c r="U136" i="10"/>
  <c r="T136" i="10"/>
  <c r="S136" i="10"/>
  <c r="R136" i="10"/>
  <c r="R175" i="10" s="1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F175" i="10" s="1"/>
  <c r="E136" i="10"/>
  <c r="D136" i="10"/>
  <c r="V135" i="10"/>
  <c r="U135" i="10"/>
  <c r="U174" i="10" s="1"/>
  <c r="T135" i="10"/>
  <c r="S135" i="10"/>
  <c r="R135" i="10"/>
  <c r="Q135" i="10"/>
  <c r="Q174" i="10" s="1"/>
  <c r="P135" i="10"/>
  <c r="P174" i="10" s="1"/>
  <c r="O135" i="10"/>
  <c r="N135" i="10"/>
  <c r="M135" i="10"/>
  <c r="L135" i="10"/>
  <c r="K135" i="10"/>
  <c r="J135" i="10"/>
  <c r="I135" i="10"/>
  <c r="I174" i="10" s="1"/>
  <c r="H135" i="10"/>
  <c r="G135" i="10"/>
  <c r="F135" i="10"/>
  <c r="E135" i="10"/>
  <c r="E174" i="10" s="1"/>
  <c r="D135" i="10"/>
  <c r="V134" i="10"/>
  <c r="U134" i="10"/>
  <c r="T134" i="10"/>
  <c r="T173" i="10" s="1"/>
  <c r="S134" i="10"/>
  <c r="R134" i="10"/>
  <c r="Q134" i="10"/>
  <c r="P134" i="10"/>
  <c r="O134" i="10"/>
  <c r="N134" i="10"/>
  <c r="M134" i="10"/>
  <c r="M173" i="10" s="1"/>
  <c r="L134" i="10"/>
  <c r="L173" i="10" s="1"/>
  <c r="K134" i="10"/>
  <c r="J134" i="10"/>
  <c r="I134" i="10"/>
  <c r="H134" i="10"/>
  <c r="G134" i="10"/>
  <c r="F134" i="10"/>
  <c r="E134" i="10"/>
  <c r="D134" i="10"/>
  <c r="D173" i="10" s="1"/>
  <c r="V133" i="10"/>
  <c r="V172" i="10" s="1"/>
  <c r="U133" i="10"/>
  <c r="T133" i="10"/>
  <c r="S133" i="10"/>
  <c r="R133" i="10"/>
  <c r="Q133" i="10"/>
  <c r="P133" i="10"/>
  <c r="P172" i="10" s="1"/>
  <c r="O133" i="10"/>
  <c r="O172" i="10" s="1"/>
  <c r="N133" i="10"/>
  <c r="M133" i="10"/>
  <c r="L133" i="10"/>
  <c r="K133" i="10"/>
  <c r="J133" i="10"/>
  <c r="I133" i="10"/>
  <c r="H133" i="10"/>
  <c r="G133" i="10"/>
  <c r="F133" i="10"/>
  <c r="E133" i="10"/>
  <c r="D133" i="10"/>
  <c r="V132" i="10"/>
  <c r="U132" i="10"/>
  <c r="T132" i="10"/>
  <c r="S132" i="10"/>
  <c r="R132" i="10"/>
  <c r="Q132" i="10"/>
  <c r="P132" i="10"/>
  <c r="O132" i="10"/>
  <c r="N132" i="10"/>
  <c r="N171" i="10" s="1"/>
  <c r="M132" i="10"/>
  <c r="L132" i="10"/>
  <c r="K132" i="10"/>
  <c r="J132" i="10"/>
  <c r="J171" i="10" s="1"/>
  <c r="I132" i="10"/>
  <c r="I171" i="10" s="1"/>
  <c r="H132" i="10"/>
  <c r="G132" i="10"/>
  <c r="F132" i="10"/>
  <c r="E132" i="10"/>
  <c r="D132" i="10"/>
  <c r="V131" i="10"/>
  <c r="V170" i="10" s="1"/>
  <c r="U131" i="10"/>
  <c r="U170" i="10" s="1"/>
  <c r="T131" i="10"/>
  <c r="S131" i="10"/>
  <c r="R131" i="10"/>
  <c r="Q131" i="10"/>
  <c r="Q170" i="10" s="1"/>
  <c r="P131" i="10"/>
  <c r="O131" i="10"/>
  <c r="N131" i="10"/>
  <c r="M131" i="10"/>
  <c r="M170" i="10" s="1"/>
  <c r="L131" i="10"/>
  <c r="K131" i="10"/>
  <c r="J131" i="10"/>
  <c r="I131" i="10"/>
  <c r="H131" i="10"/>
  <c r="G131" i="10"/>
  <c r="F131" i="10"/>
  <c r="F159" i="10" s="1"/>
  <c r="E131" i="10"/>
  <c r="E170" i="10" s="1"/>
  <c r="D131" i="10"/>
  <c r="V130" i="10"/>
  <c r="U130" i="10"/>
  <c r="T130" i="10"/>
  <c r="T159" i="10" s="1"/>
  <c r="S130" i="10"/>
  <c r="S169" i="10" s="1"/>
  <c r="R130" i="10"/>
  <c r="Q130" i="10"/>
  <c r="P130" i="10"/>
  <c r="P159" i="10" s="1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D159" i="10" s="1"/>
  <c r="V119" i="10"/>
  <c r="U119" i="10"/>
  <c r="O119" i="10"/>
  <c r="E119" i="10"/>
  <c r="P118" i="10"/>
  <c r="D118" i="10"/>
  <c r="V117" i="10"/>
  <c r="Q117" i="10"/>
  <c r="K117" i="10"/>
  <c r="E117" i="10"/>
  <c r="D117" i="10"/>
  <c r="V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Q115" i="10"/>
  <c r="I115" i="10"/>
  <c r="V114" i="10"/>
  <c r="J114" i="10"/>
  <c r="D114" i="10"/>
  <c r="O113" i="10"/>
  <c r="R112" i="10"/>
  <c r="L112" i="10"/>
  <c r="K112" i="10"/>
  <c r="J112" i="10"/>
  <c r="D112" i="10"/>
  <c r="M111" i="10"/>
  <c r="E111" i="10"/>
  <c r="K110" i="10"/>
  <c r="F110" i="10"/>
  <c r="S109" i="10"/>
  <c r="M109" i="10"/>
  <c r="L109" i="10"/>
  <c r="K109" i="10"/>
  <c r="V108" i="10"/>
  <c r="N108" i="10"/>
  <c r="H108" i="10"/>
  <c r="N107" i="10"/>
  <c r="I107" i="10"/>
  <c r="T106" i="10"/>
  <c r="D106" i="10"/>
  <c r="Q105" i="10"/>
  <c r="O105" i="10"/>
  <c r="I105" i="10"/>
  <c r="R104" i="10"/>
  <c r="J104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T102" i="10"/>
  <c r="O102" i="10"/>
  <c r="V101" i="10"/>
  <c r="P101" i="10"/>
  <c r="F101" i="10"/>
  <c r="S100" i="10"/>
  <c r="I100" i="10"/>
  <c r="V99" i="10"/>
  <c r="L99" i="10"/>
  <c r="F99" i="10"/>
  <c r="O98" i="10"/>
  <c r="I98" i="10"/>
  <c r="R97" i="10"/>
  <c r="L97" i="10"/>
  <c r="U96" i="10"/>
  <c r="T96" i="10"/>
  <c r="O96" i="10"/>
  <c r="E96" i="10"/>
  <c r="R95" i="10"/>
  <c r="H95" i="10"/>
  <c r="U94" i="10"/>
  <c r="K94" i="10"/>
  <c r="J94" i="10"/>
  <c r="E94" i="10"/>
  <c r="N93" i="10"/>
  <c r="H93" i="10"/>
  <c r="Q92" i="10"/>
  <c r="K92" i="10"/>
  <c r="T91" i="10"/>
  <c r="N91" i="10"/>
  <c r="V81" i="10"/>
  <c r="U81" i="10"/>
  <c r="T81" i="10"/>
  <c r="T119" i="10" s="1"/>
  <c r="S81" i="10"/>
  <c r="R81" i="10"/>
  <c r="Q81" i="10"/>
  <c r="P81" i="10"/>
  <c r="P119" i="10" s="1"/>
  <c r="O81" i="10"/>
  <c r="N81" i="10"/>
  <c r="N119" i="10" s="1"/>
  <c r="M81" i="10"/>
  <c r="L81" i="10"/>
  <c r="K81" i="10"/>
  <c r="J81" i="10"/>
  <c r="J119" i="10" s="1"/>
  <c r="I81" i="10"/>
  <c r="I119" i="10" s="1"/>
  <c r="H81" i="10"/>
  <c r="H119" i="10" s="1"/>
  <c r="G81" i="10"/>
  <c r="G119" i="10" s="1"/>
  <c r="F81" i="10"/>
  <c r="E81" i="10"/>
  <c r="D81" i="10"/>
  <c r="D119" i="10" s="1"/>
  <c r="V80" i="10"/>
  <c r="U80" i="10"/>
  <c r="T80" i="10"/>
  <c r="S80" i="10"/>
  <c r="S118" i="10" s="1"/>
  <c r="R80" i="10"/>
  <c r="R118" i="10" s="1"/>
  <c r="Q80" i="10"/>
  <c r="Q118" i="10" s="1"/>
  <c r="P80" i="10"/>
  <c r="O80" i="10"/>
  <c r="N80" i="10"/>
  <c r="N118" i="10" s="1"/>
  <c r="M80" i="10"/>
  <c r="M118" i="10" s="1"/>
  <c r="L80" i="10"/>
  <c r="L118" i="10" s="1"/>
  <c r="K80" i="10"/>
  <c r="K118" i="10" s="1"/>
  <c r="J80" i="10"/>
  <c r="I80" i="10"/>
  <c r="I118" i="10" s="1"/>
  <c r="H80" i="10"/>
  <c r="G80" i="10"/>
  <c r="G118" i="10" s="1"/>
  <c r="F80" i="10"/>
  <c r="E80" i="10"/>
  <c r="D80" i="10"/>
  <c r="V79" i="10"/>
  <c r="U79" i="10"/>
  <c r="T79" i="10"/>
  <c r="T117" i="10" s="1"/>
  <c r="S79" i="10"/>
  <c r="S117" i="10" s="1"/>
  <c r="R79" i="10"/>
  <c r="Q79" i="10"/>
  <c r="P79" i="10"/>
  <c r="P117" i="10" s="1"/>
  <c r="O79" i="10"/>
  <c r="O117" i="10" s="1"/>
  <c r="N79" i="10"/>
  <c r="N117" i="10" s="1"/>
  <c r="M79" i="10"/>
  <c r="L79" i="10"/>
  <c r="L117" i="10" s="1"/>
  <c r="K79" i="10"/>
  <c r="J79" i="10"/>
  <c r="J117" i="10" s="1"/>
  <c r="I79" i="10"/>
  <c r="H79" i="10"/>
  <c r="G79" i="10"/>
  <c r="F79" i="10"/>
  <c r="F117" i="10" s="1"/>
  <c r="E79" i="10"/>
  <c r="D79" i="10"/>
  <c r="V78" i="10"/>
  <c r="U78" i="10"/>
  <c r="R78" i="10"/>
  <c r="V77" i="10"/>
  <c r="V115" i="10" s="1"/>
  <c r="U77" i="10"/>
  <c r="U115" i="10" s="1"/>
  <c r="T77" i="10"/>
  <c r="T115" i="10" s="1"/>
  <c r="S77" i="10"/>
  <c r="S115" i="10" s="1"/>
  <c r="R77" i="10"/>
  <c r="Q77" i="10"/>
  <c r="P77" i="10"/>
  <c r="P115" i="10" s="1"/>
  <c r="O77" i="10"/>
  <c r="N77" i="10"/>
  <c r="M77" i="10"/>
  <c r="L77" i="10"/>
  <c r="L115" i="10" s="1"/>
  <c r="K77" i="10"/>
  <c r="K115" i="10" s="1"/>
  <c r="J77" i="10"/>
  <c r="J115" i="10" s="1"/>
  <c r="I77" i="10"/>
  <c r="H77" i="10"/>
  <c r="G77" i="10"/>
  <c r="F77" i="10"/>
  <c r="F115" i="10" s="1"/>
  <c r="E77" i="10"/>
  <c r="E115" i="10" s="1"/>
  <c r="D77" i="10"/>
  <c r="D115" i="10" s="1"/>
  <c r="V76" i="10"/>
  <c r="U76" i="10"/>
  <c r="T76" i="10"/>
  <c r="S76" i="10"/>
  <c r="S114" i="10" s="1"/>
  <c r="R76" i="10"/>
  <c r="Q76" i="10"/>
  <c r="P76" i="10"/>
  <c r="O76" i="10"/>
  <c r="O114" i="10" s="1"/>
  <c r="N76" i="10"/>
  <c r="M76" i="10"/>
  <c r="M114" i="10" s="1"/>
  <c r="L76" i="10"/>
  <c r="L114" i="10" s="1"/>
  <c r="K76" i="10"/>
  <c r="J76" i="10"/>
  <c r="I76" i="10"/>
  <c r="I114" i="10" s="1"/>
  <c r="H76" i="10"/>
  <c r="H114" i="10" s="1"/>
  <c r="G76" i="10"/>
  <c r="G114" i="10" s="1"/>
  <c r="F76" i="10"/>
  <c r="F114" i="10" s="1"/>
  <c r="E76" i="10"/>
  <c r="E114" i="10" s="1"/>
  <c r="D76" i="10"/>
  <c r="V75" i="10"/>
  <c r="V113" i="10" s="1"/>
  <c r="U75" i="10"/>
  <c r="T75" i="10"/>
  <c r="S75" i="10"/>
  <c r="R75" i="10"/>
  <c r="R113" i="10" s="1"/>
  <c r="Q75" i="10"/>
  <c r="P75" i="10"/>
  <c r="P113" i="10" s="1"/>
  <c r="O75" i="10"/>
  <c r="N75" i="10"/>
  <c r="M75" i="10"/>
  <c r="M113" i="10" s="1"/>
  <c r="L75" i="10"/>
  <c r="L113" i="10" s="1"/>
  <c r="K75" i="10"/>
  <c r="K113" i="10" s="1"/>
  <c r="J75" i="10"/>
  <c r="I75" i="10"/>
  <c r="H75" i="10"/>
  <c r="G75" i="10"/>
  <c r="G113" i="10" s="1"/>
  <c r="F75" i="10"/>
  <c r="F113" i="10" s="1"/>
  <c r="E75" i="10"/>
  <c r="D75" i="10"/>
  <c r="V74" i="10"/>
  <c r="U74" i="10"/>
  <c r="U112" i="10" s="1"/>
  <c r="T74" i="10"/>
  <c r="T112" i="10" s="1"/>
  <c r="S74" i="10"/>
  <c r="S112" i="10" s="1"/>
  <c r="R74" i="10"/>
  <c r="Q74" i="10"/>
  <c r="P74" i="10"/>
  <c r="O74" i="10"/>
  <c r="O112" i="10" s="1"/>
  <c r="N74" i="10"/>
  <c r="N112" i="10" s="1"/>
  <c r="M74" i="10"/>
  <c r="L74" i="10"/>
  <c r="K74" i="10"/>
  <c r="J74" i="10"/>
  <c r="I74" i="10"/>
  <c r="I112" i="10" s="1"/>
  <c r="H74" i="10"/>
  <c r="G74" i="10"/>
  <c r="F74" i="10"/>
  <c r="E74" i="10"/>
  <c r="E112" i="10" s="1"/>
  <c r="D74" i="10"/>
  <c r="V73" i="10"/>
  <c r="V111" i="10" s="1"/>
  <c r="U73" i="10"/>
  <c r="T73" i="10"/>
  <c r="S73" i="10"/>
  <c r="R73" i="10"/>
  <c r="R111" i="10" s="1"/>
  <c r="Q73" i="10"/>
  <c r="Q111" i="10" s="1"/>
  <c r="P73" i="10"/>
  <c r="O73" i="10"/>
  <c r="O111" i="10" s="1"/>
  <c r="N73" i="10"/>
  <c r="N111" i="10" s="1"/>
  <c r="M73" i="10"/>
  <c r="L73" i="10"/>
  <c r="L111" i="10" s="1"/>
  <c r="K73" i="10"/>
  <c r="J73" i="10"/>
  <c r="I73" i="10"/>
  <c r="H73" i="10"/>
  <c r="H111" i="10" s="1"/>
  <c r="G73" i="10"/>
  <c r="G111" i="10" s="1"/>
  <c r="F73" i="10"/>
  <c r="F111" i="10" s="1"/>
  <c r="E73" i="10"/>
  <c r="D73" i="10"/>
  <c r="V72" i="10"/>
  <c r="V110" i="10" s="1"/>
  <c r="U72" i="10"/>
  <c r="U110" i="10" s="1"/>
  <c r="T72" i="10"/>
  <c r="T110" i="10" s="1"/>
  <c r="S72" i="10"/>
  <c r="R72" i="10"/>
  <c r="Q72" i="10"/>
  <c r="Q110" i="10" s="1"/>
  <c r="P72" i="10"/>
  <c r="O72" i="10"/>
  <c r="O110" i="10" s="1"/>
  <c r="N72" i="10"/>
  <c r="M72" i="10"/>
  <c r="L72" i="10"/>
  <c r="K72" i="10"/>
  <c r="J72" i="10"/>
  <c r="I72" i="10"/>
  <c r="I110" i="10" s="1"/>
  <c r="H72" i="10"/>
  <c r="H110" i="10" s="1"/>
  <c r="G72" i="10"/>
  <c r="F72" i="10"/>
  <c r="E72" i="10"/>
  <c r="E110" i="10" s="1"/>
  <c r="D72" i="10"/>
  <c r="D110" i="10" s="1"/>
  <c r="V71" i="10"/>
  <c r="U71" i="10"/>
  <c r="T71" i="10"/>
  <c r="T109" i="10" s="1"/>
  <c r="S71" i="10"/>
  <c r="R71" i="10"/>
  <c r="R109" i="10" s="1"/>
  <c r="Q71" i="10"/>
  <c r="P71" i="10"/>
  <c r="O71" i="10"/>
  <c r="N71" i="10"/>
  <c r="N109" i="10" s="1"/>
  <c r="M71" i="10"/>
  <c r="L71" i="10"/>
  <c r="K71" i="10"/>
  <c r="J71" i="10"/>
  <c r="I71" i="10"/>
  <c r="I109" i="10" s="1"/>
  <c r="H71" i="10"/>
  <c r="H109" i="10" s="1"/>
  <c r="G71" i="10"/>
  <c r="G109" i="10" s="1"/>
  <c r="F71" i="10"/>
  <c r="E71" i="10"/>
  <c r="E109" i="10" s="1"/>
  <c r="D71" i="10"/>
  <c r="D109" i="10" s="1"/>
  <c r="V70" i="10"/>
  <c r="U70" i="10"/>
  <c r="U108" i="10" s="1"/>
  <c r="T70" i="10"/>
  <c r="S70" i="10"/>
  <c r="R70" i="10"/>
  <c r="Q70" i="10"/>
  <c r="Q108" i="10" s="1"/>
  <c r="P70" i="10"/>
  <c r="P108" i="10" s="1"/>
  <c r="O70" i="10"/>
  <c r="O108" i="10" s="1"/>
  <c r="N70" i="10"/>
  <c r="M70" i="10"/>
  <c r="L70" i="10"/>
  <c r="K70" i="10"/>
  <c r="K108" i="10" s="1"/>
  <c r="J70" i="10"/>
  <c r="J108" i="10" s="1"/>
  <c r="I70" i="10"/>
  <c r="H70" i="10"/>
  <c r="G70" i="10"/>
  <c r="F70" i="10"/>
  <c r="E70" i="10"/>
  <c r="E108" i="10" s="1"/>
  <c r="D70" i="10"/>
  <c r="V69" i="10"/>
  <c r="U69" i="10"/>
  <c r="T69" i="10"/>
  <c r="T107" i="10" s="1"/>
  <c r="S69" i="10"/>
  <c r="R69" i="10"/>
  <c r="R107" i="10" s="1"/>
  <c r="Q69" i="10"/>
  <c r="Q107" i="10" s="1"/>
  <c r="P69" i="10"/>
  <c r="O69" i="10"/>
  <c r="N69" i="10"/>
  <c r="M69" i="10"/>
  <c r="M107" i="10" s="1"/>
  <c r="L69" i="10"/>
  <c r="K69" i="10"/>
  <c r="K107" i="10" s="1"/>
  <c r="J69" i="10"/>
  <c r="J107" i="10" s="1"/>
  <c r="I69" i="10"/>
  <c r="H69" i="10"/>
  <c r="H107" i="10" s="1"/>
  <c r="G69" i="10"/>
  <c r="F69" i="10"/>
  <c r="E69" i="10"/>
  <c r="D69" i="10"/>
  <c r="D107" i="10" s="1"/>
  <c r="V68" i="10"/>
  <c r="U68" i="10"/>
  <c r="U106" i="10" s="1"/>
  <c r="T68" i="10"/>
  <c r="S68" i="10"/>
  <c r="R68" i="10"/>
  <c r="R106" i="10" s="1"/>
  <c r="Q68" i="10"/>
  <c r="Q106" i="10" s="1"/>
  <c r="P68" i="10"/>
  <c r="P106" i="10" s="1"/>
  <c r="O68" i="10"/>
  <c r="N68" i="10"/>
  <c r="M68" i="10"/>
  <c r="M106" i="10" s="1"/>
  <c r="L68" i="10"/>
  <c r="L106" i="10" s="1"/>
  <c r="K68" i="10"/>
  <c r="K106" i="10" s="1"/>
  <c r="J68" i="10"/>
  <c r="I68" i="10"/>
  <c r="H68" i="10"/>
  <c r="G68" i="10"/>
  <c r="G106" i="10" s="1"/>
  <c r="F68" i="10"/>
  <c r="F106" i="10" s="1"/>
  <c r="E68" i="10"/>
  <c r="E106" i="10" s="1"/>
  <c r="D68" i="10"/>
  <c r="V67" i="10"/>
  <c r="U67" i="10"/>
  <c r="T67" i="10"/>
  <c r="T105" i="10" s="1"/>
  <c r="S67" i="10"/>
  <c r="S105" i="10" s="1"/>
  <c r="R67" i="10"/>
  <c r="Q67" i="10"/>
  <c r="P67" i="10"/>
  <c r="O67" i="10"/>
  <c r="N67" i="10"/>
  <c r="N105" i="10" s="1"/>
  <c r="M67" i="10"/>
  <c r="L67" i="10"/>
  <c r="K67" i="10"/>
  <c r="J67" i="10"/>
  <c r="J105" i="10" s="1"/>
  <c r="I67" i="10"/>
  <c r="H67" i="10"/>
  <c r="H105" i="10" s="1"/>
  <c r="G67" i="10"/>
  <c r="F67" i="10"/>
  <c r="E67" i="10"/>
  <c r="D67" i="10"/>
  <c r="D105" i="10" s="1"/>
  <c r="V66" i="10"/>
  <c r="V104" i="10" s="1"/>
  <c r="U66" i="10"/>
  <c r="T66" i="10"/>
  <c r="T104" i="10" s="1"/>
  <c r="S66" i="10"/>
  <c r="S104" i="10" s="1"/>
  <c r="R66" i="10"/>
  <c r="Q66" i="10"/>
  <c r="Q104" i="10" s="1"/>
  <c r="P66" i="10"/>
  <c r="O66" i="10"/>
  <c r="N66" i="10"/>
  <c r="M66" i="10"/>
  <c r="M104" i="10" s="1"/>
  <c r="L66" i="10"/>
  <c r="L104" i="10" s="1"/>
  <c r="K66" i="10"/>
  <c r="K104" i="10" s="1"/>
  <c r="J66" i="10"/>
  <c r="I66" i="10"/>
  <c r="H66" i="10"/>
  <c r="H104" i="10" s="1"/>
  <c r="G66" i="10"/>
  <c r="G104" i="10" s="1"/>
  <c r="F66" i="10"/>
  <c r="F104" i="10" s="1"/>
  <c r="E66" i="10"/>
  <c r="D66" i="10"/>
  <c r="R65" i="10"/>
  <c r="V64" i="10"/>
  <c r="U64" i="10"/>
  <c r="U102" i="10" s="1"/>
  <c r="T64" i="10"/>
  <c r="S64" i="10"/>
  <c r="R64" i="10"/>
  <c r="Q64" i="10"/>
  <c r="P64" i="10"/>
  <c r="P102" i="10" s="1"/>
  <c r="O64" i="10"/>
  <c r="N64" i="10"/>
  <c r="M64" i="10"/>
  <c r="M102" i="10" s="1"/>
  <c r="L64" i="10"/>
  <c r="K64" i="10"/>
  <c r="K102" i="10" s="1"/>
  <c r="J64" i="10"/>
  <c r="J102" i="10" s="1"/>
  <c r="I64" i="10"/>
  <c r="I102" i="10" s="1"/>
  <c r="H64" i="10"/>
  <c r="G64" i="10"/>
  <c r="F64" i="10"/>
  <c r="E64" i="10"/>
  <c r="E102" i="10" s="1"/>
  <c r="D64" i="10"/>
  <c r="D102" i="10" s="1"/>
  <c r="V63" i="10"/>
  <c r="U63" i="10"/>
  <c r="T63" i="10"/>
  <c r="S63" i="10"/>
  <c r="S101" i="10" s="1"/>
  <c r="R63" i="10"/>
  <c r="R101" i="10" s="1"/>
  <c r="Q63" i="10"/>
  <c r="Q101" i="10" s="1"/>
  <c r="P63" i="10"/>
  <c r="O63" i="10"/>
  <c r="N63" i="10"/>
  <c r="N101" i="10" s="1"/>
  <c r="M63" i="10"/>
  <c r="M101" i="10" s="1"/>
  <c r="L63" i="10"/>
  <c r="L101" i="10" s="1"/>
  <c r="K63" i="10"/>
  <c r="J63" i="10"/>
  <c r="I63" i="10"/>
  <c r="H63" i="10"/>
  <c r="H101" i="10" s="1"/>
  <c r="G63" i="10"/>
  <c r="G101" i="10" s="1"/>
  <c r="F63" i="10"/>
  <c r="E63" i="10"/>
  <c r="D63" i="10"/>
  <c r="V62" i="10"/>
  <c r="V100" i="10" s="1"/>
  <c r="U62" i="10"/>
  <c r="U100" i="10" s="1"/>
  <c r="T62" i="10"/>
  <c r="T100" i="10" s="1"/>
  <c r="S62" i="10"/>
  <c r="R62" i="10"/>
  <c r="Q62" i="10"/>
  <c r="Q100" i="10" s="1"/>
  <c r="P62" i="10"/>
  <c r="P100" i="10" s="1"/>
  <c r="O62" i="10"/>
  <c r="O100" i="10" s="1"/>
  <c r="N62" i="10"/>
  <c r="M62" i="10"/>
  <c r="L62" i="10"/>
  <c r="K62" i="10"/>
  <c r="K100" i="10" s="1"/>
  <c r="J62" i="10"/>
  <c r="J100" i="10" s="1"/>
  <c r="I62" i="10"/>
  <c r="H62" i="10"/>
  <c r="G62" i="10"/>
  <c r="F62" i="10"/>
  <c r="F100" i="10" s="1"/>
  <c r="E62" i="10"/>
  <c r="E100" i="10" s="1"/>
  <c r="D62" i="10"/>
  <c r="D100" i="10" s="1"/>
  <c r="V61" i="10"/>
  <c r="U61" i="10"/>
  <c r="T61" i="10"/>
  <c r="T99" i="10" s="1"/>
  <c r="S61" i="10"/>
  <c r="S99" i="10" s="1"/>
  <c r="R61" i="10"/>
  <c r="R99" i="10" s="1"/>
  <c r="Q61" i="10"/>
  <c r="P61" i="10"/>
  <c r="O61" i="10"/>
  <c r="N61" i="10"/>
  <c r="N99" i="10" s="1"/>
  <c r="M61" i="10"/>
  <c r="M99" i="10" s="1"/>
  <c r="L61" i="10"/>
  <c r="K61" i="10"/>
  <c r="J61" i="10"/>
  <c r="I61" i="10"/>
  <c r="I99" i="10" s="1"/>
  <c r="H61" i="10"/>
  <c r="H99" i="10" s="1"/>
  <c r="G61" i="10"/>
  <c r="G99" i="10" s="1"/>
  <c r="F61" i="10"/>
  <c r="E61" i="10"/>
  <c r="D61" i="10"/>
  <c r="D99" i="10" s="1"/>
  <c r="V60" i="10"/>
  <c r="V98" i="10" s="1"/>
  <c r="U60" i="10"/>
  <c r="U98" i="10" s="1"/>
  <c r="T60" i="10"/>
  <c r="S60" i="10"/>
  <c r="R60" i="10"/>
  <c r="Q60" i="10"/>
  <c r="P60" i="10"/>
  <c r="P98" i="10" s="1"/>
  <c r="O60" i="10"/>
  <c r="N60" i="10"/>
  <c r="M60" i="10"/>
  <c r="L60" i="10"/>
  <c r="L98" i="10" s="1"/>
  <c r="K60" i="10"/>
  <c r="K98" i="10" s="1"/>
  <c r="J60" i="10"/>
  <c r="J98" i="10" s="1"/>
  <c r="I60" i="10"/>
  <c r="H60" i="10"/>
  <c r="G60" i="10"/>
  <c r="G98" i="10" s="1"/>
  <c r="F60" i="10"/>
  <c r="F98" i="10" s="1"/>
  <c r="E60" i="10"/>
  <c r="E98" i="10" s="1"/>
  <c r="D60" i="10"/>
  <c r="V59" i="10"/>
  <c r="U59" i="10"/>
  <c r="T59" i="10"/>
  <c r="T97" i="10" s="1"/>
  <c r="S59" i="10"/>
  <c r="S97" i="10" s="1"/>
  <c r="R59" i="10"/>
  <c r="Q59" i="10"/>
  <c r="P59" i="10"/>
  <c r="O59" i="10"/>
  <c r="O97" i="10" s="1"/>
  <c r="N59" i="10"/>
  <c r="N97" i="10" s="1"/>
  <c r="M59" i="10"/>
  <c r="M97" i="10" s="1"/>
  <c r="L59" i="10"/>
  <c r="K59" i="10"/>
  <c r="J59" i="10"/>
  <c r="J97" i="10" s="1"/>
  <c r="I59" i="10"/>
  <c r="I97" i="10" s="1"/>
  <c r="H59" i="10"/>
  <c r="H97" i="10" s="1"/>
  <c r="G59" i="10"/>
  <c r="F59" i="10"/>
  <c r="E59" i="10"/>
  <c r="D59" i="10"/>
  <c r="D97" i="10" s="1"/>
  <c r="V58" i="10"/>
  <c r="V96" i="10" s="1"/>
  <c r="U58" i="10"/>
  <c r="T58" i="10"/>
  <c r="S58" i="10"/>
  <c r="R58" i="10"/>
  <c r="R96" i="10" s="1"/>
  <c r="Q58" i="10"/>
  <c r="Q96" i="10" s="1"/>
  <c r="P58" i="10"/>
  <c r="P96" i="10" s="1"/>
  <c r="O58" i="10"/>
  <c r="N58" i="10"/>
  <c r="M58" i="10"/>
  <c r="M96" i="10" s="1"/>
  <c r="L58" i="10"/>
  <c r="L96" i="10" s="1"/>
  <c r="K58" i="10"/>
  <c r="K96" i="10" s="1"/>
  <c r="J58" i="10"/>
  <c r="I58" i="10"/>
  <c r="H58" i="10"/>
  <c r="G58" i="10"/>
  <c r="F58" i="10"/>
  <c r="F96" i="10" s="1"/>
  <c r="E58" i="10"/>
  <c r="D58" i="10"/>
  <c r="V57" i="10"/>
  <c r="U57" i="10"/>
  <c r="U95" i="10" s="1"/>
  <c r="T57" i="10"/>
  <c r="T95" i="10" s="1"/>
  <c r="S57" i="10"/>
  <c r="S95" i="10" s="1"/>
  <c r="R57" i="10"/>
  <c r="Q57" i="10"/>
  <c r="P57" i="10"/>
  <c r="P95" i="10" s="1"/>
  <c r="O57" i="10"/>
  <c r="O95" i="10" s="1"/>
  <c r="N57" i="10"/>
  <c r="N95" i="10" s="1"/>
  <c r="M57" i="10"/>
  <c r="L57" i="10"/>
  <c r="K57" i="10"/>
  <c r="J57" i="10"/>
  <c r="J95" i="10" s="1"/>
  <c r="I57" i="10"/>
  <c r="I95" i="10" s="1"/>
  <c r="H57" i="10"/>
  <c r="G57" i="10"/>
  <c r="F57" i="10"/>
  <c r="E57" i="10"/>
  <c r="E95" i="10" s="1"/>
  <c r="D57" i="10"/>
  <c r="D95" i="10" s="1"/>
  <c r="V56" i="10"/>
  <c r="V94" i="10" s="1"/>
  <c r="U56" i="10"/>
  <c r="T56" i="10"/>
  <c r="S56" i="10"/>
  <c r="S94" i="10" s="1"/>
  <c r="R56" i="10"/>
  <c r="R94" i="10" s="1"/>
  <c r="Q56" i="10"/>
  <c r="Q94" i="10" s="1"/>
  <c r="P56" i="10"/>
  <c r="O56" i="10"/>
  <c r="N56" i="10"/>
  <c r="M56" i="10"/>
  <c r="M94" i="10" s="1"/>
  <c r="L56" i="10"/>
  <c r="L94" i="10" s="1"/>
  <c r="K56" i="10"/>
  <c r="J56" i="10"/>
  <c r="I56" i="10"/>
  <c r="H56" i="10"/>
  <c r="H94" i="10" s="1"/>
  <c r="G56" i="10"/>
  <c r="G94" i="10" s="1"/>
  <c r="F56" i="10"/>
  <c r="F94" i="10" s="1"/>
  <c r="E56" i="10"/>
  <c r="D56" i="10"/>
  <c r="V55" i="10"/>
  <c r="V93" i="10" s="1"/>
  <c r="U55" i="10"/>
  <c r="U93" i="10" s="1"/>
  <c r="T55" i="10"/>
  <c r="T93" i="10" s="1"/>
  <c r="S55" i="10"/>
  <c r="R55" i="10"/>
  <c r="Q55" i="10"/>
  <c r="P55" i="10"/>
  <c r="P93" i="10" s="1"/>
  <c r="O55" i="10"/>
  <c r="O93" i="10" s="1"/>
  <c r="N55" i="10"/>
  <c r="M55" i="10"/>
  <c r="L55" i="10"/>
  <c r="K55" i="10"/>
  <c r="K93" i="10" s="1"/>
  <c r="J55" i="10"/>
  <c r="J93" i="10" s="1"/>
  <c r="I55" i="10"/>
  <c r="I93" i="10" s="1"/>
  <c r="H55" i="10"/>
  <c r="G55" i="10"/>
  <c r="F55" i="10"/>
  <c r="F93" i="10" s="1"/>
  <c r="E55" i="10"/>
  <c r="E93" i="10" s="1"/>
  <c r="D55" i="10"/>
  <c r="D93" i="10" s="1"/>
  <c r="V54" i="10"/>
  <c r="U54" i="10"/>
  <c r="T54" i="10"/>
  <c r="S54" i="10"/>
  <c r="S92" i="10" s="1"/>
  <c r="R54" i="10"/>
  <c r="R92" i="10" s="1"/>
  <c r="Q54" i="10"/>
  <c r="P54" i="10"/>
  <c r="O54" i="10"/>
  <c r="N54" i="10"/>
  <c r="N92" i="10" s="1"/>
  <c r="M54" i="10"/>
  <c r="M92" i="10" s="1"/>
  <c r="L54" i="10"/>
  <c r="L92" i="10" s="1"/>
  <c r="K54" i="10"/>
  <c r="J54" i="10"/>
  <c r="I54" i="10"/>
  <c r="I92" i="10" s="1"/>
  <c r="H54" i="10"/>
  <c r="H92" i="10" s="1"/>
  <c r="G54" i="10"/>
  <c r="G92" i="10" s="1"/>
  <c r="F54" i="10"/>
  <c r="E54" i="10"/>
  <c r="D54" i="10"/>
  <c r="V53" i="10"/>
  <c r="U53" i="10"/>
  <c r="U91" i="10" s="1"/>
  <c r="T53" i="10"/>
  <c r="S53" i="10"/>
  <c r="R53" i="10"/>
  <c r="Q53" i="10"/>
  <c r="Q91" i="10" s="1"/>
  <c r="P53" i="10"/>
  <c r="O53" i="10"/>
  <c r="O91" i="10" s="1"/>
  <c r="N53" i="10"/>
  <c r="M53" i="10"/>
  <c r="L53" i="10"/>
  <c r="K53" i="10"/>
  <c r="J53" i="10"/>
  <c r="J91" i="10" s="1"/>
  <c r="I53" i="10"/>
  <c r="H53" i="10"/>
  <c r="H82" i="10" s="1"/>
  <c r="G53" i="10"/>
  <c r="F53" i="10"/>
  <c r="E53" i="10"/>
  <c r="D53" i="10"/>
  <c r="V42" i="10"/>
  <c r="U42" i="10"/>
  <c r="U274" i="10" s="1"/>
  <c r="T42" i="10"/>
  <c r="S42" i="10"/>
  <c r="R42" i="10"/>
  <c r="Q42" i="10"/>
  <c r="P42" i="10"/>
  <c r="O42" i="10"/>
  <c r="N42" i="10"/>
  <c r="N274" i="10" s="1"/>
  <c r="M42" i="10"/>
  <c r="M197" i="10" s="1"/>
  <c r="L42" i="10"/>
  <c r="K42" i="10"/>
  <c r="K119" i="10" s="1"/>
  <c r="J42" i="10"/>
  <c r="J197" i="10" s="1"/>
  <c r="I42" i="10"/>
  <c r="H42" i="10"/>
  <c r="G42" i="10"/>
  <c r="F42" i="10"/>
  <c r="F119" i="10" s="1"/>
  <c r="E42" i="10"/>
  <c r="E274" i="10" s="1"/>
  <c r="D42" i="10"/>
  <c r="V41" i="10"/>
  <c r="U41" i="10"/>
  <c r="U118" i="10" s="1"/>
  <c r="T41" i="10"/>
  <c r="T118" i="10" s="1"/>
  <c r="S41" i="10"/>
  <c r="R41" i="10"/>
  <c r="Q41" i="10"/>
  <c r="Q273" i="10" s="1"/>
  <c r="P41" i="10"/>
  <c r="P196" i="10" s="1"/>
  <c r="O41" i="10"/>
  <c r="N41" i="10"/>
  <c r="N273" i="10" s="1"/>
  <c r="M41" i="10"/>
  <c r="L41" i="10"/>
  <c r="K41" i="10"/>
  <c r="J41" i="10"/>
  <c r="J118" i="10" s="1"/>
  <c r="I41" i="10"/>
  <c r="H41" i="10"/>
  <c r="H118" i="10" s="1"/>
  <c r="G41" i="10"/>
  <c r="G196" i="10" s="1"/>
  <c r="F41" i="10"/>
  <c r="E41" i="10"/>
  <c r="D41" i="10"/>
  <c r="V40" i="10"/>
  <c r="U40" i="10"/>
  <c r="U117" i="10" s="1"/>
  <c r="T40" i="10"/>
  <c r="T272" i="10" s="1"/>
  <c r="S40" i="10"/>
  <c r="S195" i="10" s="1"/>
  <c r="R40" i="10"/>
  <c r="Q40" i="10"/>
  <c r="Q272" i="10" s="1"/>
  <c r="P40" i="10"/>
  <c r="O40" i="10"/>
  <c r="N40" i="10"/>
  <c r="M40" i="10"/>
  <c r="M117" i="10" s="1"/>
  <c r="L40" i="10"/>
  <c r="K40" i="10"/>
  <c r="K272" i="10" s="1"/>
  <c r="J40" i="10"/>
  <c r="J195" i="10" s="1"/>
  <c r="I40" i="10"/>
  <c r="H40" i="10"/>
  <c r="G40" i="10"/>
  <c r="F40" i="10"/>
  <c r="E40" i="10"/>
  <c r="D40" i="10"/>
  <c r="D272" i="10" s="1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V38" i="10"/>
  <c r="U38" i="10"/>
  <c r="U193" i="10" s="1"/>
  <c r="T38" i="10"/>
  <c r="S38" i="10"/>
  <c r="R38" i="10"/>
  <c r="R115" i="10" s="1"/>
  <c r="Q38" i="10"/>
  <c r="P38" i="10"/>
  <c r="O38" i="10"/>
  <c r="N38" i="10"/>
  <c r="M38" i="10"/>
  <c r="M115" i="10" s="1"/>
  <c r="L38" i="10"/>
  <c r="L193" i="10" s="1"/>
  <c r="K38" i="10"/>
  <c r="J38" i="10"/>
  <c r="J270" i="10" s="1"/>
  <c r="I38" i="10"/>
  <c r="H38" i="10"/>
  <c r="G38" i="10"/>
  <c r="G193" i="10" s="1"/>
  <c r="F38" i="10"/>
  <c r="E38" i="10"/>
  <c r="D38" i="10"/>
  <c r="V37" i="10"/>
  <c r="U37" i="10"/>
  <c r="U114" i="10" s="1"/>
  <c r="T37" i="10"/>
  <c r="T114" i="10" s="1"/>
  <c r="S37" i="10"/>
  <c r="S192" i="10" s="1"/>
  <c r="R37" i="10"/>
  <c r="Q37" i="10"/>
  <c r="P37" i="10"/>
  <c r="P114" i="10" s="1"/>
  <c r="O37" i="10"/>
  <c r="O192" i="10" s="1"/>
  <c r="N37" i="10"/>
  <c r="N114" i="10" s="1"/>
  <c r="M37" i="10"/>
  <c r="M269" i="10" s="1"/>
  <c r="L37" i="10"/>
  <c r="K37" i="10"/>
  <c r="J37" i="10"/>
  <c r="J192" i="10" s="1"/>
  <c r="I37" i="10"/>
  <c r="H37" i="10"/>
  <c r="G37" i="10"/>
  <c r="F37" i="10"/>
  <c r="E37" i="10"/>
  <c r="E192" i="10" s="1"/>
  <c r="D37" i="10"/>
  <c r="V36" i="10"/>
  <c r="U36" i="10"/>
  <c r="T36" i="10"/>
  <c r="S36" i="10"/>
  <c r="R36" i="10"/>
  <c r="R191" i="10" s="1"/>
  <c r="Q36" i="10"/>
  <c r="Q113" i="10" s="1"/>
  <c r="P36" i="10"/>
  <c r="P268" i="10" s="1"/>
  <c r="O36" i="10"/>
  <c r="N36" i="10"/>
  <c r="M36" i="10"/>
  <c r="M191" i="10" s="1"/>
  <c r="L36" i="10"/>
  <c r="K36" i="10"/>
  <c r="J36" i="10"/>
  <c r="J113" i="10" s="1"/>
  <c r="I36" i="10"/>
  <c r="I113" i="10" s="1"/>
  <c r="H36" i="10"/>
  <c r="G36" i="10"/>
  <c r="G268" i="10" s="1"/>
  <c r="F36" i="10"/>
  <c r="E36" i="10"/>
  <c r="D36" i="10"/>
  <c r="V35" i="10"/>
  <c r="V112" i="10" s="1"/>
  <c r="U35" i="10"/>
  <c r="U190" i="10" s="1"/>
  <c r="T35" i="10"/>
  <c r="S35" i="10"/>
  <c r="S267" i="10" s="1"/>
  <c r="R35" i="10"/>
  <c r="Q35" i="10"/>
  <c r="P35" i="10"/>
  <c r="P190" i="10" s="1"/>
  <c r="O35" i="10"/>
  <c r="N35" i="10"/>
  <c r="N190" i="10" s="1"/>
  <c r="M35" i="10"/>
  <c r="L35" i="10"/>
  <c r="K35" i="10"/>
  <c r="J35" i="10"/>
  <c r="I35" i="10"/>
  <c r="H35" i="10"/>
  <c r="G35" i="10"/>
  <c r="F35" i="10"/>
  <c r="E35" i="10"/>
  <c r="D35" i="10"/>
  <c r="V34" i="10"/>
  <c r="V266" i="10" s="1"/>
  <c r="U34" i="10"/>
  <c r="U111" i="10" s="1"/>
  <c r="T34" i="10"/>
  <c r="S34" i="10"/>
  <c r="S189" i="10" s="1"/>
  <c r="R34" i="10"/>
  <c r="Q34" i="10"/>
  <c r="Q189" i="10" s="1"/>
  <c r="P34" i="10"/>
  <c r="O34" i="10"/>
  <c r="N34" i="10"/>
  <c r="M34" i="10"/>
  <c r="L34" i="10"/>
  <c r="K34" i="10"/>
  <c r="J34" i="10"/>
  <c r="J111" i="10" s="1"/>
  <c r="I34" i="10"/>
  <c r="I111" i="10" s="1"/>
  <c r="H34" i="10"/>
  <c r="G34" i="10"/>
  <c r="F34" i="10"/>
  <c r="F266" i="10" s="1"/>
  <c r="E34" i="10"/>
  <c r="E189" i="10" s="1"/>
  <c r="D34" i="10"/>
  <c r="V33" i="10"/>
  <c r="V188" i="10" s="1"/>
  <c r="U33" i="10"/>
  <c r="T33" i="10"/>
  <c r="S33" i="10"/>
  <c r="R33" i="10"/>
  <c r="R110" i="10" s="1"/>
  <c r="Q33" i="10"/>
  <c r="P33" i="10"/>
  <c r="P265" i="10" s="1"/>
  <c r="O33" i="10"/>
  <c r="O188" i="10" s="1"/>
  <c r="N33" i="10"/>
  <c r="M33" i="10"/>
  <c r="L33" i="10"/>
  <c r="L110" i="10" s="1"/>
  <c r="K33" i="10"/>
  <c r="K188" i="10" s="1"/>
  <c r="J33" i="10"/>
  <c r="J110" i="10" s="1"/>
  <c r="I33" i="10"/>
  <c r="I265" i="10" s="1"/>
  <c r="H33" i="10"/>
  <c r="G33" i="10"/>
  <c r="F33" i="10"/>
  <c r="F188" i="10" s="1"/>
  <c r="E33" i="10"/>
  <c r="D33" i="10"/>
  <c r="V32" i="10"/>
  <c r="V187" i="10" s="1"/>
  <c r="U32" i="10"/>
  <c r="U109" i="10" s="1"/>
  <c r="T32" i="10"/>
  <c r="T187" i="10" s="1"/>
  <c r="S32" i="10"/>
  <c r="S264" i="10" s="1"/>
  <c r="R32" i="10"/>
  <c r="R187" i="10" s="1"/>
  <c r="Q32" i="10"/>
  <c r="P32" i="10"/>
  <c r="O32" i="10"/>
  <c r="N32" i="10"/>
  <c r="N187" i="10" s="1"/>
  <c r="M32" i="10"/>
  <c r="L32" i="10"/>
  <c r="L264" i="10" s="1"/>
  <c r="K32" i="10"/>
  <c r="K187" i="10" s="1"/>
  <c r="J32" i="10"/>
  <c r="I32" i="10"/>
  <c r="I187" i="10" s="1"/>
  <c r="H32" i="10"/>
  <c r="G32" i="10"/>
  <c r="G187" i="10" s="1"/>
  <c r="F32" i="10"/>
  <c r="E32" i="10"/>
  <c r="D32" i="10"/>
  <c r="D187" i="10" s="1"/>
  <c r="V31" i="10"/>
  <c r="U31" i="10"/>
  <c r="T31" i="10"/>
  <c r="S31" i="10"/>
  <c r="R31" i="10"/>
  <c r="R108" i="10" s="1"/>
  <c r="Q31" i="10"/>
  <c r="Q186" i="10" s="1"/>
  <c r="P31" i="10"/>
  <c r="O31" i="10"/>
  <c r="O263" i="10" s="1"/>
  <c r="N31" i="10"/>
  <c r="M31" i="10"/>
  <c r="L31" i="10"/>
  <c r="K31" i="10"/>
  <c r="J31" i="10"/>
  <c r="I31" i="10"/>
  <c r="H31" i="10"/>
  <c r="G31" i="10"/>
  <c r="G108" i="10" s="1"/>
  <c r="F31" i="10"/>
  <c r="F108" i="10" s="1"/>
  <c r="E31" i="10"/>
  <c r="E186" i="10" s="1"/>
  <c r="D31" i="10"/>
  <c r="V30" i="10"/>
  <c r="U30" i="10"/>
  <c r="U107" i="10" s="1"/>
  <c r="T30" i="10"/>
  <c r="T185" i="10" s="1"/>
  <c r="S30" i="10"/>
  <c r="S107" i="10" s="1"/>
  <c r="R30" i="10"/>
  <c r="R262" i="10" s="1"/>
  <c r="Q30" i="10"/>
  <c r="P30" i="10"/>
  <c r="O30" i="10"/>
  <c r="O185" i="10" s="1"/>
  <c r="N30" i="10"/>
  <c r="M30" i="10"/>
  <c r="L30" i="10"/>
  <c r="K30" i="10"/>
  <c r="J30" i="10"/>
  <c r="J185" i="10" s="1"/>
  <c r="I30" i="10"/>
  <c r="H30" i="10"/>
  <c r="G30" i="10"/>
  <c r="F30" i="10"/>
  <c r="E30" i="10"/>
  <c r="D30" i="10"/>
  <c r="D185" i="10" s="1"/>
  <c r="V29" i="10"/>
  <c r="V106" i="10" s="1"/>
  <c r="U29" i="10"/>
  <c r="U261" i="10" s="1"/>
  <c r="T29" i="10"/>
  <c r="S29" i="10"/>
  <c r="R29" i="10"/>
  <c r="Q29" i="10"/>
  <c r="P29" i="10"/>
  <c r="O29" i="10"/>
  <c r="O106" i="10" s="1"/>
  <c r="N29" i="10"/>
  <c r="N106" i="10" s="1"/>
  <c r="M29" i="10"/>
  <c r="M184" i="10" s="1"/>
  <c r="L29" i="10"/>
  <c r="L261" i="10" s="1"/>
  <c r="K29" i="10"/>
  <c r="J29" i="10"/>
  <c r="I29" i="10"/>
  <c r="H29" i="10"/>
  <c r="H106" i="10" s="1"/>
  <c r="G29" i="10"/>
  <c r="G184" i="10" s="1"/>
  <c r="F29" i="10"/>
  <c r="E29" i="10"/>
  <c r="E261" i="10" s="1"/>
  <c r="D29" i="10"/>
  <c r="V28" i="10"/>
  <c r="U28" i="10"/>
  <c r="T28" i="10"/>
  <c r="S28" i="10"/>
  <c r="S183" i="10" s="1"/>
  <c r="R28" i="10"/>
  <c r="Q28" i="10"/>
  <c r="P28" i="10"/>
  <c r="P105" i="10" s="1"/>
  <c r="O28" i="10"/>
  <c r="N28" i="10"/>
  <c r="M28" i="10"/>
  <c r="L28" i="10"/>
  <c r="K28" i="10"/>
  <c r="J28" i="10"/>
  <c r="I28" i="10"/>
  <c r="H28" i="10"/>
  <c r="H260" i="10" s="1"/>
  <c r="G28" i="10"/>
  <c r="G105" i="10" s="1"/>
  <c r="F28" i="10"/>
  <c r="E28" i="10"/>
  <c r="D28" i="10"/>
  <c r="V27" i="10"/>
  <c r="U27" i="10"/>
  <c r="T27" i="10"/>
  <c r="S27" i="10"/>
  <c r="R27" i="10"/>
  <c r="Q27" i="10"/>
  <c r="P27" i="10"/>
  <c r="O27" i="10"/>
  <c r="O104" i="10" s="1"/>
  <c r="N27" i="10"/>
  <c r="N104" i="10" s="1"/>
  <c r="M27" i="10"/>
  <c r="L27" i="10"/>
  <c r="K27" i="10"/>
  <c r="K259" i="10" s="1"/>
  <c r="J27" i="10"/>
  <c r="I27" i="10"/>
  <c r="H27" i="10"/>
  <c r="H259" i="10" s="1"/>
  <c r="G27" i="10"/>
  <c r="F27" i="10"/>
  <c r="E27" i="10"/>
  <c r="D27" i="10"/>
  <c r="D104" i="10" s="1"/>
  <c r="V25" i="10"/>
  <c r="U25" i="10"/>
  <c r="T25" i="10"/>
  <c r="S25" i="10"/>
  <c r="S180" i="10" s="1"/>
  <c r="R25" i="10"/>
  <c r="Q25" i="10"/>
  <c r="Q180" i="10" s="1"/>
  <c r="P25" i="10"/>
  <c r="P257" i="10" s="1"/>
  <c r="O25" i="10"/>
  <c r="N25" i="10"/>
  <c r="N102" i="10" s="1"/>
  <c r="M25" i="10"/>
  <c r="M180" i="10" s="1"/>
  <c r="L25" i="10"/>
  <c r="K25" i="10"/>
  <c r="K257" i="10" s="1"/>
  <c r="J25" i="10"/>
  <c r="J257" i="10" s="1"/>
  <c r="I25" i="10"/>
  <c r="H25" i="10"/>
  <c r="G25" i="10"/>
  <c r="F25" i="10"/>
  <c r="E25" i="10"/>
  <c r="D25" i="10"/>
  <c r="V24" i="10"/>
  <c r="V179" i="10" s="1"/>
  <c r="U24" i="10"/>
  <c r="U101" i="10" s="1"/>
  <c r="T24" i="10"/>
  <c r="T179" i="10" s="1"/>
  <c r="S24" i="10"/>
  <c r="S256" i="10" s="1"/>
  <c r="R24" i="10"/>
  <c r="Q24" i="10"/>
  <c r="Q256" i="10" s="1"/>
  <c r="P24" i="10"/>
  <c r="P179" i="10" s="1"/>
  <c r="O24" i="10"/>
  <c r="N24" i="10"/>
  <c r="N256" i="10" s="1"/>
  <c r="M24" i="10"/>
  <c r="M256" i="10" s="1"/>
  <c r="L24" i="10"/>
  <c r="K24" i="10"/>
  <c r="J24" i="10"/>
  <c r="J101" i="10" s="1"/>
  <c r="I24" i="10"/>
  <c r="H24" i="10"/>
  <c r="G24" i="10"/>
  <c r="F24" i="10"/>
  <c r="F179" i="10" s="1"/>
  <c r="E24" i="10"/>
  <c r="E101" i="10" s="1"/>
  <c r="D24" i="10"/>
  <c r="D179" i="10" s="1"/>
  <c r="V23" i="10"/>
  <c r="V255" i="10" s="1"/>
  <c r="U23" i="10"/>
  <c r="T23" i="10"/>
  <c r="T178" i="10" s="1"/>
  <c r="S23" i="10"/>
  <c r="S178" i="10" s="1"/>
  <c r="R23" i="10"/>
  <c r="Q23" i="10"/>
  <c r="Q255" i="10" s="1"/>
  <c r="P23" i="10"/>
  <c r="P255" i="10" s="1"/>
  <c r="O23" i="10"/>
  <c r="N23" i="10"/>
  <c r="M23" i="10"/>
  <c r="M178" i="10" s="1"/>
  <c r="L23" i="10"/>
  <c r="K23" i="10"/>
  <c r="J23" i="10"/>
  <c r="I23" i="10"/>
  <c r="H23" i="10"/>
  <c r="H100" i="10" s="1"/>
  <c r="G23" i="10"/>
  <c r="G178" i="10" s="1"/>
  <c r="F23" i="10"/>
  <c r="F255" i="10" s="1"/>
  <c r="E23" i="10"/>
  <c r="D23" i="10"/>
  <c r="D178" i="10" s="1"/>
  <c r="V22" i="10"/>
  <c r="V177" i="10" s="1"/>
  <c r="U22" i="10"/>
  <c r="T22" i="10"/>
  <c r="T254" i="10" s="1"/>
  <c r="S22" i="10"/>
  <c r="S254" i="10" s="1"/>
  <c r="R22" i="10"/>
  <c r="Q22" i="10"/>
  <c r="P22" i="10"/>
  <c r="P177" i="10" s="1"/>
  <c r="O22" i="10"/>
  <c r="N22" i="10"/>
  <c r="M22" i="10"/>
  <c r="L22" i="10"/>
  <c r="K22" i="10"/>
  <c r="K99" i="10" s="1"/>
  <c r="J22" i="10"/>
  <c r="J177" i="10" s="1"/>
  <c r="I22" i="10"/>
  <c r="I254" i="10" s="1"/>
  <c r="H22" i="10"/>
  <c r="G22" i="10"/>
  <c r="G254" i="10" s="1"/>
  <c r="F22" i="10"/>
  <c r="F177" i="10" s="1"/>
  <c r="E22" i="10"/>
  <c r="D22" i="10"/>
  <c r="D254" i="10" s="1"/>
  <c r="V21" i="10"/>
  <c r="V253" i="10" s="1"/>
  <c r="U21" i="10"/>
  <c r="T21" i="10"/>
  <c r="S21" i="10"/>
  <c r="S98" i="10" s="1"/>
  <c r="R21" i="10"/>
  <c r="Q21" i="10"/>
  <c r="P21" i="10"/>
  <c r="O21" i="10"/>
  <c r="N21" i="10"/>
  <c r="N98" i="10" s="1"/>
  <c r="M21" i="10"/>
  <c r="M176" i="10" s="1"/>
  <c r="L21" i="10"/>
  <c r="L253" i="10" s="1"/>
  <c r="K21" i="10"/>
  <c r="J21" i="10"/>
  <c r="J253" i="10" s="1"/>
  <c r="I21" i="10"/>
  <c r="I176" i="10" s="1"/>
  <c r="H21" i="10"/>
  <c r="G21" i="10"/>
  <c r="F21" i="10"/>
  <c r="F253" i="10" s="1"/>
  <c r="E21" i="10"/>
  <c r="D21" i="10"/>
  <c r="V20" i="10"/>
  <c r="V97" i="10" s="1"/>
  <c r="U20" i="10"/>
  <c r="T20" i="10"/>
  <c r="S20" i="10"/>
  <c r="R20" i="10"/>
  <c r="Q20" i="10"/>
  <c r="Q97" i="10" s="1"/>
  <c r="P20" i="10"/>
  <c r="P175" i="10" s="1"/>
  <c r="O20" i="10"/>
  <c r="O252" i="10" s="1"/>
  <c r="N20" i="10"/>
  <c r="N175" i="10" s="1"/>
  <c r="M20" i="10"/>
  <c r="M175" i="10" s="1"/>
  <c r="L20" i="10"/>
  <c r="L175" i="10" s="1"/>
  <c r="K20" i="10"/>
  <c r="J20" i="10"/>
  <c r="J252" i="10" s="1"/>
  <c r="I20" i="10"/>
  <c r="I252" i="10" s="1"/>
  <c r="H20" i="10"/>
  <c r="G20" i="10"/>
  <c r="F20" i="10"/>
  <c r="F97" i="10" s="1"/>
  <c r="E20" i="10"/>
  <c r="D20" i="10"/>
  <c r="V19" i="10"/>
  <c r="U19" i="10"/>
  <c r="T19" i="10"/>
  <c r="S19" i="10"/>
  <c r="S174" i="10" s="1"/>
  <c r="R19" i="10"/>
  <c r="R251" i="10" s="1"/>
  <c r="Q19" i="10"/>
  <c r="P19" i="10"/>
  <c r="P251" i="10" s="1"/>
  <c r="O19" i="10"/>
  <c r="O174" i="10" s="1"/>
  <c r="N19" i="10"/>
  <c r="M19" i="10"/>
  <c r="M251" i="10" s="1"/>
  <c r="L19" i="10"/>
  <c r="L251" i="10" s="1"/>
  <c r="K19" i="10"/>
  <c r="K174" i="10" s="1"/>
  <c r="J19" i="10"/>
  <c r="I19" i="10"/>
  <c r="I96" i="10" s="1"/>
  <c r="H19" i="10"/>
  <c r="G19" i="10"/>
  <c r="F19" i="10"/>
  <c r="E19" i="10"/>
  <c r="D19" i="10"/>
  <c r="D96" i="10" s="1"/>
  <c r="V18" i="10"/>
  <c r="V173" i="10" s="1"/>
  <c r="U18" i="10"/>
  <c r="U250" i="10" s="1"/>
  <c r="T18" i="10"/>
  <c r="S18" i="10"/>
  <c r="S173" i="10" s="1"/>
  <c r="R18" i="10"/>
  <c r="R173" i="10" s="1"/>
  <c r="Q18" i="10"/>
  <c r="P18" i="10"/>
  <c r="P250" i="10" s="1"/>
  <c r="O18" i="10"/>
  <c r="O250" i="10" s="1"/>
  <c r="N18" i="10"/>
  <c r="M18" i="10"/>
  <c r="L18" i="10"/>
  <c r="L95" i="10" s="1"/>
  <c r="K18" i="10"/>
  <c r="J18" i="10"/>
  <c r="I18" i="10"/>
  <c r="H18" i="10"/>
  <c r="G18" i="10"/>
  <c r="G173" i="10" s="1"/>
  <c r="F18" i="10"/>
  <c r="F173" i="10" s="1"/>
  <c r="E18" i="10"/>
  <c r="E250" i="10" s="1"/>
  <c r="D18" i="10"/>
  <c r="V17" i="10"/>
  <c r="V249" i="10" s="1"/>
  <c r="U17" i="10"/>
  <c r="T17" i="10"/>
  <c r="S17" i="10"/>
  <c r="S249" i="10" s="1"/>
  <c r="R17" i="10"/>
  <c r="R249" i="10" s="1"/>
  <c r="Q17" i="10"/>
  <c r="P17" i="10"/>
  <c r="O17" i="10"/>
  <c r="O94" i="10" s="1"/>
  <c r="N17" i="10"/>
  <c r="M17" i="10"/>
  <c r="L17" i="10"/>
  <c r="K17" i="10"/>
  <c r="K172" i="10" s="1"/>
  <c r="J17" i="10"/>
  <c r="I17" i="10"/>
  <c r="I172" i="10" s="1"/>
  <c r="H17" i="10"/>
  <c r="H249" i="10" s="1"/>
  <c r="G17" i="10"/>
  <c r="F17" i="10"/>
  <c r="F249" i="10" s="1"/>
  <c r="E17" i="10"/>
  <c r="E172" i="10" s="1"/>
  <c r="D17" i="10"/>
  <c r="V16" i="10"/>
  <c r="V248" i="10" s="1"/>
  <c r="U16" i="10"/>
  <c r="U248" i="10" s="1"/>
  <c r="T16" i="10"/>
  <c r="S16" i="10"/>
  <c r="S171" i="10" s="1"/>
  <c r="R16" i="10"/>
  <c r="R171" i="10" s="1"/>
  <c r="Q16" i="10"/>
  <c r="P16" i="10"/>
  <c r="O16" i="10"/>
  <c r="N16" i="10"/>
  <c r="M16" i="10"/>
  <c r="M93" i="10" s="1"/>
  <c r="L16" i="10"/>
  <c r="K16" i="10"/>
  <c r="K248" i="10" s="1"/>
  <c r="J16" i="10"/>
  <c r="I16" i="10"/>
  <c r="H16" i="10"/>
  <c r="H171" i="10" s="1"/>
  <c r="G16" i="10"/>
  <c r="F16" i="10"/>
  <c r="F248" i="10" s="1"/>
  <c r="E16" i="10"/>
  <c r="E248" i="10" s="1"/>
  <c r="D16" i="10"/>
  <c r="D171" i="10" s="1"/>
  <c r="V15" i="10"/>
  <c r="U15" i="10"/>
  <c r="U92" i="10" s="1"/>
  <c r="T15" i="10"/>
  <c r="S15" i="10"/>
  <c r="R15" i="10"/>
  <c r="Q15" i="10"/>
  <c r="P15" i="10"/>
  <c r="P92" i="10" s="1"/>
  <c r="O15" i="10"/>
  <c r="N15" i="10"/>
  <c r="N247" i="10" s="1"/>
  <c r="M15" i="10"/>
  <c r="L15" i="10"/>
  <c r="L170" i="10" s="1"/>
  <c r="K15" i="10"/>
  <c r="K170" i="10" s="1"/>
  <c r="J15" i="10"/>
  <c r="I15" i="10"/>
  <c r="I247" i="10" s="1"/>
  <c r="H15" i="10"/>
  <c r="G15" i="10"/>
  <c r="F15" i="10"/>
  <c r="E15" i="10"/>
  <c r="E92" i="10" s="1"/>
  <c r="D15" i="10"/>
  <c r="V14" i="10"/>
  <c r="U14" i="10"/>
  <c r="T14" i="10"/>
  <c r="S14" i="10"/>
  <c r="R14" i="10"/>
  <c r="Q14" i="10"/>
  <c r="P14" i="10"/>
  <c r="O14" i="10"/>
  <c r="O246" i="10" s="1"/>
  <c r="N14" i="10"/>
  <c r="M14" i="10"/>
  <c r="L14" i="10"/>
  <c r="K14" i="10"/>
  <c r="K246" i="10" s="1"/>
  <c r="J14" i="10"/>
  <c r="I14" i="10"/>
  <c r="H14" i="10"/>
  <c r="H91" i="10" s="1"/>
  <c r="G14" i="10"/>
  <c r="F14" i="10"/>
  <c r="E14" i="10"/>
  <c r="D14" i="10"/>
  <c r="B133" i="9"/>
  <c r="H131" i="9"/>
  <c r="S130" i="9"/>
  <c r="K130" i="9"/>
  <c r="J130" i="9"/>
  <c r="I130" i="9"/>
  <c r="H130" i="9"/>
  <c r="G130" i="9"/>
  <c r="G131" i="9" s="1"/>
  <c r="F130" i="9"/>
  <c r="E130" i="9"/>
  <c r="N130" i="9" s="1"/>
  <c r="D130" i="9"/>
  <c r="T129" i="9"/>
  <c r="K129" i="9"/>
  <c r="J129" i="9"/>
  <c r="I129" i="9"/>
  <c r="H129" i="9"/>
  <c r="G129" i="9"/>
  <c r="F129" i="9"/>
  <c r="O129" i="9" s="1"/>
  <c r="E129" i="9"/>
  <c r="E129" i="7" s="1"/>
  <c r="D129" i="9"/>
  <c r="N128" i="9"/>
  <c r="K128" i="9"/>
  <c r="T128" i="9" s="1"/>
  <c r="J128" i="9"/>
  <c r="S128" i="9" s="1"/>
  <c r="I128" i="9"/>
  <c r="H128" i="9"/>
  <c r="G128" i="9"/>
  <c r="F128" i="9"/>
  <c r="E128" i="9"/>
  <c r="D128" i="9"/>
  <c r="O127" i="9"/>
  <c r="K127" i="9"/>
  <c r="J127" i="9"/>
  <c r="S127" i="9" s="1"/>
  <c r="I127" i="9"/>
  <c r="H127" i="9"/>
  <c r="Q127" i="9" s="1"/>
  <c r="G127" i="9"/>
  <c r="F127" i="9"/>
  <c r="E127" i="9"/>
  <c r="D127" i="9"/>
  <c r="K126" i="9"/>
  <c r="J126" i="9"/>
  <c r="J125" i="9" s="1"/>
  <c r="S125" i="9" s="1"/>
  <c r="I126" i="9"/>
  <c r="H126" i="9"/>
  <c r="G126" i="9"/>
  <c r="F126" i="9"/>
  <c r="E126" i="9"/>
  <c r="E125" i="9" s="1"/>
  <c r="D126" i="9"/>
  <c r="I125" i="9"/>
  <c r="G125" i="9"/>
  <c r="T124" i="9"/>
  <c r="S124" i="9"/>
  <c r="O124" i="9"/>
  <c r="E124" i="9"/>
  <c r="D124" i="9"/>
  <c r="M124" i="9" s="1"/>
  <c r="S123" i="9"/>
  <c r="M123" i="9"/>
  <c r="E123" i="9"/>
  <c r="D123" i="9"/>
  <c r="S122" i="9"/>
  <c r="R122" i="9"/>
  <c r="Q122" i="9"/>
  <c r="E122" i="9"/>
  <c r="D122" i="9"/>
  <c r="M122" i="9" s="1"/>
  <c r="T121" i="9"/>
  <c r="S121" i="9"/>
  <c r="E121" i="9"/>
  <c r="D121" i="9"/>
  <c r="I120" i="9"/>
  <c r="Q119" i="9"/>
  <c r="K119" i="9"/>
  <c r="J119" i="9"/>
  <c r="S119" i="9" s="1"/>
  <c r="I119" i="9"/>
  <c r="H119" i="9"/>
  <c r="G119" i="9"/>
  <c r="F119" i="9"/>
  <c r="E119" i="9"/>
  <c r="N119" i="9" s="1"/>
  <c r="D119" i="9"/>
  <c r="N118" i="9"/>
  <c r="K118" i="9"/>
  <c r="J118" i="9"/>
  <c r="S118" i="9" s="1"/>
  <c r="I118" i="9"/>
  <c r="H118" i="9"/>
  <c r="G118" i="9"/>
  <c r="F118" i="9"/>
  <c r="O118" i="9" s="1"/>
  <c r="E118" i="9"/>
  <c r="D118" i="9"/>
  <c r="M118" i="9" s="1"/>
  <c r="S117" i="9"/>
  <c r="K117" i="9"/>
  <c r="J117" i="9"/>
  <c r="I117" i="9"/>
  <c r="H117" i="9"/>
  <c r="G117" i="9"/>
  <c r="F117" i="9"/>
  <c r="O117" i="9" s="1"/>
  <c r="E117" i="9"/>
  <c r="N117" i="9" s="1"/>
  <c r="D117" i="9"/>
  <c r="M117" i="9" s="1"/>
  <c r="S116" i="9"/>
  <c r="K116" i="9"/>
  <c r="J116" i="9"/>
  <c r="I116" i="9"/>
  <c r="R116" i="9" s="1"/>
  <c r="H116" i="9"/>
  <c r="G116" i="9"/>
  <c r="F116" i="9"/>
  <c r="E116" i="9"/>
  <c r="N116" i="9" s="1"/>
  <c r="D116" i="9"/>
  <c r="M116" i="9" s="1"/>
  <c r="S115" i="9"/>
  <c r="O115" i="9"/>
  <c r="M115" i="9"/>
  <c r="K115" i="9"/>
  <c r="J115" i="9"/>
  <c r="I115" i="9"/>
  <c r="H115" i="9"/>
  <c r="G115" i="9"/>
  <c r="F115" i="9"/>
  <c r="E115" i="9"/>
  <c r="D115" i="9"/>
  <c r="Q114" i="9"/>
  <c r="M114" i="9"/>
  <c r="K114" i="9"/>
  <c r="J114" i="9"/>
  <c r="I114" i="9"/>
  <c r="H114" i="9"/>
  <c r="G114" i="9"/>
  <c r="F114" i="9"/>
  <c r="E114" i="9"/>
  <c r="D114" i="9"/>
  <c r="O113" i="9"/>
  <c r="K113" i="9"/>
  <c r="T113" i="9" s="1"/>
  <c r="J113" i="9"/>
  <c r="I113" i="9"/>
  <c r="H113" i="9"/>
  <c r="G113" i="9"/>
  <c r="F113" i="9"/>
  <c r="E113" i="9"/>
  <c r="D113" i="9"/>
  <c r="I112" i="9"/>
  <c r="I132" i="9" s="1"/>
  <c r="H112" i="9"/>
  <c r="G112" i="9"/>
  <c r="G257" i="21" s="1"/>
  <c r="F112" i="9"/>
  <c r="B100" i="9"/>
  <c r="D98" i="9"/>
  <c r="P97" i="9"/>
  <c r="N97" i="9"/>
  <c r="K97" i="9"/>
  <c r="T97" i="9" s="1"/>
  <c r="J97" i="9"/>
  <c r="S97" i="9" s="1"/>
  <c r="I97" i="9"/>
  <c r="H97" i="9"/>
  <c r="G97" i="9"/>
  <c r="F97" i="9"/>
  <c r="E97" i="9"/>
  <c r="D97" i="9"/>
  <c r="P96" i="9"/>
  <c r="O96" i="9"/>
  <c r="K96" i="9"/>
  <c r="T96" i="9" s="1"/>
  <c r="J96" i="9"/>
  <c r="S96" i="9" s="1"/>
  <c r="I96" i="9"/>
  <c r="H96" i="9"/>
  <c r="G96" i="9"/>
  <c r="F96" i="9"/>
  <c r="E96" i="9"/>
  <c r="D96" i="9"/>
  <c r="N95" i="9"/>
  <c r="K95" i="9"/>
  <c r="T95" i="9" s="1"/>
  <c r="J95" i="9"/>
  <c r="S95" i="9" s="1"/>
  <c r="I95" i="9"/>
  <c r="H95" i="9"/>
  <c r="G95" i="9"/>
  <c r="P95" i="9" s="1"/>
  <c r="F95" i="9"/>
  <c r="E95" i="9"/>
  <c r="D95" i="9"/>
  <c r="R94" i="9"/>
  <c r="M94" i="9"/>
  <c r="K94" i="9"/>
  <c r="T94" i="9" s="1"/>
  <c r="J94" i="9"/>
  <c r="S94" i="9" s="1"/>
  <c r="I94" i="9"/>
  <c r="H94" i="9"/>
  <c r="G94" i="9"/>
  <c r="F94" i="9"/>
  <c r="O94" i="9" s="1"/>
  <c r="E94" i="9"/>
  <c r="N94" i="9" s="1"/>
  <c r="D94" i="9"/>
  <c r="O93" i="9"/>
  <c r="K93" i="9"/>
  <c r="K92" i="9" s="1"/>
  <c r="J93" i="9"/>
  <c r="S93" i="9" s="1"/>
  <c r="I93" i="9"/>
  <c r="H93" i="9"/>
  <c r="G93" i="9"/>
  <c r="P93" i="9" s="1"/>
  <c r="F93" i="9"/>
  <c r="E93" i="9"/>
  <c r="D93" i="9"/>
  <c r="M93" i="9" s="1"/>
  <c r="J92" i="9"/>
  <c r="S92" i="9" s="1"/>
  <c r="I92" i="9"/>
  <c r="H92" i="9"/>
  <c r="F92" i="9"/>
  <c r="F87" i="9" s="1"/>
  <c r="T91" i="9"/>
  <c r="P91" i="9"/>
  <c r="K91" i="9"/>
  <c r="J91" i="9"/>
  <c r="S91" i="9" s="1"/>
  <c r="I91" i="9"/>
  <c r="E91" i="9"/>
  <c r="D91" i="9"/>
  <c r="M91" i="9" s="1"/>
  <c r="R90" i="9"/>
  <c r="M90" i="9"/>
  <c r="K90" i="9"/>
  <c r="J90" i="9"/>
  <c r="S90" i="9" s="1"/>
  <c r="I90" i="9"/>
  <c r="E90" i="9"/>
  <c r="D90" i="9"/>
  <c r="Q89" i="9"/>
  <c r="K89" i="9"/>
  <c r="J89" i="9"/>
  <c r="S89" i="9" s="1"/>
  <c r="I89" i="9"/>
  <c r="R89" i="9" s="1"/>
  <c r="E89" i="9"/>
  <c r="E88" i="9" s="1"/>
  <c r="D89" i="9"/>
  <c r="K88" i="9"/>
  <c r="J88" i="9"/>
  <c r="I88" i="9"/>
  <c r="K87" i="9"/>
  <c r="I87" i="9"/>
  <c r="H87" i="9"/>
  <c r="S86" i="9"/>
  <c r="O86" i="9"/>
  <c r="K86" i="9"/>
  <c r="J86" i="9"/>
  <c r="I86" i="9"/>
  <c r="H86" i="9"/>
  <c r="Q86" i="9" s="1"/>
  <c r="G86" i="9"/>
  <c r="P86" i="9" s="1"/>
  <c r="F86" i="9"/>
  <c r="E86" i="9"/>
  <c r="D86" i="9"/>
  <c r="K85" i="9"/>
  <c r="T85" i="9" s="1"/>
  <c r="J85" i="9"/>
  <c r="S85" i="9" s="1"/>
  <c r="I85" i="9"/>
  <c r="R85" i="9" s="1"/>
  <c r="H85" i="9"/>
  <c r="G85" i="9"/>
  <c r="P85" i="9" s="1"/>
  <c r="F85" i="9"/>
  <c r="E85" i="9"/>
  <c r="D85" i="9"/>
  <c r="T84" i="9"/>
  <c r="S84" i="9"/>
  <c r="O84" i="9"/>
  <c r="K84" i="9"/>
  <c r="J84" i="9"/>
  <c r="I84" i="9"/>
  <c r="H84" i="9"/>
  <c r="Q84" i="9" s="1"/>
  <c r="G84" i="9"/>
  <c r="F84" i="9"/>
  <c r="E84" i="9"/>
  <c r="D84" i="9"/>
  <c r="T83" i="9"/>
  <c r="R83" i="9"/>
  <c r="K83" i="9"/>
  <c r="J83" i="9"/>
  <c r="I83" i="9"/>
  <c r="H83" i="9"/>
  <c r="G83" i="9"/>
  <c r="P83" i="9" s="1"/>
  <c r="F83" i="9"/>
  <c r="E83" i="9"/>
  <c r="N83" i="9" s="1"/>
  <c r="D83" i="9"/>
  <c r="M83" i="9" s="1"/>
  <c r="S82" i="9"/>
  <c r="R82" i="9"/>
  <c r="K82" i="9"/>
  <c r="J82" i="9"/>
  <c r="I82" i="9"/>
  <c r="H82" i="9"/>
  <c r="Q82" i="9" s="1"/>
  <c r="G82" i="9"/>
  <c r="F82" i="9"/>
  <c r="E82" i="9"/>
  <c r="E79" i="9" s="1"/>
  <c r="D82" i="9"/>
  <c r="S81" i="9"/>
  <c r="P81" i="9"/>
  <c r="K81" i="9"/>
  <c r="T81" i="9" s="1"/>
  <c r="J81" i="9"/>
  <c r="I81" i="9"/>
  <c r="H81" i="9"/>
  <c r="G81" i="9"/>
  <c r="F81" i="9"/>
  <c r="E81" i="9"/>
  <c r="D81" i="9"/>
  <c r="S80" i="9"/>
  <c r="K80" i="9"/>
  <c r="J80" i="9"/>
  <c r="I80" i="9"/>
  <c r="R80" i="9" s="1"/>
  <c r="H80" i="9"/>
  <c r="H79" i="9" s="1"/>
  <c r="G80" i="9"/>
  <c r="F80" i="9"/>
  <c r="E80" i="9"/>
  <c r="D80" i="9"/>
  <c r="M80" i="9" s="1"/>
  <c r="G79" i="9"/>
  <c r="D79" i="9"/>
  <c r="B68" i="9"/>
  <c r="J67" i="9"/>
  <c r="J66" i="9"/>
  <c r="I66" i="9"/>
  <c r="D66" i="9"/>
  <c r="S65" i="9"/>
  <c r="K65" i="9"/>
  <c r="T65" i="9" s="1"/>
  <c r="J65" i="9"/>
  <c r="I65" i="9"/>
  <c r="H65" i="9"/>
  <c r="Q65" i="9" s="1"/>
  <c r="G65" i="9"/>
  <c r="P65" i="9" s="1"/>
  <c r="F65" i="9"/>
  <c r="E65" i="9"/>
  <c r="N65" i="9" s="1"/>
  <c r="D65" i="9"/>
  <c r="S64" i="9"/>
  <c r="K64" i="9"/>
  <c r="J64" i="9"/>
  <c r="I64" i="9"/>
  <c r="R64" i="9" s="1"/>
  <c r="H64" i="9"/>
  <c r="Q64" i="9" s="1"/>
  <c r="G64" i="9"/>
  <c r="P64" i="9" s="1"/>
  <c r="F64" i="9"/>
  <c r="E64" i="9"/>
  <c r="E60" i="9" s="1"/>
  <c r="D64" i="9"/>
  <c r="T63" i="9"/>
  <c r="R63" i="9"/>
  <c r="O63" i="9"/>
  <c r="N63" i="9"/>
  <c r="M63" i="9"/>
  <c r="K63" i="9"/>
  <c r="J63" i="9"/>
  <c r="I63" i="9"/>
  <c r="H63" i="9"/>
  <c r="G63" i="9"/>
  <c r="P63" i="9" s="1"/>
  <c r="F63" i="9"/>
  <c r="E63" i="9"/>
  <c r="D63" i="9"/>
  <c r="T62" i="9"/>
  <c r="R62" i="9"/>
  <c r="Q62" i="9"/>
  <c r="N62" i="9"/>
  <c r="M62" i="9"/>
  <c r="K62" i="9"/>
  <c r="J62" i="9"/>
  <c r="I62" i="9"/>
  <c r="I60" i="9" s="1"/>
  <c r="H62" i="9"/>
  <c r="G62" i="9"/>
  <c r="F62" i="9"/>
  <c r="E62" i="9"/>
  <c r="D62" i="9"/>
  <c r="R61" i="9"/>
  <c r="P61" i="9"/>
  <c r="K61" i="9"/>
  <c r="J61" i="9"/>
  <c r="S61" i="9" s="1"/>
  <c r="I61" i="9"/>
  <c r="H61" i="9"/>
  <c r="G61" i="9"/>
  <c r="F61" i="9"/>
  <c r="E61" i="9"/>
  <c r="D61" i="9"/>
  <c r="S60" i="9"/>
  <c r="J60" i="9"/>
  <c r="G60" i="9"/>
  <c r="S59" i="9"/>
  <c r="K59" i="9"/>
  <c r="T59" i="9" s="1"/>
  <c r="J59" i="9"/>
  <c r="I59" i="9"/>
  <c r="H59" i="9"/>
  <c r="Q59" i="9" s="1"/>
  <c r="G59" i="9"/>
  <c r="P59" i="9" s="1"/>
  <c r="F59" i="9"/>
  <c r="E59" i="9"/>
  <c r="D59" i="9"/>
  <c r="S58" i="9"/>
  <c r="K58" i="9"/>
  <c r="T58" i="9" s="1"/>
  <c r="J58" i="9"/>
  <c r="I58" i="9"/>
  <c r="H58" i="9"/>
  <c r="G58" i="9"/>
  <c r="P58" i="9" s="1"/>
  <c r="F58" i="9"/>
  <c r="O58" i="9" s="1"/>
  <c r="E58" i="9"/>
  <c r="N58" i="9" s="1"/>
  <c r="D58" i="9"/>
  <c r="S57" i="9"/>
  <c r="K57" i="9"/>
  <c r="T57" i="9" s="1"/>
  <c r="J57" i="9"/>
  <c r="I57" i="9"/>
  <c r="H57" i="9"/>
  <c r="Q57" i="9" s="1"/>
  <c r="G57" i="9"/>
  <c r="F57" i="9"/>
  <c r="E57" i="9"/>
  <c r="N57" i="9" s="1"/>
  <c r="D57" i="9"/>
  <c r="M57" i="9" s="1"/>
  <c r="S56" i="9"/>
  <c r="K56" i="9"/>
  <c r="J56" i="9"/>
  <c r="I56" i="9"/>
  <c r="H56" i="9"/>
  <c r="G56" i="9"/>
  <c r="F56" i="9"/>
  <c r="E56" i="9"/>
  <c r="D56" i="9"/>
  <c r="S55" i="9"/>
  <c r="J55" i="9"/>
  <c r="S54" i="9"/>
  <c r="Q54" i="9"/>
  <c r="K54" i="9"/>
  <c r="J54" i="9"/>
  <c r="I54" i="9"/>
  <c r="H54" i="9"/>
  <c r="G54" i="9"/>
  <c r="P54" i="9" s="1"/>
  <c r="F54" i="9"/>
  <c r="O54" i="9" s="1"/>
  <c r="E54" i="9"/>
  <c r="N54" i="9" s="1"/>
  <c r="D54" i="9"/>
  <c r="M54" i="9" s="1"/>
  <c r="S53" i="9"/>
  <c r="P53" i="9"/>
  <c r="K53" i="9"/>
  <c r="T53" i="9" s="1"/>
  <c r="J53" i="9"/>
  <c r="I53" i="9"/>
  <c r="H53" i="9"/>
  <c r="G53" i="9"/>
  <c r="F53" i="9"/>
  <c r="O53" i="9" s="1"/>
  <c r="E53" i="9"/>
  <c r="N53" i="9" s="1"/>
  <c r="D53" i="9"/>
  <c r="M53" i="9" s="1"/>
  <c r="S52" i="9"/>
  <c r="Q52" i="9"/>
  <c r="O52" i="9"/>
  <c r="K52" i="9"/>
  <c r="J52" i="9"/>
  <c r="I52" i="9"/>
  <c r="H52" i="9"/>
  <c r="G52" i="9"/>
  <c r="F52" i="9"/>
  <c r="E52" i="9"/>
  <c r="N52" i="9" s="1"/>
  <c r="D52" i="9"/>
  <c r="M52" i="9" s="1"/>
  <c r="S51" i="9"/>
  <c r="P51" i="9"/>
  <c r="N51" i="9"/>
  <c r="K51" i="9"/>
  <c r="J51" i="9"/>
  <c r="I51" i="9"/>
  <c r="H51" i="9"/>
  <c r="G51" i="9"/>
  <c r="F51" i="9"/>
  <c r="E51" i="9"/>
  <c r="D51" i="9"/>
  <c r="M51" i="9" s="1"/>
  <c r="S50" i="9"/>
  <c r="Q50" i="9"/>
  <c r="O50" i="9"/>
  <c r="M50" i="9"/>
  <c r="K50" i="9"/>
  <c r="J50" i="9"/>
  <c r="I50" i="9"/>
  <c r="H50" i="9"/>
  <c r="G50" i="9"/>
  <c r="F50" i="9"/>
  <c r="E50" i="9"/>
  <c r="D50" i="9"/>
  <c r="S49" i="9"/>
  <c r="Q49" i="9"/>
  <c r="P49" i="9"/>
  <c r="N49" i="9"/>
  <c r="K49" i="9"/>
  <c r="J49" i="9"/>
  <c r="I49" i="9"/>
  <c r="H49" i="9"/>
  <c r="G49" i="9"/>
  <c r="F49" i="9"/>
  <c r="E49" i="9"/>
  <c r="D49" i="9"/>
  <c r="S48" i="9"/>
  <c r="P48" i="9"/>
  <c r="O48" i="9"/>
  <c r="M48" i="9"/>
  <c r="K48" i="9"/>
  <c r="J48" i="9"/>
  <c r="I48" i="9"/>
  <c r="H48" i="9"/>
  <c r="H47" i="9" s="1"/>
  <c r="G48" i="9"/>
  <c r="F48" i="9"/>
  <c r="F47" i="9" s="1"/>
  <c r="E48" i="9"/>
  <c r="D48" i="9"/>
  <c r="S47" i="9"/>
  <c r="J47" i="9"/>
  <c r="I47" i="9"/>
  <c r="D47" i="9"/>
  <c r="B35" i="9"/>
  <c r="K32" i="9"/>
  <c r="T130" i="9" s="1"/>
  <c r="J32" i="9"/>
  <c r="I32" i="9"/>
  <c r="R130" i="9" s="1"/>
  <c r="H32" i="9"/>
  <c r="Q97" i="9" s="1"/>
  <c r="G32" i="9"/>
  <c r="F32" i="9"/>
  <c r="E32" i="9"/>
  <c r="D32" i="9"/>
  <c r="K31" i="9"/>
  <c r="T64" i="9" s="1"/>
  <c r="J31" i="9"/>
  <c r="I31" i="9"/>
  <c r="R129" i="9" s="1"/>
  <c r="H31" i="9"/>
  <c r="Q96" i="9" s="1"/>
  <c r="G31" i="9"/>
  <c r="F31" i="9"/>
  <c r="E31" i="9"/>
  <c r="D31" i="9"/>
  <c r="K30" i="9"/>
  <c r="J30" i="9"/>
  <c r="S63" i="9" s="1"/>
  <c r="I30" i="9"/>
  <c r="R128" i="9" s="1"/>
  <c r="H30" i="9"/>
  <c r="Q95" i="9" s="1"/>
  <c r="G30" i="9"/>
  <c r="F30" i="9"/>
  <c r="O95" i="9" s="1"/>
  <c r="E30" i="9"/>
  <c r="D30" i="9"/>
  <c r="K29" i="9"/>
  <c r="J29" i="9"/>
  <c r="S62" i="9" s="1"/>
  <c r="I29" i="9"/>
  <c r="R127" i="9" s="1"/>
  <c r="H29" i="9"/>
  <c r="Q94" i="9" s="1"/>
  <c r="G29" i="9"/>
  <c r="P62" i="9" s="1"/>
  <c r="F29" i="9"/>
  <c r="E29" i="9"/>
  <c r="N127" i="9" s="1"/>
  <c r="D29" i="9"/>
  <c r="K28" i="9"/>
  <c r="J28" i="9"/>
  <c r="I28" i="9"/>
  <c r="R126" i="9" s="1"/>
  <c r="H28" i="9"/>
  <c r="Q93" i="9" s="1"/>
  <c r="G28" i="9"/>
  <c r="G27" i="9" s="1"/>
  <c r="F28" i="9"/>
  <c r="F27" i="9" s="1"/>
  <c r="E28" i="9"/>
  <c r="D28" i="9"/>
  <c r="J27" i="9"/>
  <c r="K26" i="9"/>
  <c r="J26" i="9"/>
  <c r="I26" i="9"/>
  <c r="H26" i="9"/>
  <c r="G26" i="9"/>
  <c r="P124" i="9" s="1"/>
  <c r="F26" i="9"/>
  <c r="O91" i="9" s="1"/>
  <c r="E26" i="9"/>
  <c r="N59" i="9" s="1"/>
  <c r="D26" i="9"/>
  <c r="M59" i="9" s="1"/>
  <c r="K25" i="9"/>
  <c r="T123" i="9" s="1"/>
  <c r="J25" i="9"/>
  <c r="I25" i="9"/>
  <c r="H25" i="9"/>
  <c r="Q58" i="9" s="1"/>
  <c r="G25" i="9"/>
  <c r="P90" i="9" s="1"/>
  <c r="F25" i="9"/>
  <c r="O90" i="9" s="1"/>
  <c r="E25" i="9"/>
  <c r="E23" i="9" s="1"/>
  <c r="D25" i="9"/>
  <c r="M58" i="9" s="1"/>
  <c r="K24" i="9"/>
  <c r="T122" i="9" s="1"/>
  <c r="J24" i="9"/>
  <c r="I24" i="9"/>
  <c r="R57" i="9" s="1"/>
  <c r="H24" i="9"/>
  <c r="G24" i="9"/>
  <c r="P57" i="9" s="1"/>
  <c r="F24" i="9"/>
  <c r="O89" i="9" s="1"/>
  <c r="E24" i="9"/>
  <c r="N122" i="9" s="1"/>
  <c r="D24" i="9"/>
  <c r="D23" i="9" s="1"/>
  <c r="K23" i="9"/>
  <c r="T88" i="9" s="1"/>
  <c r="J23" i="9"/>
  <c r="F23" i="9"/>
  <c r="J22" i="9"/>
  <c r="K21" i="9"/>
  <c r="J21" i="9"/>
  <c r="I21" i="9"/>
  <c r="H21" i="9"/>
  <c r="G21" i="9"/>
  <c r="P119" i="9" s="1"/>
  <c r="F21" i="9"/>
  <c r="E21" i="9"/>
  <c r="D21" i="9"/>
  <c r="K20" i="9"/>
  <c r="T118" i="9" s="1"/>
  <c r="J20" i="9"/>
  <c r="I20" i="9"/>
  <c r="R53" i="9" s="1"/>
  <c r="H20" i="9"/>
  <c r="G20" i="9"/>
  <c r="P118" i="9" s="1"/>
  <c r="F20" i="9"/>
  <c r="O85" i="9" s="1"/>
  <c r="E20" i="9"/>
  <c r="D20" i="9"/>
  <c r="K19" i="9"/>
  <c r="T52" i="9" s="1"/>
  <c r="J19" i="9"/>
  <c r="I19" i="9"/>
  <c r="H19" i="9"/>
  <c r="G19" i="9"/>
  <c r="F19" i="9"/>
  <c r="E19" i="9"/>
  <c r="D19" i="9"/>
  <c r="K18" i="9"/>
  <c r="T51" i="9" s="1"/>
  <c r="J18" i="9"/>
  <c r="I18" i="9"/>
  <c r="R51" i="9" s="1"/>
  <c r="H18" i="9"/>
  <c r="G18" i="9"/>
  <c r="P116" i="9" s="1"/>
  <c r="F18" i="9"/>
  <c r="E18" i="9"/>
  <c r="D18" i="9"/>
  <c r="K17" i="9"/>
  <c r="T50" i="9" s="1"/>
  <c r="J17" i="9"/>
  <c r="I17" i="9"/>
  <c r="R50" i="9" s="1"/>
  <c r="H17" i="9"/>
  <c r="Q115" i="9" s="1"/>
  <c r="G17" i="9"/>
  <c r="F17" i="9"/>
  <c r="E17" i="9"/>
  <c r="D17" i="9"/>
  <c r="K16" i="9"/>
  <c r="T114" i="9" s="1"/>
  <c r="J16" i="9"/>
  <c r="I16" i="9"/>
  <c r="R49" i="9" s="1"/>
  <c r="H16" i="9"/>
  <c r="Q81" i="9" s="1"/>
  <c r="G16" i="9"/>
  <c r="P114" i="9" s="1"/>
  <c r="F16" i="9"/>
  <c r="E16" i="9"/>
  <c r="D16" i="9"/>
  <c r="K15" i="9"/>
  <c r="J15" i="9"/>
  <c r="I15" i="9"/>
  <c r="R48" i="9" s="1"/>
  <c r="H15" i="9"/>
  <c r="Q113" i="9" s="1"/>
  <c r="G15" i="9"/>
  <c r="P113" i="9" s="1"/>
  <c r="F15" i="9"/>
  <c r="O80" i="9" s="1"/>
  <c r="E15" i="9"/>
  <c r="D15" i="9"/>
  <c r="J14" i="9"/>
  <c r="D14" i="9"/>
  <c r="B133" i="8"/>
  <c r="O130" i="8"/>
  <c r="K130" i="8"/>
  <c r="J130" i="8"/>
  <c r="I130" i="8"/>
  <c r="H130" i="8"/>
  <c r="G130" i="8"/>
  <c r="F130" i="8"/>
  <c r="E130" i="8"/>
  <c r="N130" i="8" s="1"/>
  <c r="D130" i="8"/>
  <c r="M130" i="8" s="1"/>
  <c r="S129" i="8"/>
  <c r="P129" i="8"/>
  <c r="N129" i="8"/>
  <c r="K129" i="8"/>
  <c r="J129" i="8"/>
  <c r="I129" i="8"/>
  <c r="H129" i="8"/>
  <c r="G129" i="8"/>
  <c r="F129" i="8"/>
  <c r="E129" i="8"/>
  <c r="D129" i="8"/>
  <c r="M129" i="8" s="1"/>
  <c r="R128" i="8"/>
  <c r="M128" i="8"/>
  <c r="K128" i="8"/>
  <c r="J128" i="8"/>
  <c r="I128" i="8"/>
  <c r="H128" i="8"/>
  <c r="G128" i="8"/>
  <c r="F128" i="8"/>
  <c r="E128" i="8"/>
  <c r="D128" i="8"/>
  <c r="R127" i="8"/>
  <c r="N127" i="8"/>
  <c r="K127" i="8"/>
  <c r="T127" i="8" s="1"/>
  <c r="J127" i="8"/>
  <c r="I127" i="8"/>
  <c r="H127" i="8"/>
  <c r="G127" i="8"/>
  <c r="F127" i="8"/>
  <c r="E127" i="8"/>
  <c r="D127" i="8"/>
  <c r="P126" i="8"/>
  <c r="M126" i="8"/>
  <c r="K126" i="8"/>
  <c r="J126" i="8"/>
  <c r="I126" i="8"/>
  <c r="H126" i="8"/>
  <c r="G126" i="8"/>
  <c r="F126" i="8"/>
  <c r="F125" i="8" s="1"/>
  <c r="E126" i="8"/>
  <c r="D126" i="8"/>
  <c r="K125" i="8"/>
  <c r="I125" i="8"/>
  <c r="R125" i="8" s="1"/>
  <c r="D125" i="8"/>
  <c r="M125" i="8" s="1"/>
  <c r="N124" i="8"/>
  <c r="K124" i="8"/>
  <c r="J124" i="8"/>
  <c r="I124" i="8"/>
  <c r="R124" i="8" s="1"/>
  <c r="H124" i="8"/>
  <c r="G124" i="8"/>
  <c r="F124" i="8"/>
  <c r="E124" i="8"/>
  <c r="D124" i="8"/>
  <c r="S123" i="8"/>
  <c r="N123" i="8"/>
  <c r="M123" i="8"/>
  <c r="K123" i="8"/>
  <c r="J123" i="8"/>
  <c r="I123" i="8"/>
  <c r="H123" i="8"/>
  <c r="G123" i="8"/>
  <c r="P123" i="8" s="1"/>
  <c r="F123" i="8"/>
  <c r="E123" i="8"/>
  <c r="D123" i="8"/>
  <c r="R122" i="8"/>
  <c r="M122" i="8"/>
  <c r="K122" i="8"/>
  <c r="J122" i="8"/>
  <c r="S122" i="8" s="1"/>
  <c r="I122" i="8"/>
  <c r="H122" i="8"/>
  <c r="G122" i="8"/>
  <c r="P122" i="8" s="1"/>
  <c r="F122" i="8"/>
  <c r="E122" i="8"/>
  <c r="D122" i="8"/>
  <c r="D121" i="8" s="1"/>
  <c r="M121" i="8" s="1"/>
  <c r="K121" i="8"/>
  <c r="G121" i="8"/>
  <c r="E121" i="8"/>
  <c r="K120" i="8"/>
  <c r="K119" i="8"/>
  <c r="J119" i="8"/>
  <c r="S119" i="8" s="1"/>
  <c r="I119" i="8"/>
  <c r="R119" i="8" s="1"/>
  <c r="H119" i="8"/>
  <c r="Q119" i="8" s="1"/>
  <c r="G119" i="8"/>
  <c r="P119" i="8" s="1"/>
  <c r="F119" i="8"/>
  <c r="E119" i="8"/>
  <c r="D119" i="8"/>
  <c r="M119" i="8" s="1"/>
  <c r="S118" i="8"/>
  <c r="N118" i="8"/>
  <c r="K118" i="8"/>
  <c r="J118" i="8"/>
  <c r="I118" i="8"/>
  <c r="R118" i="8" s="1"/>
  <c r="H118" i="8"/>
  <c r="G118" i="8"/>
  <c r="P118" i="8" s="1"/>
  <c r="F118" i="8"/>
  <c r="E118" i="8"/>
  <c r="D118" i="8"/>
  <c r="R117" i="8"/>
  <c r="M117" i="8"/>
  <c r="K117" i="8"/>
  <c r="J117" i="8"/>
  <c r="I117" i="8"/>
  <c r="H117" i="8"/>
  <c r="G117" i="8"/>
  <c r="P117" i="8" s="1"/>
  <c r="F117" i="8"/>
  <c r="E117" i="8"/>
  <c r="N117" i="8" s="1"/>
  <c r="D117" i="8"/>
  <c r="S116" i="8"/>
  <c r="K116" i="8"/>
  <c r="J116" i="8"/>
  <c r="I116" i="8"/>
  <c r="H116" i="8"/>
  <c r="G116" i="8"/>
  <c r="P116" i="8" s="1"/>
  <c r="F116" i="8"/>
  <c r="O116" i="8" s="1"/>
  <c r="E116" i="8"/>
  <c r="N116" i="8" s="1"/>
  <c r="D116" i="8"/>
  <c r="M116" i="8" s="1"/>
  <c r="R115" i="8"/>
  <c r="P115" i="8"/>
  <c r="K115" i="8"/>
  <c r="J115" i="8"/>
  <c r="I115" i="8"/>
  <c r="H115" i="8"/>
  <c r="G115" i="8"/>
  <c r="F115" i="8"/>
  <c r="E115" i="8"/>
  <c r="N115" i="8" s="1"/>
  <c r="D115" i="8"/>
  <c r="M115" i="8" s="1"/>
  <c r="K114" i="8"/>
  <c r="J114" i="8"/>
  <c r="I114" i="8"/>
  <c r="R114" i="8" s="1"/>
  <c r="H114" i="8"/>
  <c r="G114" i="8"/>
  <c r="F114" i="8"/>
  <c r="F112" i="8" s="1"/>
  <c r="E114" i="8"/>
  <c r="N114" i="8" s="1"/>
  <c r="D114" i="8"/>
  <c r="M114" i="8" s="1"/>
  <c r="S113" i="8"/>
  <c r="P113" i="8"/>
  <c r="N113" i="8"/>
  <c r="K113" i="8"/>
  <c r="J113" i="8"/>
  <c r="I113" i="8"/>
  <c r="H113" i="8"/>
  <c r="G113" i="8"/>
  <c r="F113" i="8"/>
  <c r="E113" i="8"/>
  <c r="E112" i="8" s="1"/>
  <c r="D113" i="8"/>
  <c r="D112" i="8" s="1"/>
  <c r="K112" i="8"/>
  <c r="K255" i="19" s="1"/>
  <c r="G112" i="8"/>
  <c r="B100" i="8"/>
  <c r="P97" i="8"/>
  <c r="K97" i="8"/>
  <c r="J97" i="8"/>
  <c r="S97" i="8" s="1"/>
  <c r="I97" i="8"/>
  <c r="H97" i="8"/>
  <c r="Q97" i="8" s="1"/>
  <c r="G97" i="8"/>
  <c r="F97" i="8"/>
  <c r="E97" i="8"/>
  <c r="D97" i="8"/>
  <c r="N96" i="8"/>
  <c r="K96" i="8"/>
  <c r="J96" i="8"/>
  <c r="I96" i="8"/>
  <c r="R96" i="8" s="1"/>
  <c r="H96" i="8"/>
  <c r="G96" i="8"/>
  <c r="P96" i="8" s="1"/>
  <c r="F96" i="8"/>
  <c r="E96" i="8"/>
  <c r="D96" i="8"/>
  <c r="S95" i="8"/>
  <c r="N95" i="8"/>
  <c r="K95" i="8"/>
  <c r="T95" i="8" s="1"/>
  <c r="J95" i="8"/>
  <c r="I95" i="8"/>
  <c r="H95" i="8"/>
  <c r="G95" i="8"/>
  <c r="F95" i="8"/>
  <c r="E95" i="8"/>
  <c r="D95" i="8"/>
  <c r="R94" i="8"/>
  <c r="K94" i="8"/>
  <c r="J94" i="8"/>
  <c r="S94" i="8" s="1"/>
  <c r="I94" i="8"/>
  <c r="H94" i="8"/>
  <c r="G94" i="8"/>
  <c r="F94" i="8"/>
  <c r="E94" i="8"/>
  <c r="D94" i="8"/>
  <c r="K93" i="8"/>
  <c r="K92" i="8" s="1"/>
  <c r="J93" i="8"/>
  <c r="J92" i="8" s="1"/>
  <c r="S92" i="8" s="1"/>
  <c r="I93" i="8"/>
  <c r="H93" i="8"/>
  <c r="G93" i="8"/>
  <c r="F93" i="8"/>
  <c r="E93" i="8"/>
  <c r="D93" i="8"/>
  <c r="H92" i="8"/>
  <c r="D92" i="8"/>
  <c r="T91" i="8"/>
  <c r="O91" i="8"/>
  <c r="K91" i="8"/>
  <c r="J91" i="8"/>
  <c r="S91" i="8" s="1"/>
  <c r="I91" i="8"/>
  <c r="R91" i="8" s="1"/>
  <c r="H91" i="8"/>
  <c r="G91" i="8"/>
  <c r="P91" i="8" s="1"/>
  <c r="F91" i="8"/>
  <c r="E91" i="8"/>
  <c r="D91" i="8"/>
  <c r="S90" i="8"/>
  <c r="N90" i="8"/>
  <c r="K90" i="8"/>
  <c r="J90" i="8"/>
  <c r="I90" i="8"/>
  <c r="I88" i="8" s="1"/>
  <c r="R88" i="8" s="1"/>
  <c r="H90" i="8"/>
  <c r="G90" i="8"/>
  <c r="P90" i="8" s="1"/>
  <c r="F90" i="8"/>
  <c r="E90" i="8"/>
  <c r="D90" i="8"/>
  <c r="R89" i="8"/>
  <c r="K89" i="8"/>
  <c r="K88" i="8" s="1"/>
  <c r="J89" i="8"/>
  <c r="I89" i="8"/>
  <c r="H89" i="8"/>
  <c r="H88" i="8" s="1"/>
  <c r="H87" i="8" s="1"/>
  <c r="G89" i="8"/>
  <c r="G88" i="8" s="1"/>
  <c r="F89" i="8"/>
  <c r="E89" i="8"/>
  <c r="D89" i="8"/>
  <c r="J88" i="8"/>
  <c r="D88" i="8"/>
  <c r="D87" i="8"/>
  <c r="O86" i="8"/>
  <c r="K86" i="8"/>
  <c r="J86" i="8"/>
  <c r="I86" i="8"/>
  <c r="R86" i="8" s="1"/>
  <c r="H86" i="8"/>
  <c r="Q86" i="8" s="1"/>
  <c r="G86" i="8"/>
  <c r="F86" i="8"/>
  <c r="E86" i="8"/>
  <c r="N86" i="8" s="1"/>
  <c r="D86" i="8"/>
  <c r="S85" i="8"/>
  <c r="R85" i="8"/>
  <c r="N85" i="8"/>
  <c r="K85" i="8"/>
  <c r="J85" i="8"/>
  <c r="I85" i="8"/>
  <c r="H85" i="8"/>
  <c r="Q85" i="8" s="1"/>
  <c r="G85" i="8"/>
  <c r="P85" i="8" s="1"/>
  <c r="F85" i="8"/>
  <c r="E85" i="8"/>
  <c r="D85" i="8"/>
  <c r="S84" i="8"/>
  <c r="R84" i="8"/>
  <c r="K84" i="8"/>
  <c r="J84" i="8"/>
  <c r="I84" i="8"/>
  <c r="H84" i="8"/>
  <c r="G84" i="8"/>
  <c r="P84" i="8" s="1"/>
  <c r="F84" i="8"/>
  <c r="E84" i="8"/>
  <c r="D84" i="8"/>
  <c r="R83" i="8"/>
  <c r="K83" i="8"/>
  <c r="J83" i="8"/>
  <c r="S83" i="8" s="1"/>
  <c r="I83" i="8"/>
  <c r="H83" i="8"/>
  <c r="G83" i="8"/>
  <c r="F83" i="8"/>
  <c r="O83" i="8" s="1"/>
  <c r="E83" i="8"/>
  <c r="D83" i="8"/>
  <c r="P82" i="8"/>
  <c r="K82" i="8"/>
  <c r="J82" i="8"/>
  <c r="I82" i="8"/>
  <c r="R82" i="8" s="1"/>
  <c r="H82" i="8"/>
  <c r="G82" i="8"/>
  <c r="F82" i="8"/>
  <c r="E82" i="8"/>
  <c r="N82" i="8" s="1"/>
  <c r="D82" i="8"/>
  <c r="M82" i="8" s="1"/>
  <c r="P81" i="8"/>
  <c r="K81" i="8"/>
  <c r="J81" i="8"/>
  <c r="I81" i="8"/>
  <c r="H81" i="8"/>
  <c r="G81" i="8"/>
  <c r="F81" i="8"/>
  <c r="E81" i="8"/>
  <c r="D81" i="8"/>
  <c r="N80" i="8"/>
  <c r="K80" i="8"/>
  <c r="J80" i="8"/>
  <c r="I80" i="8"/>
  <c r="H80" i="8"/>
  <c r="G80" i="8"/>
  <c r="F80" i="8"/>
  <c r="E80" i="8"/>
  <c r="D80" i="8"/>
  <c r="F79" i="8"/>
  <c r="D79" i="8"/>
  <c r="D99" i="8" s="1"/>
  <c r="B68" i="8"/>
  <c r="H67" i="8"/>
  <c r="F67" i="8"/>
  <c r="Q65" i="8"/>
  <c r="K65" i="8"/>
  <c r="T65" i="8" s="1"/>
  <c r="J65" i="8"/>
  <c r="S65" i="8" s="1"/>
  <c r="I65" i="8"/>
  <c r="R65" i="8" s="1"/>
  <c r="H65" i="8"/>
  <c r="G65" i="8"/>
  <c r="P65" i="8" s="1"/>
  <c r="F65" i="8"/>
  <c r="E65" i="8"/>
  <c r="D65" i="8"/>
  <c r="K64" i="8"/>
  <c r="J64" i="8"/>
  <c r="S64" i="8" s="1"/>
  <c r="I64" i="8"/>
  <c r="R64" i="8" s="1"/>
  <c r="H64" i="8"/>
  <c r="G64" i="8"/>
  <c r="P64" i="8" s="1"/>
  <c r="F64" i="8"/>
  <c r="E64" i="8"/>
  <c r="D64" i="8"/>
  <c r="K63" i="8"/>
  <c r="J63" i="8"/>
  <c r="S63" i="8" s="1"/>
  <c r="I63" i="8"/>
  <c r="R63" i="8" s="1"/>
  <c r="H63" i="8"/>
  <c r="G63" i="8"/>
  <c r="F63" i="8"/>
  <c r="E63" i="8"/>
  <c r="D63" i="8"/>
  <c r="K62" i="8"/>
  <c r="J62" i="8"/>
  <c r="S62" i="8" s="1"/>
  <c r="I62" i="8"/>
  <c r="R62" i="8" s="1"/>
  <c r="H62" i="8"/>
  <c r="G62" i="8"/>
  <c r="P62" i="8" s="1"/>
  <c r="F62" i="8"/>
  <c r="O62" i="8" s="1"/>
  <c r="E62" i="8"/>
  <c r="D62" i="8"/>
  <c r="K61" i="8"/>
  <c r="J61" i="8"/>
  <c r="S61" i="8" s="1"/>
  <c r="I61" i="8"/>
  <c r="R61" i="8" s="1"/>
  <c r="H61" i="8"/>
  <c r="G61" i="8"/>
  <c r="P61" i="8" s="1"/>
  <c r="F61" i="8"/>
  <c r="E61" i="8"/>
  <c r="D61" i="8"/>
  <c r="J60" i="8"/>
  <c r="S60" i="8" s="1"/>
  <c r="I60" i="8"/>
  <c r="R60" i="8" s="1"/>
  <c r="H60" i="8"/>
  <c r="F60" i="8"/>
  <c r="D60" i="8"/>
  <c r="K59" i="8"/>
  <c r="T59" i="8" s="1"/>
  <c r="J59" i="8"/>
  <c r="S59" i="8" s="1"/>
  <c r="I59" i="8"/>
  <c r="R59" i="8" s="1"/>
  <c r="H59" i="8"/>
  <c r="G59" i="8"/>
  <c r="P59" i="8" s="1"/>
  <c r="F59" i="8"/>
  <c r="E59" i="8"/>
  <c r="D59" i="8"/>
  <c r="Q58" i="8"/>
  <c r="K58" i="8"/>
  <c r="T58" i="8" s="1"/>
  <c r="J58" i="8"/>
  <c r="S58" i="8" s="1"/>
  <c r="I58" i="8"/>
  <c r="R58" i="8" s="1"/>
  <c r="H58" i="8"/>
  <c r="G58" i="8"/>
  <c r="P58" i="8" s="1"/>
  <c r="F58" i="8"/>
  <c r="E58" i="8"/>
  <c r="D58" i="8"/>
  <c r="K57" i="8"/>
  <c r="K56" i="8" s="1"/>
  <c r="J57" i="8"/>
  <c r="S57" i="8" s="1"/>
  <c r="I57" i="8"/>
  <c r="R57" i="8" s="1"/>
  <c r="H57" i="8"/>
  <c r="G57" i="8"/>
  <c r="P57" i="8" s="1"/>
  <c r="F57" i="8"/>
  <c r="E57" i="8"/>
  <c r="D57" i="8"/>
  <c r="I56" i="8"/>
  <c r="R56" i="8" s="1"/>
  <c r="H56" i="8"/>
  <c r="F56" i="8"/>
  <c r="D56" i="8"/>
  <c r="I55" i="8"/>
  <c r="R55" i="8" s="1"/>
  <c r="H55" i="8"/>
  <c r="F55" i="8"/>
  <c r="D55" i="8"/>
  <c r="K54" i="8"/>
  <c r="J54" i="8"/>
  <c r="S54" i="8" s="1"/>
  <c r="I54" i="8"/>
  <c r="R54" i="8" s="1"/>
  <c r="H54" i="8"/>
  <c r="G54" i="8"/>
  <c r="P54" i="8" s="1"/>
  <c r="F54" i="8"/>
  <c r="E54" i="8"/>
  <c r="D54" i="8"/>
  <c r="K53" i="8"/>
  <c r="J53" i="8"/>
  <c r="S53" i="8" s="1"/>
  <c r="I53" i="8"/>
  <c r="R53" i="8" s="1"/>
  <c r="H53" i="8"/>
  <c r="G53" i="8"/>
  <c r="P53" i="8" s="1"/>
  <c r="F53" i="8"/>
  <c r="E53" i="8"/>
  <c r="D53" i="8"/>
  <c r="K52" i="8"/>
  <c r="J52" i="8"/>
  <c r="I52" i="8"/>
  <c r="R52" i="8" s="1"/>
  <c r="H52" i="8"/>
  <c r="G52" i="8"/>
  <c r="P52" i="8" s="1"/>
  <c r="F52" i="8"/>
  <c r="E52" i="8"/>
  <c r="D52" i="8"/>
  <c r="K51" i="8"/>
  <c r="T51" i="8" s="1"/>
  <c r="J51" i="8"/>
  <c r="I51" i="8"/>
  <c r="R51" i="8" s="1"/>
  <c r="H51" i="8"/>
  <c r="G51" i="8"/>
  <c r="P51" i="8" s="1"/>
  <c r="F51" i="8"/>
  <c r="E51" i="8"/>
  <c r="D51" i="8"/>
  <c r="Q50" i="8"/>
  <c r="K50" i="8"/>
  <c r="J50" i="8"/>
  <c r="S50" i="8" s="1"/>
  <c r="I50" i="8"/>
  <c r="R50" i="8" s="1"/>
  <c r="H50" i="8"/>
  <c r="G50" i="8"/>
  <c r="P50" i="8" s="1"/>
  <c r="F50" i="8"/>
  <c r="E50" i="8"/>
  <c r="D50" i="8"/>
  <c r="Q49" i="8"/>
  <c r="K49" i="8"/>
  <c r="T49" i="8" s="1"/>
  <c r="J49" i="8"/>
  <c r="S49" i="8" s="1"/>
  <c r="I49" i="8"/>
  <c r="R49" i="8" s="1"/>
  <c r="H49" i="8"/>
  <c r="G49" i="8"/>
  <c r="P49" i="8" s="1"/>
  <c r="F49" i="8"/>
  <c r="E49" i="8"/>
  <c r="D49" i="8"/>
  <c r="K48" i="8"/>
  <c r="K47" i="8" s="1"/>
  <c r="J48" i="8"/>
  <c r="S48" i="8" s="1"/>
  <c r="I48" i="8"/>
  <c r="R48" i="8" s="1"/>
  <c r="H48" i="8"/>
  <c r="G48" i="8"/>
  <c r="P48" i="8" s="1"/>
  <c r="F48" i="8"/>
  <c r="O48" i="8" s="1"/>
  <c r="E48" i="8"/>
  <c r="D48" i="8"/>
  <c r="I47" i="8"/>
  <c r="I66" i="8" s="1"/>
  <c r="H47" i="8"/>
  <c r="H66" i="8" s="1"/>
  <c r="H89" i="13" s="1"/>
  <c r="G47" i="8"/>
  <c r="F47" i="8"/>
  <c r="D47" i="8"/>
  <c r="D67" i="8" s="1"/>
  <c r="B35" i="8"/>
  <c r="R33" i="8"/>
  <c r="K32" i="8"/>
  <c r="J32" i="8"/>
  <c r="S130" i="8" s="1"/>
  <c r="I32" i="8"/>
  <c r="R97" i="8" s="1"/>
  <c r="H32" i="8"/>
  <c r="Q130" i="8" s="1"/>
  <c r="G32" i="8"/>
  <c r="F32" i="8"/>
  <c r="E32" i="8"/>
  <c r="N97" i="8" s="1"/>
  <c r="D32" i="8"/>
  <c r="M97" i="8" s="1"/>
  <c r="R31" i="8"/>
  <c r="K31" i="8"/>
  <c r="T96" i="8" s="1"/>
  <c r="J31" i="8"/>
  <c r="S96" i="8" s="1"/>
  <c r="I31" i="8"/>
  <c r="R129" i="8" s="1"/>
  <c r="H31" i="8"/>
  <c r="G31" i="8"/>
  <c r="F31" i="8"/>
  <c r="E31" i="8"/>
  <c r="D31" i="8"/>
  <c r="M96" i="8" s="1"/>
  <c r="K30" i="8"/>
  <c r="J30" i="8"/>
  <c r="S128" i="8" s="1"/>
  <c r="I30" i="8"/>
  <c r="R95" i="8" s="1"/>
  <c r="H30" i="8"/>
  <c r="G30" i="8"/>
  <c r="F30" i="8"/>
  <c r="O128" i="8" s="1"/>
  <c r="E30" i="8"/>
  <c r="N128" i="8" s="1"/>
  <c r="D30" i="8"/>
  <c r="M95" i="8" s="1"/>
  <c r="K29" i="8"/>
  <c r="J29" i="8"/>
  <c r="S127" i="8" s="1"/>
  <c r="I29" i="8"/>
  <c r="H29" i="8"/>
  <c r="Q62" i="8" s="1"/>
  <c r="G29" i="8"/>
  <c r="F29" i="8"/>
  <c r="E29" i="8"/>
  <c r="D29" i="8"/>
  <c r="M94" i="8" s="1"/>
  <c r="K28" i="8"/>
  <c r="J28" i="8"/>
  <c r="S28" i="8" s="1"/>
  <c r="I28" i="8"/>
  <c r="R126" i="8" s="1"/>
  <c r="H28" i="8"/>
  <c r="Q61" i="8" s="1"/>
  <c r="G28" i="8"/>
  <c r="P93" i="8" s="1"/>
  <c r="F28" i="8"/>
  <c r="E28" i="8"/>
  <c r="N93" i="8" s="1"/>
  <c r="D28" i="8"/>
  <c r="M93" i="8" s="1"/>
  <c r="J27" i="8"/>
  <c r="I27" i="8"/>
  <c r="G27" i="8"/>
  <c r="E27" i="8"/>
  <c r="D27" i="8"/>
  <c r="M92" i="8" s="1"/>
  <c r="K26" i="8"/>
  <c r="J26" i="8"/>
  <c r="I26" i="8"/>
  <c r="H26" i="8"/>
  <c r="G26" i="8"/>
  <c r="F26" i="8"/>
  <c r="E26" i="8"/>
  <c r="N91" i="8" s="1"/>
  <c r="D26" i="8"/>
  <c r="M91" i="8" s="1"/>
  <c r="K25" i="8"/>
  <c r="J25" i="8"/>
  <c r="S25" i="8" s="1"/>
  <c r="I25" i="8"/>
  <c r="H25" i="8"/>
  <c r="H23" i="8" s="1"/>
  <c r="G25" i="8"/>
  <c r="F25" i="8"/>
  <c r="E25" i="8"/>
  <c r="D25" i="8"/>
  <c r="M90" i="8" s="1"/>
  <c r="K24" i="8"/>
  <c r="K23" i="8" s="1"/>
  <c r="J24" i="8"/>
  <c r="S89" i="8" s="1"/>
  <c r="I24" i="8"/>
  <c r="H24" i="8"/>
  <c r="G24" i="8"/>
  <c r="F24" i="8"/>
  <c r="E24" i="8"/>
  <c r="N122" i="8" s="1"/>
  <c r="D24" i="8"/>
  <c r="M89" i="8" s="1"/>
  <c r="R23" i="8"/>
  <c r="J23" i="8"/>
  <c r="I23" i="8"/>
  <c r="G23" i="8"/>
  <c r="F23" i="8"/>
  <c r="E23" i="8"/>
  <c r="D23" i="8"/>
  <c r="M88" i="8" s="1"/>
  <c r="J22" i="8"/>
  <c r="I22" i="8"/>
  <c r="G22" i="8"/>
  <c r="E22" i="8"/>
  <c r="D22" i="8"/>
  <c r="M87" i="8" s="1"/>
  <c r="K21" i="8"/>
  <c r="J21" i="8"/>
  <c r="S86" i="8" s="1"/>
  <c r="I21" i="8"/>
  <c r="H21" i="8"/>
  <c r="Q54" i="8" s="1"/>
  <c r="G21" i="8"/>
  <c r="F21" i="8"/>
  <c r="E21" i="8"/>
  <c r="D21" i="8"/>
  <c r="M54" i="8" s="1"/>
  <c r="K20" i="8"/>
  <c r="J20" i="8"/>
  <c r="S20" i="8" s="1"/>
  <c r="I20" i="8"/>
  <c r="H20" i="8"/>
  <c r="G20" i="8"/>
  <c r="F20" i="8"/>
  <c r="E20" i="8"/>
  <c r="D20" i="8"/>
  <c r="M53" i="8" s="1"/>
  <c r="K19" i="8"/>
  <c r="J19" i="8"/>
  <c r="S117" i="8" s="1"/>
  <c r="I19" i="8"/>
  <c r="H19" i="8"/>
  <c r="Q52" i="8" s="1"/>
  <c r="G19" i="8"/>
  <c r="F19" i="8"/>
  <c r="E19" i="8"/>
  <c r="D19" i="8"/>
  <c r="M52" i="8" s="1"/>
  <c r="K18" i="8"/>
  <c r="J18" i="8"/>
  <c r="S18" i="8" s="1"/>
  <c r="I18" i="8"/>
  <c r="R116" i="8" s="1"/>
  <c r="H18" i="8"/>
  <c r="G18" i="8"/>
  <c r="F18" i="8"/>
  <c r="E18" i="8"/>
  <c r="D18" i="8"/>
  <c r="M51" i="8" s="1"/>
  <c r="K17" i="8"/>
  <c r="J17" i="8"/>
  <c r="S82" i="8" s="1"/>
  <c r="I17" i="8"/>
  <c r="H17" i="8"/>
  <c r="G17" i="8"/>
  <c r="F17" i="8"/>
  <c r="E17" i="8"/>
  <c r="D17" i="8"/>
  <c r="M50" i="8" s="1"/>
  <c r="K16" i="8"/>
  <c r="J16" i="8"/>
  <c r="S114" i="8" s="1"/>
  <c r="I16" i="8"/>
  <c r="R81" i="8" s="1"/>
  <c r="H16" i="8"/>
  <c r="Q114" i="8" s="1"/>
  <c r="G16" i="8"/>
  <c r="F16" i="8"/>
  <c r="E16" i="8"/>
  <c r="D16" i="8"/>
  <c r="M49" i="8" s="1"/>
  <c r="R15" i="8"/>
  <c r="K15" i="8"/>
  <c r="T80" i="8" s="1"/>
  <c r="J15" i="8"/>
  <c r="S80" i="8" s="1"/>
  <c r="I15" i="8"/>
  <c r="R113" i="8" s="1"/>
  <c r="H15" i="8"/>
  <c r="G15" i="8"/>
  <c r="F15" i="8"/>
  <c r="E15" i="8"/>
  <c r="D15" i="8"/>
  <c r="M48" i="8" s="1"/>
  <c r="R14" i="8"/>
  <c r="J14" i="8"/>
  <c r="J34" i="8" s="1"/>
  <c r="I14" i="8"/>
  <c r="I34" i="8" s="1"/>
  <c r="I33" i="8" s="1"/>
  <c r="H14" i="8"/>
  <c r="G14" i="8"/>
  <c r="E14" i="8"/>
  <c r="D14" i="8"/>
  <c r="M47" i="8" s="1"/>
  <c r="B133" i="7"/>
  <c r="S130" i="7"/>
  <c r="N130" i="7"/>
  <c r="K130" i="7"/>
  <c r="J130" i="7"/>
  <c r="I130" i="7"/>
  <c r="H130" i="7"/>
  <c r="G130" i="7"/>
  <c r="P130" i="7" s="1"/>
  <c r="F130" i="7"/>
  <c r="E130" i="7"/>
  <c r="M129" i="7"/>
  <c r="K129" i="7"/>
  <c r="I129" i="7"/>
  <c r="G129" i="7"/>
  <c r="P129" i="7" s="1"/>
  <c r="F129" i="7"/>
  <c r="D129" i="7"/>
  <c r="K128" i="7"/>
  <c r="J128" i="7"/>
  <c r="I128" i="7"/>
  <c r="G128" i="7"/>
  <c r="E128" i="7"/>
  <c r="D128" i="7"/>
  <c r="K127" i="7"/>
  <c r="J127" i="7"/>
  <c r="I127" i="7"/>
  <c r="R127" i="7" s="1"/>
  <c r="H127" i="7"/>
  <c r="G127" i="7"/>
  <c r="P127" i="7" s="1"/>
  <c r="E127" i="7"/>
  <c r="M126" i="7"/>
  <c r="K126" i="7"/>
  <c r="I126" i="7"/>
  <c r="R126" i="7" s="1"/>
  <c r="H126" i="7"/>
  <c r="G126" i="7"/>
  <c r="P126" i="7" s="1"/>
  <c r="F126" i="7"/>
  <c r="D126" i="7"/>
  <c r="K125" i="7"/>
  <c r="I125" i="7"/>
  <c r="M124" i="7"/>
  <c r="K124" i="7"/>
  <c r="I124" i="7"/>
  <c r="G124" i="7"/>
  <c r="P124" i="7" s="1"/>
  <c r="F124" i="7"/>
  <c r="D124" i="7"/>
  <c r="M123" i="7"/>
  <c r="K123" i="7"/>
  <c r="J123" i="7"/>
  <c r="I123" i="7"/>
  <c r="R123" i="7" s="1"/>
  <c r="H123" i="7"/>
  <c r="Q123" i="7" s="1"/>
  <c r="G123" i="7"/>
  <c r="P123" i="7" s="1"/>
  <c r="F123" i="7"/>
  <c r="E123" i="7"/>
  <c r="D123" i="7"/>
  <c r="M122" i="7"/>
  <c r="K122" i="7"/>
  <c r="J122" i="7"/>
  <c r="I122" i="7"/>
  <c r="I121" i="7" s="1"/>
  <c r="G122" i="7"/>
  <c r="G121" i="7" s="1"/>
  <c r="E122" i="7"/>
  <c r="D122" i="7"/>
  <c r="M121" i="7"/>
  <c r="K121" i="7"/>
  <c r="D121" i="7"/>
  <c r="K119" i="7"/>
  <c r="J119" i="7"/>
  <c r="I119" i="7"/>
  <c r="R119" i="7" s="1"/>
  <c r="H119" i="7"/>
  <c r="G119" i="7"/>
  <c r="P119" i="7" s="1"/>
  <c r="K118" i="7"/>
  <c r="J118" i="7"/>
  <c r="I118" i="7"/>
  <c r="H118" i="7"/>
  <c r="G118" i="7"/>
  <c r="P118" i="7" s="1"/>
  <c r="F118" i="7"/>
  <c r="E118" i="7"/>
  <c r="M117" i="7"/>
  <c r="K117" i="7"/>
  <c r="T117" i="7" s="1"/>
  <c r="J117" i="7"/>
  <c r="I117" i="7"/>
  <c r="H117" i="7"/>
  <c r="G117" i="7"/>
  <c r="F117" i="7"/>
  <c r="E117" i="7"/>
  <c r="D117" i="7"/>
  <c r="M116" i="7"/>
  <c r="K116" i="7"/>
  <c r="J116" i="7"/>
  <c r="I116" i="7"/>
  <c r="H116" i="7"/>
  <c r="G116" i="7"/>
  <c r="P116" i="7" s="1"/>
  <c r="F116" i="7"/>
  <c r="E116" i="7"/>
  <c r="D116" i="7"/>
  <c r="K115" i="7"/>
  <c r="I115" i="7"/>
  <c r="R115" i="7" s="1"/>
  <c r="H115" i="7"/>
  <c r="G115" i="7"/>
  <c r="F115" i="7"/>
  <c r="E115" i="7"/>
  <c r="K114" i="7"/>
  <c r="T114" i="7" s="1"/>
  <c r="I114" i="7"/>
  <c r="H114" i="7"/>
  <c r="G114" i="7"/>
  <c r="P114" i="7" s="1"/>
  <c r="F114" i="7"/>
  <c r="M113" i="7"/>
  <c r="K113" i="7"/>
  <c r="I113" i="7"/>
  <c r="G113" i="7"/>
  <c r="P113" i="7" s="1"/>
  <c r="F113" i="7"/>
  <c r="E113" i="7"/>
  <c r="D113" i="7"/>
  <c r="B100" i="7"/>
  <c r="K97" i="7"/>
  <c r="J97" i="7"/>
  <c r="I97" i="7"/>
  <c r="H97" i="7"/>
  <c r="Q97" i="7" s="1"/>
  <c r="G97" i="7"/>
  <c r="P97" i="7" s="1"/>
  <c r="F97" i="7"/>
  <c r="E97" i="7"/>
  <c r="D97" i="7"/>
  <c r="K96" i="7"/>
  <c r="J96" i="7"/>
  <c r="S96" i="7" s="1"/>
  <c r="I96" i="7"/>
  <c r="H96" i="7"/>
  <c r="G96" i="7"/>
  <c r="P96" i="7" s="1"/>
  <c r="F96" i="7"/>
  <c r="E96" i="7"/>
  <c r="K95" i="7"/>
  <c r="J95" i="7"/>
  <c r="I95" i="7"/>
  <c r="H95" i="7"/>
  <c r="G95" i="7"/>
  <c r="P95" i="7" s="1"/>
  <c r="F95" i="7"/>
  <c r="E95" i="7"/>
  <c r="D95" i="7"/>
  <c r="M94" i="7"/>
  <c r="K94" i="7"/>
  <c r="J94" i="7"/>
  <c r="I94" i="7"/>
  <c r="H94" i="7"/>
  <c r="F94" i="7"/>
  <c r="D94" i="7"/>
  <c r="M93" i="7"/>
  <c r="K93" i="7"/>
  <c r="J93" i="7"/>
  <c r="I93" i="7"/>
  <c r="H93" i="7"/>
  <c r="G93" i="7"/>
  <c r="P93" i="7" s="1"/>
  <c r="F93" i="7"/>
  <c r="F92" i="7" s="1"/>
  <c r="D93" i="7"/>
  <c r="K92" i="7"/>
  <c r="I92" i="7"/>
  <c r="H92" i="7"/>
  <c r="M91" i="7"/>
  <c r="K91" i="7"/>
  <c r="J91" i="7"/>
  <c r="I91" i="7"/>
  <c r="H91" i="7"/>
  <c r="G91" i="7"/>
  <c r="P91" i="7" s="1"/>
  <c r="F91" i="7"/>
  <c r="E91" i="7"/>
  <c r="D91" i="7"/>
  <c r="N90" i="7"/>
  <c r="M90" i="7"/>
  <c r="K90" i="7"/>
  <c r="J90" i="7"/>
  <c r="I90" i="7"/>
  <c r="H90" i="7"/>
  <c r="G90" i="7"/>
  <c r="E90" i="7"/>
  <c r="D90" i="7"/>
  <c r="M89" i="7"/>
  <c r="K89" i="7"/>
  <c r="J89" i="7"/>
  <c r="I89" i="7"/>
  <c r="R89" i="7" s="1"/>
  <c r="H89" i="7"/>
  <c r="G89" i="7"/>
  <c r="F89" i="7"/>
  <c r="D89" i="7"/>
  <c r="M88" i="7"/>
  <c r="K88" i="7"/>
  <c r="D88" i="7"/>
  <c r="K87" i="7"/>
  <c r="K86" i="7"/>
  <c r="J86" i="7"/>
  <c r="I86" i="7"/>
  <c r="H86" i="7"/>
  <c r="G86" i="7"/>
  <c r="P86" i="7" s="1"/>
  <c r="F86" i="7"/>
  <c r="D86" i="7"/>
  <c r="M85" i="7"/>
  <c r="K85" i="7"/>
  <c r="J85" i="7"/>
  <c r="I85" i="7"/>
  <c r="H85" i="7"/>
  <c r="G85" i="7"/>
  <c r="P85" i="7" s="1"/>
  <c r="F85" i="7"/>
  <c r="D85" i="7"/>
  <c r="T84" i="7"/>
  <c r="M84" i="7"/>
  <c r="K84" i="7"/>
  <c r="J84" i="7"/>
  <c r="I84" i="7"/>
  <c r="R84" i="7" s="1"/>
  <c r="H84" i="7"/>
  <c r="G84" i="7"/>
  <c r="F84" i="7"/>
  <c r="E84" i="7"/>
  <c r="D84" i="7"/>
  <c r="M83" i="7"/>
  <c r="K83" i="7"/>
  <c r="I83" i="7"/>
  <c r="H83" i="7"/>
  <c r="G83" i="7"/>
  <c r="P83" i="7" s="1"/>
  <c r="F83" i="7"/>
  <c r="D83" i="7"/>
  <c r="M82" i="7"/>
  <c r="K82" i="7"/>
  <c r="J82" i="7"/>
  <c r="I82" i="7"/>
  <c r="H82" i="7"/>
  <c r="Q82" i="7" s="1"/>
  <c r="G82" i="7"/>
  <c r="F82" i="7"/>
  <c r="E82" i="7"/>
  <c r="D82" i="7"/>
  <c r="K81" i="7"/>
  <c r="J81" i="7"/>
  <c r="I81" i="7"/>
  <c r="G81" i="7"/>
  <c r="P81" i="7" s="1"/>
  <c r="F81" i="7"/>
  <c r="E81" i="7"/>
  <c r="D81" i="7"/>
  <c r="T80" i="7"/>
  <c r="M80" i="7"/>
  <c r="K80" i="7"/>
  <c r="J80" i="7"/>
  <c r="I80" i="7"/>
  <c r="H80" i="7"/>
  <c r="G80" i="7"/>
  <c r="P80" i="7" s="1"/>
  <c r="F80" i="7"/>
  <c r="E80" i="7"/>
  <c r="D80" i="7"/>
  <c r="K79" i="7"/>
  <c r="K99" i="7" s="1"/>
  <c r="D79" i="7"/>
  <c r="B68" i="7"/>
  <c r="K65" i="7"/>
  <c r="J65" i="7"/>
  <c r="I65" i="7"/>
  <c r="R65" i="7" s="1"/>
  <c r="H65" i="7"/>
  <c r="Q65" i="7" s="1"/>
  <c r="G65" i="7"/>
  <c r="P65" i="7" s="1"/>
  <c r="F65" i="7"/>
  <c r="D65" i="7"/>
  <c r="P64" i="7"/>
  <c r="K64" i="7"/>
  <c r="T64" i="7" s="1"/>
  <c r="J64" i="7"/>
  <c r="I64" i="7"/>
  <c r="H64" i="7"/>
  <c r="G64" i="7"/>
  <c r="F64" i="7"/>
  <c r="D64" i="7"/>
  <c r="M64" i="7" s="1"/>
  <c r="K63" i="7"/>
  <c r="J63" i="7"/>
  <c r="I63" i="7"/>
  <c r="H63" i="7"/>
  <c r="F63" i="7"/>
  <c r="D63" i="7"/>
  <c r="K62" i="7"/>
  <c r="J62" i="7"/>
  <c r="I62" i="7"/>
  <c r="H62" i="7"/>
  <c r="G62" i="7"/>
  <c r="D62" i="7"/>
  <c r="M62" i="7" s="1"/>
  <c r="P61" i="7"/>
  <c r="K61" i="7"/>
  <c r="J61" i="7"/>
  <c r="I61" i="7"/>
  <c r="H61" i="7"/>
  <c r="G61" i="7"/>
  <c r="F61" i="7"/>
  <c r="D61" i="7"/>
  <c r="M61" i="7" s="1"/>
  <c r="J60" i="7"/>
  <c r="I60" i="7"/>
  <c r="K59" i="7"/>
  <c r="J59" i="7"/>
  <c r="I59" i="7"/>
  <c r="H59" i="7"/>
  <c r="G59" i="7"/>
  <c r="P59" i="7" s="1"/>
  <c r="D59" i="7"/>
  <c r="M59" i="7" s="1"/>
  <c r="R58" i="7"/>
  <c r="P58" i="7"/>
  <c r="K58" i="7"/>
  <c r="J58" i="7"/>
  <c r="I58" i="7"/>
  <c r="H58" i="7"/>
  <c r="H56" i="7" s="1"/>
  <c r="G58" i="7"/>
  <c r="F58" i="7"/>
  <c r="D58" i="7"/>
  <c r="M58" i="7" s="1"/>
  <c r="K57" i="7"/>
  <c r="J57" i="7"/>
  <c r="S57" i="7" s="1"/>
  <c r="I57" i="7"/>
  <c r="R57" i="7" s="1"/>
  <c r="H57" i="7"/>
  <c r="Q57" i="7" s="1"/>
  <c r="G57" i="7"/>
  <c r="D57" i="7"/>
  <c r="M57" i="7" s="1"/>
  <c r="I56" i="7"/>
  <c r="I55" i="7" s="1"/>
  <c r="G56" i="7"/>
  <c r="D56" i="7"/>
  <c r="K54" i="7"/>
  <c r="J54" i="7"/>
  <c r="I54" i="7"/>
  <c r="R54" i="7" s="1"/>
  <c r="H54" i="7"/>
  <c r="G54" i="7"/>
  <c r="P54" i="7" s="1"/>
  <c r="F54" i="7"/>
  <c r="D54" i="7"/>
  <c r="K53" i="7"/>
  <c r="J53" i="7"/>
  <c r="I53" i="7"/>
  <c r="R53" i="7" s="1"/>
  <c r="H53" i="7"/>
  <c r="G53" i="7"/>
  <c r="P53" i="7" s="1"/>
  <c r="F53" i="7"/>
  <c r="D53" i="7"/>
  <c r="M53" i="7" s="1"/>
  <c r="K52" i="7"/>
  <c r="I52" i="7"/>
  <c r="H52" i="7"/>
  <c r="G52" i="7"/>
  <c r="F52" i="7"/>
  <c r="D52" i="7"/>
  <c r="M52" i="7" s="1"/>
  <c r="R51" i="7"/>
  <c r="P51" i="7"/>
  <c r="K51" i="7"/>
  <c r="I51" i="7"/>
  <c r="H51" i="7"/>
  <c r="G51" i="7"/>
  <c r="F51" i="7"/>
  <c r="D51" i="7"/>
  <c r="M51" i="7" s="1"/>
  <c r="K50" i="7"/>
  <c r="J50" i="7"/>
  <c r="I50" i="7"/>
  <c r="R50" i="7" s="1"/>
  <c r="H50" i="7"/>
  <c r="G50" i="7"/>
  <c r="F50" i="7"/>
  <c r="D50" i="7"/>
  <c r="M50" i="7" s="1"/>
  <c r="K49" i="7"/>
  <c r="K47" i="7" s="1"/>
  <c r="J49" i="7"/>
  <c r="I49" i="7"/>
  <c r="H49" i="7"/>
  <c r="G49" i="7"/>
  <c r="G47" i="7" s="1"/>
  <c r="D49" i="7"/>
  <c r="P48" i="7"/>
  <c r="K48" i="7"/>
  <c r="J48" i="7"/>
  <c r="I48" i="7"/>
  <c r="R48" i="7" s="1"/>
  <c r="H48" i="7"/>
  <c r="G48" i="7"/>
  <c r="F48" i="7"/>
  <c r="D48" i="7"/>
  <c r="M48" i="7" s="1"/>
  <c r="B35" i="7"/>
  <c r="K32" i="7"/>
  <c r="T97" i="7" s="1"/>
  <c r="J32" i="7"/>
  <c r="I32" i="7"/>
  <c r="I47" i="23" s="1"/>
  <c r="H32" i="7"/>
  <c r="G32" i="7"/>
  <c r="E32" i="7"/>
  <c r="N97" i="7" s="1"/>
  <c r="K31" i="7"/>
  <c r="J31" i="7"/>
  <c r="I31" i="7"/>
  <c r="H31" i="7"/>
  <c r="G31" i="7"/>
  <c r="D31" i="7"/>
  <c r="K30" i="7"/>
  <c r="T95" i="7" s="1"/>
  <c r="J30" i="7"/>
  <c r="I30" i="7"/>
  <c r="G30" i="7"/>
  <c r="E30" i="7"/>
  <c r="K29" i="7"/>
  <c r="T94" i="7" s="1"/>
  <c r="J29" i="7"/>
  <c r="S127" i="7" s="1"/>
  <c r="I29" i="7"/>
  <c r="I27" i="7" s="1"/>
  <c r="H29" i="7"/>
  <c r="G29" i="7"/>
  <c r="E29" i="7"/>
  <c r="D29" i="7"/>
  <c r="K28" i="7"/>
  <c r="T93" i="7" s="1"/>
  <c r="J28" i="7"/>
  <c r="I28" i="7"/>
  <c r="H28" i="7"/>
  <c r="G28" i="7"/>
  <c r="E28" i="7"/>
  <c r="D28" i="7"/>
  <c r="J27" i="7"/>
  <c r="G27" i="7"/>
  <c r="K26" i="7"/>
  <c r="T91" i="7" s="1"/>
  <c r="J26" i="7"/>
  <c r="I26" i="7"/>
  <c r="R59" i="7" s="1"/>
  <c r="G26" i="7"/>
  <c r="E26" i="7"/>
  <c r="D26" i="7"/>
  <c r="K25" i="7"/>
  <c r="J25" i="7"/>
  <c r="I25" i="7"/>
  <c r="H25" i="7"/>
  <c r="G25" i="7"/>
  <c r="E25" i="7"/>
  <c r="D25" i="7"/>
  <c r="K24" i="7"/>
  <c r="J24" i="7"/>
  <c r="S122" i="7" s="1"/>
  <c r="I24" i="7"/>
  <c r="I23" i="7" s="1"/>
  <c r="H24" i="7"/>
  <c r="E24" i="7"/>
  <c r="D24" i="7"/>
  <c r="D23" i="7"/>
  <c r="K21" i="7"/>
  <c r="J21" i="7"/>
  <c r="I21" i="7"/>
  <c r="H21" i="7"/>
  <c r="G21" i="7"/>
  <c r="E21" i="7"/>
  <c r="K20" i="7"/>
  <c r="T85" i="7" s="1"/>
  <c r="J20" i="7"/>
  <c r="S118" i="7" s="1"/>
  <c r="I20" i="7"/>
  <c r="H20" i="7"/>
  <c r="G20" i="7"/>
  <c r="E20" i="7"/>
  <c r="D20" i="7"/>
  <c r="K19" i="7"/>
  <c r="J19" i="7"/>
  <c r="S117" i="7" s="1"/>
  <c r="I19" i="7"/>
  <c r="H19" i="7"/>
  <c r="Q52" i="7" s="1"/>
  <c r="E19" i="7"/>
  <c r="N117" i="7" s="1"/>
  <c r="D19" i="7"/>
  <c r="K18" i="7"/>
  <c r="J18" i="7"/>
  <c r="S116" i="7" s="1"/>
  <c r="I18" i="7"/>
  <c r="H18" i="7"/>
  <c r="G18" i="7"/>
  <c r="E18" i="7"/>
  <c r="D18" i="7"/>
  <c r="K17" i="7"/>
  <c r="J17" i="7"/>
  <c r="I17" i="7"/>
  <c r="H17" i="7"/>
  <c r="Q50" i="7" s="1"/>
  <c r="D17" i="7"/>
  <c r="K16" i="7"/>
  <c r="T81" i="7" s="1"/>
  <c r="J16" i="7"/>
  <c r="I16" i="7"/>
  <c r="H16" i="7"/>
  <c r="G16" i="7"/>
  <c r="E16" i="7"/>
  <c r="N81" i="7" s="1"/>
  <c r="K15" i="7"/>
  <c r="J15" i="7"/>
  <c r="I15" i="7"/>
  <c r="H15" i="7"/>
  <c r="G15" i="7"/>
  <c r="E15" i="7"/>
  <c r="D15" i="7"/>
  <c r="S179" i="6"/>
  <c r="U178" i="6"/>
  <c r="T177" i="6"/>
  <c r="R174" i="6"/>
  <c r="P170" i="6"/>
  <c r="T168" i="6"/>
  <c r="D168" i="6"/>
  <c r="V152" i="6"/>
  <c r="N152" i="6"/>
  <c r="V151" i="6"/>
  <c r="V179" i="6" s="1"/>
  <c r="U151" i="6"/>
  <c r="T151" i="6"/>
  <c r="S151" i="6"/>
  <c r="R151" i="6"/>
  <c r="Q151" i="6"/>
  <c r="Q179" i="6" s="1"/>
  <c r="P151" i="6"/>
  <c r="O151" i="6"/>
  <c r="N151" i="6"/>
  <c r="M151" i="6"/>
  <c r="L151" i="6"/>
  <c r="K151" i="6"/>
  <c r="J151" i="6"/>
  <c r="I151" i="6"/>
  <c r="I179" i="6" s="1"/>
  <c r="H151" i="6"/>
  <c r="H179" i="6" s="1"/>
  <c r="G151" i="6"/>
  <c r="F151" i="6"/>
  <c r="F179" i="6" s="1"/>
  <c r="E151" i="6"/>
  <c r="D151" i="6"/>
  <c r="V150" i="6"/>
  <c r="V178" i="6" s="1"/>
  <c r="U150" i="6"/>
  <c r="T150" i="6"/>
  <c r="T178" i="6" s="1"/>
  <c r="S150" i="6"/>
  <c r="R150" i="6"/>
  <c r="Q150" i="6"/>
  <c r="P150" i="6"/>
  <c r="O150" i="6"/>
  <c r="N150" i="6"/>
  <c r="M150" i="6"/>
  <c r="M148" i="6" s="1"/>
  <c r="L150" i="6"/>
  <c r="L178" i="6" s="1"/>
  <c r="K150" i="6"/>
  <c r="K178" i="6" s="1"/>
  <c r="J150" i="6"/>
  <c r="I150" i="6"/>
  <c r="H150" i="6"/>
  <c r="G150" i="6"/>
  <c r="F150" i="6"/>
  <c r="F178" i="6" s="1"/>
  <c r="E150" i="6"/>
  <c r="E178" i="6" s="1"/>
  <c r="D150" i="6"/>
  <c r="D178" i="6" s="1"/>
  <c r="V149" i="6"/>
  <c r="V148" i="6" s="1"/>
  <c r="U149" i="6"/>
  <c r="T149" i="6"/>
  <c r="S149" i="6"/>
  <c r="S148" i="6" s="1"/>
  <c r="R149" i="6"/>
  <c r="R148" i="6" s="1"/>
  <c r="Q149" i="6"/>
  <c r="P149" i="6"/>
  <c r="P148" i="6" s="1"/>
  <c r="O149" i="6"/>
  <c r="O177" i="6" s="1"/>
  <c r="N149" i="6"/>
  <c r="M149" i="6"/>
  <c r="L149" i="6"/>
  <c r="L148" i="6" s="1"/>
  <c r="K149" i="6"/>
  <c r="K177" i="6" s="1"/>
  <c r="J149" i="6"/>
  <c r="I149" i="6"/>
  <c r="I177" i="6" s="1"/>
  <c r="H149" i="6"/>
  <c r="G149" i="6"/>
  <c r="G177" i="6" s="1"/>
  <c r="F149" i="6"/>
  <c r="E149" i="6"/>
  <c r="D149" i="6"/>
  <c r="U148" i="6"/>
  <c r="Q148" i="6"/>
  <c r="O148" i="6"/>
  <c r="J148" i="6"/>
  <c r="I148" i="6"/>
  <c r="E148" i="6"/>
  <c r="V147" i="6"/>
  <c r="U147" i="6"/>
  <c r="U145" i="6" s="1"/>
  <c r="T147" i="6"/>
  <c r="T175" i="6" s="1"/>
  <c r="S147" i="6"/>
  <c r="R147" i="6"/>
  <c r="Q147" i="6"/>
  <c r="Q175" i="6" s="1"/>
  <c r="P147" i="6"/>
  <c r="O147" i="6"/>
  <c r="O175" i="6" s="1"/>
  <c r="N147" i="6"/>
  <c r="N175" i="6" s="1"/>
  <c r="M147" i="6"/>
  <c r="L147" i="6"/>
  <c r="K147" i="6"/>
  <c r="J147" i="6"/>
  <c r="I147" i="6"/>
  <c r="I175" i="6" s="1"/>
  <c r="H147" i="6"/>
  <c r="G147" i="6"/>
  <c r="F147" i="6"/>
  <c r="E147" i="6"/>
  <c r="D147" i="6"/>
  <c r="D175" i="6" s="1"/>
  <c r="V146" i="6"/>
  <c r="U146" i="6"/>
  <c r="T146" i="6"/>
  <c r="T145" i="6" s="1"/>
  <c r="S146" i="6"/>
  <c r="S145" i="6" s="1"/>
  <c r="R146" i="6"/>
  <c r="Q146" i="6"/>
  <c r="P146" i="6"/>
  <c r="O146" i="6"/>
  <c r="N146" i="6"/>
  <c r="M146" i="6"/>
  <c r="L146" i="6"/>
  <c r="L174" i="6" s="1"/>
  <c r="K146" i="6"/>
  <c r="K145" i="6" s="1"/>
  <c r="J146" i="6"/>
  <c r="I146" i="6"/>
  <c r="I145" i="6" s="1"/>
  <c r="H146" i="6"/>
  <c r="G146" i="6"/>
  <c r="G145" i="6" s="1"/>
  <c r="F146" i="6"/>
  <c r="E146" i="6"/>
  <c r="D146" i="6"/>
  <c r="D145" i="6" s="1"/>
  <c r="R145" i="6"/>
  <c r="P145" i="6"/>
  <c r="N145" i="6"/>
  <c r="H145" i="6"/>
  <c r="E145" i="6"/>
  <c r="E144" i="6" s="1"/>
  <c r="S144" i="6"/>
  <c r="R144" i="6"/>
  <c r="V143" i="6"/>
  <c r="U143" i="6"/>
  <c r="T143" i="6"/>
  <c r="S143" i="6"/>
  <c r="R143" i="6"/>
  <c r="Q143" i="6"/>
  <c r="Q171" i="6" s="1"/>
  <c r="P143" i="6"/>
  <c r="P171" i="6" s="1"/>
  <c r="O143" i="6"/>
  <c r="N143" i="6"/>
  <c r="M143" i="6"/>
  <c r="L143" i="6"/>
  <c r="K143" i="6"/>
  <c r="K171" i="6" s="1"/>
  <c r="J143" i="6"/>
  <c r="J171" i="6" s="1"/>
  <c r="I143" i="6"/>
  <c r="I171" i="6" s="1"/>
  <c r="H143" i="6"/>
  <c r="H171" i="6" s="1"/>
  <c r="G143" i="6"/>
  <c r="F143" i="6"/>
  <c r="E143" i="6"/>
  <c r="D143" i="6"/>
  <c r="V142" i="6"/>
  <c r="U142" i="6"/>
  <c r="T142" i="6"/>
  <c r="T170" i="6" s="1"/>
  <c r="S142" i="6"/>
  <c r="S170" i="6" s="1"/>
  <c r="R142" i="6"/>
  <c r="Q142" i="6"/>
  <c r="P142" i="6"/>
  <c r="O142" i="6"/>
  <c r="N142" i="6"/>
  <c r="N170" i="6" s="1"/>
  <c r="M142" i="6"/>
  <c r="M170" i="6" s="1"/>
  <c r="L142" i="6"/>
  <c r="L170" i="6" s="1"/>
  <c r="K142" i="6"/>
  <c r="K170" i="6" s="1"/>
  <c r="J142" i="6"/>
  <c r="I142" i="6"/>
  <c r="H142" i="6"/>
  <c r="G142" i="6"/>
  <c r="F142" i="6"/>
  <c r="E142" i="6"/>
  <c r="D142" i="6"/>
  <c r="D170" i="6" s="1"/>
  <c r="V141" i="6"/>
  <c r="V139" i="6" s="1"/>
  <c r="U141" i="6"/>
  <c r="T141" i="6"/>
  <c r="S141" i="6"/>
  <c r="R141" i="6"/>
  <c r="R169" i="6" s="1"/>
  <c r="Q141" i="6"/>
  <c r="P141" i="6"/>
  <c r="P169" i="6" s="1"/>
  <c r="O141" i="6"/>
  <c r="O169" i="6" s="1"/>
  <c r="N141" i="6"/>
  <c r="N169" i="6" s="1"/>
  <c r="M141" i="6"/>
  <c r="L141" i="6"/>
  <c r="K141" i="6"/>
  <c r="K169" i="6" s="1"/>
  <c r="J141" i="6"/>
  <c r="I141" i="6"/>
  <c r="H141" i="6"/>
  <c r="G141" i="6"/>
  <c r="G169" i="6" s="1"/>
  <c r="F141" i="6"/>
  <c r="F139" i="6" s="1"/>
  <c r="E141" i="6"/>
  <c r="D141" i="6"/>
  <c r="V140" i="6"/>
  <c r="U140" i="6"/>
  <c r="T140" i="6"/>
  <c r="S140" i="6"/>
  <c r="R140" i="6"/>
  <c r="R139" i="6" s="1"/>
  <c r="Q140" i="6"/>
  <c r="Q168" i="6" s="1"/>
  <c r="P140" i="6"/>
  <c r="O140" i="6"/>
  <c r="N140" i="6"/>
  <c r="M140" i="6"/>
  <c r="L140" i="6"/>
  <c r="L139" i="6" s="1"/>
  <c r="K140" i="6"/>
  <c r="J140" i="6"/>
  <c r="J168" i="6" s="1"/>
  <c r="I140" i="6"/>
  <c r="I168" i="6" s="1"/>
  <c r="H140" i="6"/>
  <c r="G140" i="6"/>
  <c r="F140" i="6"/>
  <c r="E140" i="6"/>
  <c r="D140" i="6"/>
  <c r="P139" i="6"/>
  <c r="O139" i="6"/>
  <c r="N139" i="6"/>
  <c r="V127" i="6"/>
  <c r="D127" i="6"/>
  <c r="V126" i="6"/>
  <c r="E126" i="6"/>
  <c r="H125" i="6"/>
  <c r="T123" i="6"/>
  <c r="L123" i="6"/>
  <c r="K123" i="6"/>
  <c r="V119" i="6"/>
  <c r="J118" i="6"/>
  <c r="P116" i="6"/>
  <c r="O116" i="6"/>
  <c r="V101" i="6"/>
  <c r="U101" i="6"/>
  <c r="T101" i="6"/>
  <c r="S101" i="6"/>
  <c r="S127" i="6" s="1"/>
  <c r="R101" i="6"/>
  <c r="R127" i="6" s="1"/>
  <c r="Q101" i="6"/>
  <c r="Q127" i="6" s="1"/>
  <c r="P101" i="6"/>
  <c r="P127" i="6" s="1"/>
  <c r="O101" i="6"/>
  <c r="N101" i="6"/>
  <c r="M101" i="6"/>
  <c r="L101" i="6"/>
  <c r="K101" i="6"/>
  <c r="J101" i="6"/>
  <c r="I101" i="6"/>
  <c r="H101" i="6"/>
  <c r="H127" i="6" s="1"/>
  <c r="G101" i="6"/>
  <c r="F101" i="6"/>
  <c r="F127" i="6" s="1"/>
  <c r="E101" i="6"/>
  <c r="D101" i="6"/>
  <c r="V100" i="6"/>
  <c r="U100" i="6"/>
  <c r="U126" i="6" s="1"/>
  <c r="T100" i="6"/>
  <c r="T126" i="6" s="1"/>
  <c r="S100" i="6"/>
  <c r="S126" i="6" s="1"/>
  <c r="R100" i="6"/>
  <c r="Q100" i="6"/>
  <c r="P100" i="6"/>
  <c r="O100" i="6"/>
  <c r="N100" i="6"/>
  <c r="M100" i="6"/>
  <c r="L100" i="6"/>
  <c r="L126" i="6" s="1"/>
  <c r="K100" i="6"/>
  <c r="K126" i="6" s="1"/>
  <c r="J100" i="6"/>
  <c r="I100" i="6"/>
  <c r="H100" i="6"/>
  <c r="G100" i="6"/>
  <c r="F100" i="6"/>
  <c r="F126" i="6" s="1"/>
  <c r="E100" i="6"/>
  <c r="D100" i="6"/>
  <c r="D126" i="6" s="1"/>
  <c r="V99" i="6"/>
  <c r="V125" i="6" s="1"/>
  <c r="U99" i="6"/>
  <c r="T99" i="6"/>
  <c r="S99" i="6"/>
  <c r="R99" i="6"/>
  <c r="Q99" i="6"/>
  <c r="P99" i="6"/>
  <c r="P98" i="6" s="1"/>
  <c r="O99" i="6"/>
  <c r="O125" i="6" s="1"/>
  <c r="N99" i="6"/>
  <c r="N125" i="6" s="1"/>
  <c r="M99" i="6"/>
  <c r="L99" i="6"/>
  <c r="K99" i="6"/>
  <c r="K125" i="6" s="1"/>
  <c r="J99" i="6"/>
  <c r="I99" i="6"/>
  <c r="I98" i="6" s="1"/>
  <c r="H99" i="6"/>
  <c r="H98" i="6" s="1"/>
  <c r="G99" i="6"/>
  <c r="F99" i="6"/>
  <c r="F125" i="6" s="1"/>
  <c r="E99" i="6"/>
  <c r="D99" i="6"/>
  <c r="S98" i="6"/>
  <c r="Q98" i="6"/>
  <c r="L98" i="6"/>
  <c r="K98" i="6"/>
  <c r="K124" i="6" s="1"/>
  <c r="J98" i="6"/>
  <c r="V97" i="6"/>
  <c r="U97" i="6"/>
  <c r="T97" i="6"/>
  <c r="S97" i="6"/>
  <c r="R97" i="6"/>
  <c r="Q97" i="6"/>
  <c r="P97" i="6"/>
  <c r="O97" i="6"/>
  <c r="O123" i="6" s="1"/>
  <c r="N97" i="6"/>
  <c r="N123" i="6" s="1"/>
  <c r="M97" i="6"/>
  <c r="M123" i="6" s="1"/>
  <c r="L97" i="6"/>
  <c r="K97" i="6"/>
  <c r="J97" i="6"/>
  <c r="I97" i="6"/>
  <c r="H97" i="6"/>
  <c r="G97" i="6"/>
  <c r="F97" i="6"/>
  <c r="E97" i="6"/>
  <c r="D97" i="6"/>
  <c r="D123" i="6" s="1"/>
  <c r="V96" i="6"/>
  <c r="U96" i="6"/>
  <c r="T96" i="6"/>
  <c r="S96" i="6"/>
  <c r="R96" i="6"/>
  <c r="Q96" i="6"/>
  <c r="P96" i="6"/>
  <c r="O96" i="6"/>
  <c r="N96" i="6"/>
  <c r="M96" i="6"/>
  <c r="M95" i="6" s="1"/>
  <c r="L96" i="6"/>
  <c r="K96" i="6"/>
  <c r="K95" i="6" s="1"/>
  <c r="J96" i="6"/>
  <c r="I96" i="6"/>
  <c r="H96" i="6"/>
  <c r="G96" i="6"/>
  <c r="G95" i="6" s="1"/>
  <c r="F96" i="6"/>
  <c r="E96" i="6"/>
  <c r="D96" i="6"/>
  <c r="U95" i="6"/>
  <c r="T95" i="6"/>
  <c r="S95" i="6"/>
  <c r="L95" i="6"/>
  <c r="J95" i="6"/>
  <c r="E95" i="6"/>
  <c r="D95" i="6"/>
  <c r="V93" i="6"/>
  <c r="U93" i="6"/>
  <c r="T93" i="6"/>
  <c r="S93" i="6"/>
  <c r="R93" i="6"/>
  <c r="Q93" i="6"/>
  <c r="Q119" i="6" s="1"/>
  <c r="P93" i="6"/>
  <c r="P119" i="6" s="1"/>
  <c r="O93" i="6"/>
  <c r="N93" i="6"/>
  <c r="M93" i="6"/>
  <c r="L93" i="6"/>
  <c r="K93" i="6"/>
  <c r="K119" i="6" s="1"/>
  <c r="J93" i="6"/>
  <c r="J119" i="6" s="1"/>
  <c r="I93" i="6"/>
  <c r="I119" i="6" s="1"/>
  <c r="H93" i="6"/>
  <c r="G93" i="6"/>
  <c r="F93" i="6"/>
  <c r="E93" i="6"/>
  <c r="D93" i="6"/>
  <c r="V92" i="6"/>
  <c r="U92" i="6"/>
  <c r="T92" i="6"/>
  <c r="T118" i="6" s="1"/>
  <c r="S92" i="6"/>
  <c r="S118" i="6" s="1"/>
  <c r="R92" i="6"/>
  <c r="Q92" i="6"/>
  <c r="P92" i="6"/>
  <c r="O92" i="6"/>
  <c r="N92" i="6"/>
  <c r="N118" i="6" s="1"/>
  <c r="M92" i="6"/>
  <c r="M118" i="6" s="1"/>
  <c r="L92" i="6"/>
  <c r="K92" i="6"/>
  <c r="J92" i="6"/>
  <c r="I92" i="6"/>
  <c r="H92" i="6"/>
  <c r="G92" i="6"/>
  <c r="F92" i="6"/>
  <c r="E92" i="6"/>
  <c r="D92" i="6"/>
  <c r="D118" i="6" s="1"/>
  <c r="V91" i="6"/>
  <c r="V117" i="6" s="1"/>
  <c r="U91" i="6"/>
  <c r="T91" i="6"/>
  <c r="S91" i="6"/>
  <c r="R91" i="6"/>
  <c r="Q91" i="6"/>
  <c r="Q117" i="6" s="1"/>
  <c r="P91" i="6"/>
  <c r="P117" i="6" s="1"/>
  <c r="O91" i="6"/>
  <c r="O117" i="6" s="1"/>
  <c r="N91" i="6"/>
  <c r="M91" i="6"/>
  <c r="L91" i="6"/>
  <c r="K91" i="6"/>
  <c r="J91" i="6"/>
  <c r="I91" i="6"/>
  <c r="H91" i="6"/>
  <c r="G91" i="6"/>
  <c r="G117" i="6" s="1"/>
  <c r="F91" i="6"/>
  <c r="F117" i="6" s="1"/>
  <c r="E91" i="6"/>
  <c r="D91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J116" i="6" s="1"/>
  <c r="I90" i="6"/>
  <c r="I89" i="6" s="1"/>
  <c r="H90" i="6"/>
  <c r="H89" i="6" s="1"/>
  <c r="G90" i="6"/>
  <c r="F90" i="6"/>
  <c r="E90" i="6"/>
  <c r="D90" i="6"/>
  <c r="V89" i="6"/>
  <c r="U89" i="6"/>
  <c r="G89" i="6"/>
  <c r="F89" i="6"/>
  <c r="T76" i="6"/>
  <c r="M76" i="6"/>
  <c r="M73" i="6"/>
  <c r="F73" i="6"/>
  <c r="O70" i="6"/>
  <c r="H70" i="6"/>
  <c r="I69" i="6"/>
  <c r="Q67" i="6"/>
  <c r="P67" i="6"/>
  <c r="V52" i="6"/>
  <c r="V78" i="6" s="1"/>
  <c r="U52" i="6"/>
  <c r="T52" i="6"/>
  <c r="T78" i="6" s="1"/>
  <c r="S52" i="6"/>
  <c r="S78" i="6" s="1"/>
  <c r="R52" i="6"/>
  <c r="R78" i="6" s="1"/>
  <c r="Q52" i="6"/>
  <c r="Q78" i="6" s="1"/>
  <c r="P52" i="6"/>
  <c r="O52" i="6"/>
  <c r="N52" i="6"/>
  <c r="M52" i="6"/>
  <c r="L52" i="6"/>
  <c r="K52" i="6"/>
  <c r="J52" i="6"/>
  <c r="I52" i="6"/>
  <c r="H52" i="6"/>
  <c r="H78" i="6" s="1"/>
  <c r="G52" i="6"/>
  <c r="F52" i="6"/>
  <c r="F78" i="6" s="1"/>
  <c r="E52" i="6"/>
  <c r="D52" i="6"/>
  <c r="D78" i="6" s="1"/>
  <c r="V51" i="6"/>
  <c r="V77" i="6" s="1"/>
  <c r="U51" i="6"/>
  <c r="U77" i="6" s="1"/>
  <c r="T51" i="6"/>
  <c r="T77" i="6" s="1"/>
  <c r="S51" i="6"/>
  <c r="S77" i="6" s="1"/>
  <c r="R51" i="6"/>
  <c r="Q51" i="6"/>
  <c r="P51" i="6"/>
  <c r="O51" i="6"/>
  <c r="O49" i="6" s="1"/>
  <c r="N51" i="6"/>
  <c r="M51" i="6"/>
  <c r="L51" i="6"/>
  <c r="K51" i="6"/>
  <c r="K77" i="6" s="1"/>
  <c r="J51" i="6"/>
  <c r="I51" i="6"/>
  <c r="H51" i="6"/>
  <c r="G51" i="6"/>
  <c r="G77" i="6" s="1"/>
  <c r="F51" i="6"/>
  <c r="F77" i="6" s="1"/>
  <c r="E51" i="6"/>
  <c r="E77" i="6" s="1"/>
  <c r="D51" i="6"/>
  <c r="D77" i="6" s="1"/>
  <c r="V50" i="6"/>
  <c r="U50" i="6"/>
  <c r="T50" i="6"/>
  <c r="S50" i="6"/>
  <c r="R50" i="6"/>
  <c r="R49" i="6" s="1"/>
  <c r="Q50" i="6"/>
  <c r="P50" i="6"/>
  <c r="O50" i="6"/>
  <c r="N50" i="6"/>
  <c r="N49" i="6" s="1"/>
  <c r="M50" i="6"/>
  <c r="M49" i="6" s="1"/>
  <c r="L50" i="6"/>
  <c r="K50" i="6"/>
  <c r="J50" i="6"/>
  <c r="J76" i="6" s="1"/>
  <c r="I50" i="6"/>
  <c r="I76" i="6" s="1"/>
  <c r="H50" i="6"/>
  <c r="H76" i="6" s="1"/>
  <c r="G50" i="6"/>
  <c r="F50" i="6"/>
  <c r="E50" i="6"/>
  <c r="D50" i="6"/>
  <c r="Q49" i="6"/>
  <c r="L49" i="6"/>
  <c r="K49" i="6"/>
  <c r="J49" i="6"/>
  <c r="I49" i="6"/>
  <c r="H49" i="6"/>
  <c r="H75" i="6" s="1"/>
  <c r="V48" i="6"/>
  <c r="U48" i="6"/>
  <c r="T48" i="6"/>
  <c r="T74" i="6" s="1"/>
  <c r="S48" i="6"/>
  <c r="R48" i="6"/>
  <c r="Q48" i="6"/>
  <c r="P48" i="6"/>
  <c r="O48" i="6"/>
  <c r="O74" i="6" s="1"/>
  <c r="N48" i="6"/>
  <c r="N74" i="6" s="1"/>
  <c r="M48" i="6"/>
  <c r="L48" i="6"/>
  <c r="L74" i="6" s="1"/>
  <c r="K48" i="6"/>
  <c r="K74" i="6" s="1"/>
  <c r="J48" i="6"/>
  <c r="I48" i="6"/>
  <c r="H48" i="6"/>
  <c r="H46" i="6" s="1"/>
  <c r="G48" i="6"/>
  <c r="F48" i="6"/>
  <c r="E48" i="6"/>
  <c r="D48" i="6"/>
  <c r="D74" i="6" s="1"/>
  <c r="V47" i="6"/>
  <c r="U47" i="6"/>
  <c r="T47" i="6"/>
  <c r="S47" i="6"/>
  <c r="R47" i="6"/>
  <c r="R73" i="6" s="1"/>
  <c r="Q47" i="6"/>
  <c r="Q73" i="6" s="1"/>
  <c r="P47" i="6"/>
  <c r="O47" i="6"/>
  <c r="O46" i="6" s="1"/>
  <c r="N47" i="6"/>
  <c r="N73" i="6" s="1"/>
  <c r="M47" i="6"/>
  <c r="M46" i="6" s="1"/>
  <c r="L47" i="6"/>
  <c r="K47" i="6"/>
  <c r="K46" i="6" s="1"/>
  <c r="J47" i="6"/>
  <c r="I47" i="6"/>
  <c r="H47" i="6"/>
  <c r="G47" i="6"/>
  <c r="F47" i="6"/>
  <c r="E47" i="6"/>
  <c r="D47" i="6"/>
  <c r="U46" i="6"/>
  <c r="T46" i="6"/>
  <c r="S46" i="6"/>
  <c r="R46" i="6"/>
  <c r="R45" i="6" s="1"/>
  <c r="Q46" i="6"/>
  <c r="N46" i="6"/>
  <c r="L46" i="6"/>
  <c r="J46" i="6"/>
  <c r="I46" i="6"/>
  <c r="E46" i="6"/>
  <c r="D46" i="6"/>
  <c r="Q45" i="6"/>
  <c r="O45" i="6"/>
  <c r="V44" i="6"/>
  <c r="U44" i="6"/>
  <c r="T44" i="6"/>
  <c r="S44" i="6"/>
  <c r="R44" i="6"/>
  <c r="R70" i="6" s="1"/>
  <c r="Q44" i="6"/>
  <c r="P44" i="6"/>
  <c r="P70" i="6" s="1"/>
  <c r="O44" i="6"/>
  <c r="N44" i="6"/>
  <c r="N70" i="6" s="1"/>
  <c r="M44" i="6"/>
  <c r="L44" i="6"/>
  <c r="K44" i="6"/>
  <c r="K70" i="6" s="1"/>
  <c r="J44" i="6"/>
  <c r="J70" i="6" s="1"/>
  <c r="I44" i="6"/>
  <c r="H44" i="6"/>
  <c r="G44" i="6"/>
  <c r="F44" i="6"/>
  <c r="F70" i="6" s="1"/>
  <c r="E44" i="6"/>
  <c r="E70" i="6" s="1"/>
  <c r="D44" i="6"/>
  <c r="V43" i="6"/>
  <c r="U43" i="6"/>
  <c r="U69" i="6" s="1"/>
  <c r="T43" i="6"/>
  <c r="S43" i="6"/>
  <c r="S69" i="6" s="1"/>
  <c r="R43" i="6"/>
  <c r="R69" i="6" s="1"/>
  <c r="Q43" i="6"/>
  <c r="Q69" i="6" s="1"/>
  <c r="P43" i="6"/>
  <c r="O43" i="6"/>
  <c r="N43" i="6"/>
  <c r="N69" i="6" s="1"/>
  <c r="M43" i="6"/>
  <c r="M69" i="6" s="1"/>
  <c r="L43" i="6"/>
  <c r="K43" i="6"/>
  <c r="K69" i="6" s="1"/>
  <c r="J43" i="6"/>
  <c r="J69" i="6" s="1"/>
  <c r="I43" i="6"/>
  <c r="H43" i="6"/>
  <c r="H69" i="6" s="1"/>
  <c r="G43" i="6"/>
  <c r="G40" i="6" s="1"/>
  <c r="F43" i="6"/>
  <c r="E43" i="6"/>
  <c r="E69" i="6" s="1"/>
  <c r="D43" i="6"/>
  <c r="V42" i="6"/>
  <c r="V68" i="6" s="1"/>
  <c r="U42" i="6"/>
  <c r="U68" i="6" s="1"/>
  <c r="T42" i="6"/>
  <c r="T68" i="6" s="1"/>
  <c r="S42" i="6"/>
  <c r="R42" i="6"/>
  <c r="Q42" i="6"/>
  <c r="Q68" i="6" s="1"/>
  <c r="P42" i="6"/>
  <c r="P68" i="6" s="1"/>
  <c r="O42" i="6"/>
  <c r="N42" i="6"/>
  <c r="N68" i="6" s="1"/>
  <c r="M42" i="6"/>
  <c r="M68" i="6" s="1"/>
  <c r="L42" i="6"/>
  <c r="K42" i="6"/>
  <c r="K68" i="6" s="1"/>
  <c r="J42" i="6"/>
  <c r="I42" i="6"/>
  <c r="H42" i="6"/>
  <c r="H68" i="6" s="1"/>
  <c r="G42" i="6"/>
  <c r="F42" i="6"/>
  <c r="F68" i="6" s="1"/>
  <c r="E42" i="6"/>
  <c r="E68" i="6" s="1"/>
  <c r="D42" i="6"/>
  <c r="D68" i="6" s="1"/>
  <c r="V41" i="6"/>
  <c r="U41" i="6"/>
  <c r="T41" i="6"/>
  <c r="T67" i="6" s="1"/>
  <c r="S41" i="6"/>
  <c r="S67" i="6" s="1"/>
  <c r="R41" i="6"/>
  <c r="Q41" i="6"/>
  <c r="P41" i="6"/>
  <c r="P40" i="6" s="1"/>
  <c r="O41" i="6"/>
  <c r="N41" i="6"/>
  <c r="M41" i="6"/>
  <c r="L41" i="6"/>
  <c r="K41" i="6"/>
  <c r="K67" i="6" s="1"/>
  <c r="J41" i="6"/>
  <c r="I41" i="6"/>
  <c r="H41" i="6"/>
  <c r="H67" i="6" s="1"/>
  <c r="G41" i="6"/>
  <c r="G67" i="6" s="1"/>
  <c r="F41" i="6"/>
  <c r="E41" i="6"/>
  <c r="D41" i="6"/>
  <c r="D67" i="6" s="1"/>
  <c r="T40" i="6"/>
  <c r="T53" i="6" s="1"/>
  <c r="S40" i="6"/>
  <c r="S66" i="6" s="1"/>
  <c r="R40" i="6"/>
  <c r="Q40" i="6"/>
  <c r="F40" i="6"/>
  <c r="V26" i="6"/>
  <c r="U26" i="6"/>
  <c r="U78" i="6" s="1"/>
  <c r="T26" i="6"/>
  <c r="T179" i="6" s="1"/>
  <c r="S26" i="6"/>
  <c r="R26" i="6"/>
  <c r="R179" i="6" s="1"/>
  <c r="Q26" i="6"/>
  <c r="P26" i="6"/>
  <c r="P78" i="6" s="1"/>
  <c r="O26" i="6"/>
  <c r="O179" i="6" s="1"/>
  <c r="N26" i="6"/>
  <c r="N78" i="6" s="1"/>
  <c r="M26" i="6"/>
  <c r="L26" i="6"/>
  <c r="K26" i="6"/>
  <c r="K78" i="6" s="1"/>
  <c r="J26" i="6"/>
  <c r="J179" i="6" s="1"/>
  <c r="I26" i="6"/>
  <c r="H26" i="6"/>
  <c r="G26" i="6"/>
  <c r="G78" i="6" s="1"/>
  <c r="F26" i="6"/>
  <c r="E26" i="6"/>
  <c r="E78" i="6" s="1"/>
  <c r="D26" i="6"/>
  <c r="V25" i="6"/>
  <c r="U25" i="6"/>
  <c r="T25" i="6"/>
  <c r="S25" i="6"/>
  <c r="R25" i="6"/>
  <c r="R178" i="6" s="1"/>
  <c r="Q25" i="6"/>
  <c r="Q77" i="6" s="1"/>
  <c r="P25" i="6"/>
  <c r="P77" i="6" s="1"/>
  <c r="O25" i="6"/>
  <c r="N25" i="6"/>
  <c r="N77" i="6" s="1"/>
  <c r="M25" i="6"/>
  <c r="L25" i="6"/>
  <c r="L77" i="6" s="1"/>
  <c r="K25" i="6"/>
  <c r="J25" i="6"/>
  <c r="J23" i="6" s="1"/>
  <c r="I25" i="6"/>
  <c r="I23" i="6" s="1"/>
  <c r="H25" i="6"/>
  <c r="G25" i="6"/>
  <c r="G126" i="6" s="1"/>
  <c r="F25" i="6"/>
  <c r="E25" i="6"/>
  <c r="D25" i="6"/>
  <c r="V24" i="6"/>
  <c r="V76" i="6" s="1"/>
  <c r="U24" i="6"/>
  <c r="U177" i="6" s="1"/>
  <c r="T24" i="6"/>
  <c r="T23" i="6" s="1"/>
  <c r="S24" i="6"/>
  <c r="R24" i="6"/>
  <c r="R23" i="6" s="1"/>
  <c r="Q24" i="6"/>
  <c r="P24" i="6"/>
  <c r="O24" i="6"/>
  <c r="O76" i="6" s="1"/>
  <c r="N24" i="6"/>
  <c r="M24" i="6"/>
  <c r="M23" i="6" s="1"/>
  <c r="L24" i="6"/>
  <c r="L23" i="6" s="1"/>
  <c r="K24" i="6"/>
  <c r="J24" i="6"/>
  <c r="I24" i="6"/>
  <c r="H24" i="6"/>
  <c r="G24" i="6"/>
  <c r="F24" i="6"/>
  <c r="F76" i="6" s="1"/>
  <c r="E24" i="6"/>
  <c r="E177" i="6" s="1"/>
  <c r="D24" i="6"/>
  <c r="V23" i="6"/>
  <c r="V176" i="6" s="1"/>
  <c r="N23" i="6"/>
  <c r="N19" i="6" s="1"/>
  <c r="H23" i="6"/>
  <c r="G23" i="6"/>
  <c r="F23" i="6"/>
  <c r="E23" i="6"/>
  <c r="D23" i="6"/>
  <c r="V22" i="6"/>
  <c r="V175" i="6" s="1"/>
  <c r="U22" i="6"/>
  <c r="U74" i="6" s="1"/>
  <c r="T22" i="6"/>
  <c r="S22" i="6"/>
  <c r="S74" i="6" s="1"/>
  <c r="R22" i="6"/>
  <c r="R20" i="6" s="1"/>
  <c r="Q22" i="6"/>
  <c r="P22" i="6"/>
  <c r="P175" i="6" s="1"/>
  <c r="O22" i="6"/>
  <c r="N22" i="6"/>
  <c r="M22" i="6"/>
  <c r="L22" i="6"/>
  <c r="K22" i="6"/>
  <c r="K175" i="6" s="1"/>
  <c r="J22" i="6"/>
  <c r="J123" i="6" s="1"/>
  <c r="I22" i="6"/>
  <c r="I74" i="6" s="1"/>
  <c r="H22" i="6"/>
  <c r="H20" i="6" s="1"/>
  <c r="H19" i="6" s="1"/>
  <c r="G22" i="6"/>
  <c r="F22" i="6"/>
  <c r="E22" i="6"/>
  <c r="D22" i="6"/>
  <c r="V21" i="6"/>
  <c r="V122" i="6" s="1"/>
  <c r="U21" i="6"/>
  <c r="U20" i="6" s="1"/>
  <c r="T21" i="6"/>
  <c r="S21" i="6"/>
  <c r="R21" i="6"/>
  <c r="Q21" i="6"/>
  <c r="P21" i="6"/>
  <c r="P20" i="6" s="1"/>
  <c r="O21" i="6"/>
  <c r="O73" i="6" s="1"/>
  <c r="N21" i="6"/>
  <c r="N174" i="6" s="1"/>
  <c r="M21" i="6"/>
  <c r="M122" i="6" s="1"/>
  <c r="L21" i="6"/>
  <c r="K21" i="6"/>
  <c r="J21" i="6"/>
  <c r="I21" i="6"/>
  <c r="I174" i="6" s="1"/>
  <c r="H21" i="6"/>
  <c r="H73" i="6" s="1"/>
  <c r="G21" i="6"/>
  <c r="G174" i="6" s="1"/>
  <c r="F21" i="6"/>
  <c r="F122" i="6" s="1"/>
  <c r="E21" i="6"/>
  <c r="E20" i="6" s="1"/>
  <c r="E19" i="6" s="1"/>
  <c r="D21" i="6"/>
  <c r="S20" i="6"/>
  <c r="O20" i="6"/>
  <c r="O72" i="6" s="1"/>
  <c r="N20" i="6"/>
  <c r="M20" i="6"/>
  <c r="L20" i="6"/>
  <c r="L19" i="6" s="1"/>
  <c r="K20" i="6"/>
  <c r="V18" i="6"/>
  <c r="V70" i="6" s="1"/>
  <c r="U18" i="6"/>
  <c r="U119" i="6" s="1"/>
  <c r="T18" i="6"/>
  <c r="S18" i="6"/>
  <c r="R18" i="6"/>
  <c r="Q18" i="6"/>
  <c r="Q70" i="6" s="1"/>
  <c r="P18" i="6"/>
  <c r="O18" i="6"/>
  <c r="O119" i="6" s="1"/>
  <c r="N18" i="6"/>
  <c r="N171" i="6" s="1"/>
  <c r="M18" i="6"/>
  <c r="L18" i="6"/>
  <c r="K18" i="6"/>
  <c r="J18" i="6"/>
  <c r="I18" i="6"/>
  <c r="H18" i="6"/>
  <c r="H119" i="6" s="1"/>
  <c r="G18" i="6"/>
  <c r="G70" i="6" s="1"/>
  <c r="F18" i="6"/>
  <c r="F119" i="6" s="1"/>
  <c r="E18" i="6"/>
  <c r="E119" i="6" s="1"/>
  <c r="D18" i="6"/>
  <c r="V17" i="6"/>
  <c r="U17" i="6"/>
  <c r="T17" i="6"/>
  <c r="T69" i="6" s="1"/>
  <c r="S17" i="6"/>
  <c r="R17" i="6"/>
  <c r="R118" i="6" s="1"/>
  <c r="Q17" i="6"/>
  <c r="Q170" i="6" s="1"/>
  <c r="P17" i="6"/>
  <c r="O17" i="6"/>
  <c r="N17" i="6"/>
  <c r="M17" i="6"/>
  <c r="L17" i="6"/>
  <c r="K17" i="6"/>
  <c r="K118" i="6" s="1"/>
  <c r="J17" i="6"/>
  <c r="J170" i="6" s="1"/>
  <c r="I17" i="6"/>
  <c r="I170" i="6" s="1"/>
  <c r="H17" i="6"/>
  <c r="H118" i="6" s="1"/>
  <c r="G17" i="6"/>
  <c r="F17" i="6"/>
  <c r="E17" i="6"/>
  <c r="D17" i="6"/>
  <c r="D69" i="6" s="1"/>
  <c r="V16" i="6"/>
  <c r="U16" i="6"/>
  <c r="U117" i="6" s="1"/>
  <c r="T16" i="6"/>
  <c r="S16" i="6"/>
  <c r="S14" i="6" s="1"/>
  <c r="R16" i="6"/>
  <c r="R14" i="6" s="1"/>
  <c r="Q16" i="6"/>
  <c r="Q169" i="6" s="1"/>
  <c r="P16" i="6"/>
  <c r="O16" i="6"/>
  <c r="N16" i="6"/>
  <c r="N117" i="6" s="1"/>
  <c r="M16" i="6"/>
  <c r="M169" i="6" s="1"/>
  <c r="L16" i="6"/>
  <c r="L117" i="6" s="1"/>
  <c r="K16" i="6"/>
  <c r="K117" i="6" s="1"/>
  <c r="J16" i="6"/>
  <c r="I16" i="6"/>
  <c r="H16" i="6"/>
  <c r="G16" i="6"/>
  <c r="G68" i="6" s="1"/>
  <c r="F16" i="6"/>
  <c r="E16" i="6"/>
  <c r="E117" i="6" s="1"/>
  <c r="D16" i="6"/>
  <c r="V15" i="6"/>
  <c r="U15" i="6"/>
  <c r="T15" i="6"/>
  <c r="S15" i="6"/>
  <c r="S168" i="6" s="1"/>
  <c r="R15" i="6"/>
  <c r="Q15" i="6"/>
  <c r="Q116" i="6" s="1"/>
  <c r="P15" i="6"/>
  <c r="P168" i="6" s="1"/>
  <c r="O15" i="6"/>
  <c r="O14" i="6" s="1"/>
  <c r="O27" i="6" s="1"/>
  <c r="N15" i="6"/>
  <c r="N116" i="6" s="1"/>
  <c r="M15" i="6"/>
  <c r="M14" i="6" s="1"/>
  <c r="L15" i="6"/>
  <c r="K15" i="6"/>
  <c r="J15" i="6"/>
  <c r="J67" i="6" s="1"/>
  <c r="I15" i="6"/>
  <c r="H15" i="6"/>
  <c r="H116" i="6" s="1"/>
  <c r="G15" i="6"/>
  <c r="F15" i="6"/>
  <c r="E15" i="6"/>
  <c r="E14" i="6" s="1"/>
  <c r="E27" i="6" s="1"/>
  <c r="D15" i="6"/>
  <c r="U14" i="6"/>
  <c r="T14" i="6"/>
  <c r="T27" i="6" s="1"/>
  <c r="Q14" i="6"/>
  <c r="Q27" i="6" s="1"/>
  <c r="N14" i="6"/>
  <c r="N27" i="6" s="1"/>
  <c r="D14" i="6"/>
  <c r="V179" i="5"/>
  <c r="K179" i="5"/>
  <c r="U178" i="5"/>
  <c r="T178" i="5"/>
  <c r="R177" i="5"/>
  <c r="J177" i="5"/>
  <c r="R175" i="5"/>
  <c r="H175" i="5"/>
  <c r="R174" i="5"/>
  <c r="Q174" i="5"/>
  <c r="H174" i="5"/>
  <c r="P171" i="5"/>
  <c r="O171" i="5"/>
  <c r="F171" i="5"/>
  <c r="Q170" i="5"/>
  <c r="K169" i="5"/>
  <c r="U152" i="5"/>
  <c r="T152" i="5"/>
  <c r="E152" i="5"/>
  <c r="D152" i="5"/>
  <c r="V151" i="5"/>
  <c r="U151" i="5"/>
  <c r="T151" i="5"/>
  <c r="S151" i="5"/>
  <c r="S179" i="5" s="1"/>
  <c r="R151" i="5"/>
  <c r="Q151" i="5"/>
  <c r="P151" i="5"/>
  <c r="P179" i="5" s="1"/>
  <c r="O151" i="5"/>
  <c r="N151" i="5"/>
  <c r="M151" i="5"/>
  <c r="L151" i="5"/>
  <c r="L179" i="5" s="1"/>
  <c r="K151" i="5"/>
  <c r="J151" i="5"/>
  <c r="J179" i="5" s="1"/>
  <c r="I151" i="5"/>
  <c r="I179" i="5" s="1"/>
  <c r="H151" i="5"/>
  <c r="H179" i="5" s="1"/>
  <c r="G151" i="5"/>
  <c r="G179" i="5" s="1"/>
  <c r="F151" i="5"/>
  <c r="F179" i="5" s="1"/>
  <c r="E151" i="5"/>
  <c r="D151" i="5"/>
  <c r="V150" i="5"/>
  <c r="V178" i="5" s="1"/>
  <c r="U150" i="5"/>
  <c r="U148" i="5" s="1"/>
  <c r="T150" i="5"/>
  <c r="S150" i="5"/>
  <c r="R150" i="5"/>
  <c r="Q150" i="5"/>
  <c r="P150" i="5"/>
  <c r="O150" i="5"/>
  <c r="N150" i="5"/>
  <c r="M150" i="5"/>
  <c r="M178" i="5" s="1"/>
  <c r="L150" i="5"/>
  <c r="L178" i="5" s="1"/>
  <c r="K150" i="5"/>
  <c r="K178" i="5" s="1"/>
  <c r="J150" i="5"/>
  <c r="J178" i="5" s="1"/>
  <c r="I150" i="5"/>
  <c r="I178" i="5" s="1"/>
  <c r="H150" i="5"/>
  <c r="G150" i="5"/>
  <c r="F150" i="5"/>
  <c r="F178" i="5" s="1"/>
  <c r="E150" i="5"/>
  <c r="E148" i="5" s="1"/>
  <c r="D150" i="5"/>
  <c r="V149" i="5"/>
  <c r="U149" i="5"/>
  <c r="T149" i="5"/>
  <c r="T148" i="5" s="1"/>
  <c r="T176" i="5" s="1"/>
  <c r="S149" i="5"/>
  <c r="R149" i="5"/>
  <c r="Q149" i="5"/>
  <c r="P149" i="5"/>
  <c r="P177" i="5" s="1"/>
  <c r="O149" i="5"/>
  <c r="O148" i="5" s="1"/>
  <c r="O176" i="5" s="1"/>
  <c r="N149" i="5"/>
  <c r="M149" i="5"/>
  <c r="L149" i="5"/>
  <c r="L148" i="5" s="1"/>
  <c r="L176" i="5" s="1"/>
  <c r="K149" i="5"/>
  <c r="J149" i="5"/>
  <c r="I149" i="5"/>
  <c r="I177" i="5" s="1"/>
  <c r="H149" i="5"/>
  <c r="H148" i="5" s="1"/>
  <c r="G149" i="5"/>
  <c r="G148" i="5" s="1"/>
  <c r="F149" i="5"/>
  <c r="E149" i="5"/>
  <c r="D149" i="5"/>
  <c r="D177" i="5" s="1"/>
  <c r="R148" i="5"/>
  <c r="Q148" i="5"/>
  <c r="Q176" i="5" s="1"/>
  <c r="P148" i="5"/>
  <c r="I148" i="5"/>
  <c r="V147" i="5"/>
  <c r="V175" i="5" s="1"/>
  <c r="U147" i="5"/>
  <c r="U175" i="5" s="1"/>
  <c r="T147" i="5"/>
  <c r="T175" i="5" s="1"/>
  <c r="S147" i="5"/>
  <c r="S175" i="5" s="1"/>
  <c r="R147" i="5"/>
  <c r="Q147" i="5"/>
  <c r="P147" i="5"/>
  <c r="O147" i="5"/>
  <c r="O175" i="5" s="1"/>
  <c r="N147" i="5"/>
  <c r="N145" i="5" s="1"/>
  <c r="M147" i="5"/>
  <c r="L147" i="5"/>
  <c r="K147" i="5"/>
  <c r="J147" i="5"/>
  <c r="J175" i="5" s="1"/>
  <c r="I147" i="5"/>
  <c r="H147" i="5"/>
  <c r="G147" i="5"/>
  <c r="G175" i="5" s="1"/>
  <c r="F147" i="5"/>
  <c r="F175" i="5" s="1"/>
  <c r="E147" i="5"/>
  <c r="E175" i="5" s="1"/>
  <c r="D147" i="5"/>
  <c r="D175" i="5" s="1"/>
  <c r="V146" i="5"/>
  <c r="U146" i="5"/>
  <c r="U174" i="5" s="1"/>
  <c r="T146" i="5"/>
  <c r="S146" i="5"/>
  <c r="R146" i="5"/>
  <c r="Q146" i="5"/>
  <c r="Q145" i="5" s="1"/>
  <c r="P146" i="5"/>
  <c r="P145" i="5" s="1"/>
  <c r="O146" i="5"/>
  <c r="N146" i="5"/>
  <c r="M146" i="5"/>
  <c r="M145" i="5" s="1"/>
  <c r="L146" i="5"/>
  <c r="K146" i="5"/>
  <c r="J146" i="5"/>
  <c r="J174" i="5" s="1"/>
  <c r="I146" i="5"/>
  <c r="I174" i="5" s="1"/>
  <c r="H146" i="5"/>
  <c r="H145" i="5" s="1"/>
  <c r="H144" i="5" s="1"/>
  <c r="G146" i="5"/>
  <c r="F146" i="5"/>
  <c r="E146" i="5"/>
  <c r="E174" i="5" s="1"/>
  <c r="D146" i="5"/>
  <c r="R145" i="5"/>
  <c r="K145" i="5"/>
  <c r="J145" i="5"/>
  <c r="I145" i="5"/>
  <c r="V143" i="5"/>
  <c r="V171" i="5" s="1"/>
  <c r="U143" i="5"/>
  <c r="T143" i="5"/>
  <c r="T171" i="5" s="1"/>
  <c r="S143" i="5"/>
  <c r="S171" i="5" s="1"/>
  <c r="R143" i="5"/>
  <c r="R171" i="5" s="1"/>
  <c r="Q143" i="5"/>
  <c r="Q171" i="5" s="1"/>
  <c r="P143" i="5"/>
  <c r="O143" i="5"/>
  <c r="N143" i="5"/>
  <c r="N171" i="5" s="1"/>
  <c r="M143" i="5"/>
  <c r="L143" i="5"/>
  <c r="K143" i="5"/>
  <c r="K171" i="5" s="1"/>
  <c r="J143" i="5"/>
  <c r="I143" i="5"/>
  <c r="I171" i="5" s="1"/>
  <c r="H143" i="5"/>
  <c r="H171" i="5" s="1"/>
  <c r="G143" i="5"/>
  <c r="F143" i="5"/>
  <c r="E143" i="5"/>
  <c r="D143" i="5"/>
  <c r="D171" i="5" s="1"/>
  <c r="V142" i="5"/>
  <c r="V170" i="5" s="1"/>
  <c r="U142" i="5"/>
  <c r="U170" i="5" s="1"/>
  <c r="T142" i="5"/>
  <c r="T170" i="5" s="1"/>
  <c r="S142" i="5"/>
  <c r="S170" i="5" s="1"/>
  <c r="R142" i="5"/>
  <c r="R170" i="5" s="1"/>
  <c r="Q142" i="5"/>
  <c r="P142" i="5"/>
  <c r="O142" i="5"/>
  <c r="N142" i="5"/>
  <c r="N170" i="5" s="1"/>
  <c r="M142" i="5"/>
  <c r="L142" i="5"/>
  <c r="K142" i="5"/>
  <c r="K170" i="5" s="1"/>
  <c r="J142" i="5"/>
  <c r="J170" i="5" s="1"/>
  <c r="I142" i="5"/>
  <c r="I170" i="5" s="1"/>
  <c r="H142" i="5"/>
  <c r="G142" i="5"/>
  <c r="G170" i="5" s="1"/>
  <c r="F142" i="5"/>
  <c r="F170" i="5" s="1"/>
  <c r="E142" i="5"/>
  <c r="E170" i="5" s="1"/>
  <c r="D142" i="5"/>
  <c r="D170" i="5" s="1"/>
  <c r="V141" i="5"/>
  <c r="V169" i="5" s="1"/>
  <c r="U141" i="5"/>
  <c r="U169" i="5" s="1"/>
  <c r="T141" i="5"/>
  <c r="T169" i="5" s="1"/>
  <c r="S141" i="5"/>
  <c r="R141" i="5"/>
  <c r="Q141" i="5"/>
  <c r="Q169" i="5" s="1"/>
  <c r="P141" i="5"/>
  <c r="O141" i="5"/>
  <c r="N141" i="5"/>
  <c r="M141" i="5"/>
  <c r="M169" i="5" s="1"/>
  <c r="L141" i="5"/>
  <c r="L169" i="5" s="1"/>
  <c r="K141" i="5"/>
  <c r="J141" i="5"/>
  <c r="J169" i="5" s="1"/>
  <c r="I141" i="5"/>
  <c r="I169" i="5" s="1"/>
  <c r="H141" i="5"/>
  <c r="H169" i="5" s="1"/>
  <c r="G141" i="5"/>
  <c r="G169" i="5" s="1"/>
  <c r="F141" i="5"/>
  <c r="F169" i="5" s="1"/>
  <c r="E141" i="5"/>
  <c r="E169" i="5" s="1"/>
  <c r="D141" i="5"/>
  <c r="D169" i="5" s="1"/>
  <c r="V140" i="5"/>
  <c r="U140" i="5"/>
  <c r="U139" i="5" s="1"/>
  <c r="T140" i="5"/>
  <c r="T168" i="5" s="1"/>
  <c r="S140" i="5"/>
  <c r="R140" i="5"/>
  <c r="R139" i="5" s="1"/>
  <c r="Q140" i="5"/>
  <c r="P140" i="5"/>
  <c r="O140" i="5"/>
  <c r="O139" i="5" s="1"/>
  <c r="N140" i="5"/>
  <c r="M140" i="5"/>
  <c r="M168" i="5" s="1"/>
  <c r="L140" i="5"/>
  <c r="L168" i="5" s="1"/>
  <c r="K140" i="5"/>
  <c r="K168" i="5" s="1"/>
  <c r="J140" i="5"/>
  <c r="J168" i="5" s="1"/>
  <c r="I140" i="5"/>
  <c r="H140" i="5"/>
  <c r="G140" i="5"/>
  <c r="G168" i="5" s="1"/>
  <c r="F140" i="5"/>
  <c r="E140" i="5"/>
  <c r="E139" i="5" s="1"/>
  <c r="D140" i="5"/>
  <c r="D168" i="5" s="1"/>
  <c r="T139" i="5"/>
  <c r="L139" i="5"/>
  <c r="K139" i="5"/>
  <c r="D139" i="5"/>
  <c r="G126" i="5"/>
  <c r="J125" i="5"/>
  <c r="Q123" i="5"/>
  <c r="M119" i="5"/>
  <c r="L119" i="5"/>
  <c r="V116" i="5"/>
  <c r="T102" i="5"/>
  <c r="M102" i="5"/>
  <c r="D102" i="5"/>
  <c r="V101" i="5"/>
  <c r="V127" i="5" s="1"/>
  <c r="U101" i="5"/>
  <c r="T101" i="5"/>
  <c r="S101" i="5"/>
  <c r="S127" i="5" s="1"/>
  <c r="R101" i="5"/>
  <c r="Q101" i="5"/>
  <c r="P101" i="5"/>
  <c r="P127" i="5" s="1"/>
  <c r="O101" i="5"/>
  <c r="N101" i="5"/>
  <c r="N127" i="5" s="1"/>
  <c r="M101" i="5"/>
  <c r="L101" i="5"/>
  <c r="L127" i="5" s="1"/>
  <c r="K101" i="5"/>
  <c r="K127" i="5" s="1"/>
  <c r="J101" i="5"/>
  <c r="J127" i="5" s="1"/>
  <c r="I101" i="5"/>
  <c r="I127" i="5" s="1"/>
  <c r="H101" i="5"/>
  <c r="H127" i="5" s="1"/>
  <c r="G101" i="5"/>
  <c r="G127" i="5" s="1"/>
  <c r="F101" i="5"/>
  <c r="F127" i="5" s="1"/>
  <c r="E101" i="5"/>
  <c r="D101" i="5"/>
  <c r="V100" i="5"/>
  <c r="V126" i="5" s="1"/>
  <c r="U100" i="5"/>
  <c r="U98" i="5" s="1"/>
  <c r="T100" i="5"/>
  <c r="T98" i="5" s="1"/>
  <c r="S100" i="5"/>
  <c r="R100" i="5"/>
  <c r="Q100" i="5"/>
  <c r="Q126" i="5" s="1"/>
  <c r="P100" i="5"/>
  <c r="O100" i="5"/>
  <c r="O126" i="5" s="1"/>
  <c r="N100" i="5"/>
  <c r="N126" i="5" s="1"/>
  <c r="M100" i="5"/>
  <c r="M126" i="5" s="1"/>
  <c r="L100" i="5"/>
  <c r="L126" i="5" s="1"/>
  <c r="K100" i="5"/>
  <c r="K126" i="5" s="1"/>
  <c r="J100" i="5"/>
  <c r="J126" i="5" s="1"/>
  <c r="I100" i="5"/>
  <c r="I126" i="5" s="1"/>
  <c r="H100" i="5"/>
  <c r="G100" i="5"/>
  <c r="F100" i="5"/>
  <c r="F126" i="5" s="1"/>
  <c r="E100" i="5"/>
  <c r="E98" i="5" s="1"/>
  <c r="D100" i="5"/>
  <c r="D98" i="5" s="1"/>
  <c r="V99" i="5"/>
  <c r="U99" i="5"/>
  <c r="T99" i="5"/>
  <c r="T125" i="5" s="1"/>
  <c r="S99" i="5"/>
  <c r="R99" i="5"/>
  <c r="R125" i="5" s="1"/>
  <c r="Q99" i="5"/>
  <c r="Q125" i="5" s="1"/>
  <c r="P99" i="5"/>
  <c r="P125" i="5" s="1"/>
  <c r="O99" i="5"/>
  <c r="O125" i="5" s="1"/>
  <c r="N99" i="5"/>
  <c r="M99" i="5"/>
  <c r="L99" i="5"/>
  <c r="L125" i="5" s="1"/>
  <c r="K99" i="5"/>
  <c r="K98" i="5" s="1"/>
  <c r="K124" i="5" s="1"/>
  <c r="J99" i="5"/>
  <c r="I99" i="5"/>
  <c r="I125" i="5" s="1"/>
  <c r="H99" i="5"/>
  <c r="H98" i="5" s="1"/>
  <c r="G99" i="5"/>
  <c r="G98" i="5" s="1"/>
  <c r="F99" i="5"/>
  <c r="E99" i="5"/>
  <c r="D99" i="5"/>
  <c r="D125" i="5" s="1"/>
  <c r="R98" i="5"/>
  <c r="R124" i="5" s="1"/>
  <c r="Q98" i="5"/>
  <c r="Q124" i="5" s="1"/>
  <c r="P98" i="5"/>
  <c r="I98" i="5"/>
  <c r="V97" i="5"/>
  <c r="V123" i="5" s="1"/>
  <c r="U97" i="5"/>
  <c r="U123" i="5" s="1"/>
  <c r="T97" i="5"/>
  <c r="T123" i="5" s="1"/>
  <c r="S97" i="5"/>
  <c r="S123" i="5" s="1"/>
  <c r="R97" i="5"/>
  <c r="R123" i="5" s="1"/>
  <c r="Q97" i="5"/>
  <c r="P97" i="5"/>
  <c r="O97" i="5"/>
  <c r="O123" i="5" s="1"/>
  <c r="N97" i="5"/>
  <c r="N95" i="5" s="1"/>
  <c r="M97" i="5"/>
  <c r="M95" i="5" s="1"/>
  <c r="L97" i="5"/>
  <c r="K97" i="5"/>
  <c r="J97" i="5"/>
  <c r="J123" i="5" s="1"/>
  <c r="I97" i="5"/>
  <c r="H97" i="5"/>
  <c r="H123" i="5" s="1"/>
  <c r="G97" i="5"/>
  <c r="G123" i="5" s="1"/>
  <c r="F97" i="5"/>
  <c r="F123" i="5" s="1"/>
  <c r="E97" i="5"/>
  <c r="E123" i="5" s="1"/>
  <c r="D97" i="5"/>
  <c r="D123" i="5" s="1"/>
  <c r="V96" i="5"/>
  <c r="U96" i="5"/>
  <c r="U122" i="5" s="1"/>
  <c r="T96" i="5"/>
  <c r="S96" i="5"/>
  <c r="R96" i="5"/>
  <c r="R122" i="5" s="1"/>
  <c r="Q96" i="5"/>
  <c r="Q95" i="5" s="1"/>
  <c r="P96" i="5"/>
  <c r="P95" i="5" s="1"/>
  <c r="O96" i="5"/>
  <c r="N96" i="5"/>
  <c r="M96" i="5"/>
  <c r="M122" i="5" s="1"/>
  <c r="L96" i="5"/>
  <c r="K96" i="5"/>
  <c r="K122" i="5" s="1"/>
  <c r="J96" i="5"/>
  <c r="J122" i="5" s="1"/>
  <c r="I96" i="5"/>
  <c r="I122" i="5" s="1"/>
  <c r="H96" i="5"/>
  <c r="H122" i="5" s="1"/>
  <c r="G96" i="5"/>
  <c r="F96" i="5"/>
  <c r="E96" i="5"/>
  <c r="E122" i="5" s="1"/>
  <c r="D96" i="5"/>
  <c r="R95" i="5"/>
  <c r="K95" i="5"/>
  <c r="J95" i="5"/>
  <c r="I95" i="5"/>
  <c r="V93" i="5"/>
  <c r="V119" i="5" s="1"/>
  <c r="U93" i="5"/>
  <c r="T93" i="5"/>
  <c r="T119" i="5" s="1"/>
  <c r="S93" i="5"/>
  <c r="S119" i="5" s="1"/>
  <c r="R93" i="5"/>
  <c r="R119" i="5" s="1"/>
  <c r="Q93" i="5"/>
  <c r="Q119" i="5" s="1"/>
  <c r="P93" i="5"/>
  <c r="P119" i="5" s="1"/>
  <c r="O93" i="5"/>
  <c r="O119" i="5" s="1"/>
  <c r="N93" i="5"/>
  <c r="N119" i="5" s="1"/>
  <c r="M93" i="5"/>
  <c r="M89" i="5" s="1"/>
  <c r="L93" i="5"/>
  <c r="K93" i="5"/>
  <c r="K119" i="5" s="1"/>
  <c r="J93" i="5"/>
  <c r="I93" i="5"/>
  <c r="H93" i="5"/>
  <c r="H119" i="5" s="1"/>
  <c r="G93" i="5"/>
  <c r="F93" i="5"/>
  <c r="F119" i="5" s="1"/>
  <c r="E93" i="5"/>
  <c r="D93" i="5"/>
  <c r="D119" i="5" s="1"/>
  <c r="V92" i="5"/>
  <c r="V118" i="5" s="1"/>
  <c r="U92" i="5"/>
  <c r="U118" i="5" s="1"/>
  <c r="T92" i="5"/>
  <c r="T118" i="5" s="1"/>
  <c r="S92" i="5"/>
  <c r="S118" i="5" s="1"/>
  <c r="R92" i="5"/>
  <c r="R118" i="5" s="1"/>
  <c r="Q92" i="5"/>
  <c r="Q118" i="5" s="1"/>
  <c r="P92" i="5"/>
  <c r="O92" i="5"/>
  <c r="N92" i="5"/>
  <c r="N118" i="5" s="1"/>
  <c r="M92" i="5"/>
  <c r="L92" i="5"/>
  <c r="K92" i="5"/>
  <c r="K118" i="5" s="1"/>
  <c r="J92" i="5"/>
  <c r="I92" i="5"/>
  <c r="I118" i="5" s="1"/>
  <c r="H92" i="5"/>
  <c r="G92" i="5"/>
  <c r="G118" i="5" s="1"/>
  <c r="F92" i="5"/>
  <c r="F118" i="5" s="1"/>
  <c r="E92" i="5"/>
  <c r="E118" i="5" s="1"/>
  <c r="D92" i="5"/>
  <c r="D118" i="5" s="1"/>
  <c r="V91" i="5"/>
  <c r="V117" i="5" s="1"/>
  <c r="U91" i="5"/>
  <c r="U117" i="5" s="1"/>
  <c r="T91" i="5"/>
  <c r="T117" i="5" s="1"/>
  <c r="S91" i="5"/>
  <c r="R91" i="5"/>
  <c r="Q91" i="5"/>
  <c r="Q117" i="5" s="1"/>
  <c r="P91" i="5"/>
  <c r="O91" i="5"/>
  <c r="N91" i="5"/>
  <c r="M91" i="5"/>
  <c r="L91" i="5"/>
  <c r="L117" i="5" s="1"/>
  <c r="K91" i="5"/>
  <c r="J91" i="5"/>
  <c r="J117" i="5" s="1"/>
  <c r="I91" i="5"/>
  <c r="I117" i="5" s="1"/>
  <c r="H91" i="5"/>
  <c r="H117" i="5" s="1"/>
  <c r="G91" i="5"/>
  <c r="G117" i="5" s="1"/>
  <c r="F91" i="5"/>
  <c r="F117" i="5" s="1"/>
  <c r="E91" i="5"/>
  <c r="E117" i="5" s="1"/>
  <c r="D91" i="5"/>
  <c r="D117" i="5" s="1"/>
  <c r="V90" i="5"/>
  <c r="U90" i="5"/>
  <c r="T90" i="5"/>
  <c r="T116" i="5" s="1"/>
  <c r="S90" i="5"/>
  <c r="R90" i="5"/>
  <c r="Q90" i="5"/>
  <c r="P90" i="5"/>
  <c r="O90" i="5"/>
  <c r="O116" i="5" s="1"/>
  <c r="N90" i="5"/>
  <c r="M90" i="5"/>
  <c r="M116" i="5" s="1"/>
  <c r="L90" i="5"/>
  <c r="L116" i="5" s="1"/>
  <c r="K90" i="5"/>
  <c r="K116" i="5" s="1"/>
  <c r="J90" i="5"/>
  <c r="J116" i="5" s="1"/>
  <c r="I90" i="5"/>
  <c r="H90" i="5"/>
  <c r="G90" i="5"/>
  <c r="G116" i="5" s="1"/>
  <c r="F90" i="5"/>
  <c r="E90" i="5"/>
  <c r="D90" i="5"/>
  <c r="D116" i="5" s="1"/>
  <c r="T89" i="5"/>
  <c r="L89" i="5"/>
  <c r="K89" i="5"/>
  <c r="D89" i="5"/>
  <c r="U78" i="5"/>
  <c r="T78" i="5"/>
  <c r="S76" i="5"/>
  <c r="J76" i="5"/>
  <c r="Q74" i="5"/>
  <c r="P74" i="5"/>
  <c r="L70" i="5"/>
  <c r="E70" i="5"/>
  <c r="U67" i="5"/>
  <c r="E67" i="5"/>
  <c r="M53" i="5"/>
  <c r="V52" i="5"/>
  <c r="V78" i="5" s="1"/>
  <c r="U52" i="5"/>
  <c r="T52" i="5"/>
  <c r="S52" i="5"/>
  <c r="S78" i="5" s="1"/>
  <c r="R52" i="5"/>
  <c r="Q52" i="5"/>
  <c r="P52" i="5"/>
  <c r="P78" i="5" s="1"/>
  <c r="O52" i="5"/>
  <c r="N52" i="5"/>
  <c r="N78" i="5" s="1"/>
  <c r="M52" i="5"/>
  <c r="L52" i="5"/>
  <c r="L78" i="5" s="1"/>
  <c r="K52" i="5"/>
  <c r="K78" i="5" s="1"/>
  <c r="J52" i="5"/>
  <c r="J78" i="5" s="1"/>
  <c r="I52" i="5"/>
  <c r="I78" i="5" s="1"/>
  <c r="H52" i="5"/>
  <c r="H78" i="5" s="1"/>
  <c r="G52" i="5"/>
  <c r="G78" i="5" s="1"/>
  <c r="F52" i="5"/>
  <c r="F78" i="5" s="1"/>
  <c r="E52" i="5"/>
  <c r="D52" i="5"/>
  <c r="V51" i="5"/>
  <c r="V77" i="5" s="1"/>
  <c r="U51" i="5"/>
  <c r="U49" i="5" s="1"/>
  <c r="T51" i="5"/>
  <c r="S51" i="5"/>
  <c r="R51" i="5"/>
  <c r="Q51" i="5"/>
  <c r="Q77" i="5" s="1"/>
  <c r="P51" i="5"/>
  <c r="O51" i="5"/>
  <c r="O77" i="5" s="1"/>
  <c r="N51" i="5"/>
  <c r="N77" i="5" s="1"/>
  <c r="M51" i="5"/>
  <c r="M77" i="5" s="1"/>
  <c r="L51" i="5"/>
  <c r="L77" i="5" s="1"/>
  <c r="K51" i="5"/>
  <c r="K77" i="5" s="1"/>
  <c r="J51" i="5"/>
  <c r="J77" i="5" s="1"/>
  <c r="I51" i="5"/>
  <c r="I77" i="5" s="1"/>
  <c r="H51" i="5"/>
  <c r="G51" i="5"/>
  <c r="F51" i="5"/>
  <c r="F77" i="5" s="1"/>
  <c r="E51" i="5"/>
  <c r="E49" i="5" s="1"/>
  <c r="D51" i="5"/>
  <c r="V50" i="5"/>
  <c r="U50" i="5"/>
  <c r="T50" i="5"/>
  <c r="T76" i="5" s="1"/>
  <c r="S50" i="5"/>
  <c r="R50" i="5"/>
  <c r="R76" i="5" s="1"/>
  <c r="Q50" i="5"/>
  <c r="Q76" i="5" s="1"/>
  <c r="P50" i="5"/>
  <c r="P76" i="5" s="1"/>
  <c r="O50" i="5"/>
  <c r="O76" i="5" s="1"/>
  <c r="N50" i="5"/>
  <c r="M50" i="5"/>
  <c r="L50" i="5"/>
  <c r="L76" i="5" s="1"/>
  <c r="K50" i="5"/>
  <c r="K49" i="5" s="1"/>
  <c r="J50" i="5"/>
  <c r="J49" i="5" s="1"/>
  <c r="J75" i="5" s="1"/>
  <c r="I50" i="5"/>
  <c r="I76" i="5" s="1"/>
  <c r="H50" i="5"/>
  <c r="H49" i="5" s="1"/>
  <c r="G50" i="5"/>
  <c r="G49" i="5" s="1"/>
  <c r="F50" i="5"/>
  <c r="E50" i="5"/>
  <c r="D50" i="5"/>
  <c r="D76" i="5" s="1"/>
  <c r="T49" i="5"/>
  <c r="R49" i="5"/>
  <c r="R75" i="5" s="1"/>
  <c r="Q49" i="5"/>
  <c r="Q75" i="5" s="1"/>
  <c r="P49" i="5"/>
  <c r="O49" i="5"/>
  <c r="O75" i="5" s="1"/>
  <c r="I49" i="5"/>
  <c r="D49" i="5"/>
  <c r="V48" i="5"/>
  <c r="V74" i="5" s="1"/>
  <c r="U48" i="5"/>
  <c r="U74" i="5" s="1"/>
  <c r="T48" i="5"/>
  <c r="T74" i="5" s="1"/>
  <c r="S48" i="5"/>
  <c r="S74" i="5" s="1"/>
  <c r="R48" i="5"/>
  <c r="R74" i="5" s="1"/>
  <c r="Q48" i="5"/>
  <c r="P48" i="5"/>
  <c r="O48" i="5"/>
  <c r="O74" i="5" s="1"/>
  <c r="N48" i="5"/>
  <c r="N46" i="5" s="1"/>
  <c r="M48" i="5"/>
  <c r="L48" i="5"/>
  <c r="K48" i="5"/>
  <c r="J48" i="5"/>
  <c r="J74" i="5" s="1"/>
  <c r="I48" i="5"/>
  <c r="H48" i="5"/>
  <c r="H74" i="5" s="1"/>
  <c r="G48" i="5"/>
  <c r="G74" i="5" s="1"/>
  <c r="F48" i="5"/>
  <c r="F74" i="5" s="1"/>
  <c r="E48" i="5"/>
  <c r="E74" i="5" s="1"/>
  <c r="D48" i="5"/>
  <c r="D74" i="5" s="1"/>
  <c r="V47" i="5"/>
  <c r="U47" i="5"/>
  <c r="U73" i="5" s="1"/>
  <c r="T47" i="5"/>
  <c r="S47" i="5"/>
  <c r="R47" i="5"/>
  <c r="R73" i="5" s="1"/>
  <c r="Q47" i="5"/>
  <c r="Q46" i="5" s="1"/>
  <c r="P47" i="5"/>
  <c r="P46" i="5" s="1"/>
  <c r="O47" i="5"/>
  <c r="N47" i="5"/>
  <c r="M47" i="5"/>
  <c r="M73" i="5" s="1"/>
  <c r="L47" i="5"/>
  <c r="K47" i="5"/>
  <c r="K73" i="5" s="1"/>
  <c r="J47" i="5"/>
  <c r="J73" i="5" s="1"/>
  <c r="I47" i="5"/>
  <c r="I73" i="5" s="1"/>
  <c r="H47" i="5"/>
  <c r="H73" i="5" s="1"/>
  <c r="G47" i="5"/>
  <c r="F47" i="5"/>
  <c r="E47" i="5"/>
  <c r="E73" i="5" s="1"/>
  <c r="D47" i="5"/>
  <c r="R46" i="5"/>
  <c r="M46" i="5"/>
  <c r="K46" i="5"/>
  <c r="J46" i="5"/>
  <c r="I46" i="5"/>
  <c r="H46" i="5"/>
  <c r="H72" i="5" s="1"/>
  <c r="V44" i="5"/>
  <c r="V70" i="5" s="1"/>
  <c r="U44" i="5"/>
  <c r="T44" i="5"/>
  <c r="T70" i="5" s="1"/>
  <c r="S44" i="5"/>
  <c r="S70" i="5" s="1"/>
  <c r="R44" i="5"/>
  <c r="R70" i="5" s="1"/>
  <c r="Q44" i="5"/>
  <c r="Q70" i="5" s="1"/>
  <c r="P44" i="5"/>
  <c r="P70" i="5" s="1"/>
  <c r="O44" i="5"/>
  <c r="O70" i="5" s="1"/>
  <c r="N44" i="5"/>
  <c r="N70" i="5" s="1"/>
  <c r="M44" i="5"/>
  <c r="M40" i="5" s="1"/>
  <c r="L44" i="5"/>
  <c r="K44" i="5"/>
  <c r="K70" i="5" s="1"/>
  <c r="J44" i="5"/>
  <c r="I44" i="5"/>
  <c r="H44" i="5"/>
  <c r="H70" i="5" s="1"/>
  <c r="G44" i="5"/>
  <c r="F44" i="5"/>
  <c r="F70" i="5" s="1"/>
  <c r="E44" i="5"/>
  <c r="D44" i="5"/>
  <c r="D70" i="5" s="1"/>
  <c r="V43" i="5"/>
  <c r="V69" i="5" s="1"/>
  <c r="U43" i="5"/>
  <c r="U69" i="5" s="1"/>
  <c r="T43" i="5"/>
  <c r="T69" i="5" s="1"/>
  <c r="S43" i="5"/>
  <c r="S69" i="5" s="1"/>
  <c r="R43" i="5"/>
  <c r="R69" i="5" s="1"/>
  <c r="Q43" i="5"/>
  <c r="Q69" i="5" s="1"/>
  <c r="P43" i="5"/>
  <c r="O43" i="5"/>
  <c r="O40" i="5" s="1"/>
  <c r="N43" i="5"/>
  <c r="N69" i="5" s="1"/>
  <c r="M43" i="5"/>
  <c r="L43" i="5"/>
  <c r="K43" i="5"/>
  <c r="K69" i="5" s="1"/>
  <c r="J43" i="5"/>
  <c r="I43" i="5"/>
  <c r="I69" i="5" s="1"/>
  <c r="H43" i="5"/>
  <c r="G43" i="5"/>
  <c r="G69" i="5" s="1"/>
  <c r="F43" i="5"/>
  <c r="F69" i="5" s="1"/>
  <c r="E43" i="5"/>
  <c r="E69" i="5" s="1"/>
  <c r="D43" i="5"/>
  <c r="D69" i="5" s="1"/>
  <c r="V42" i="5"/>
  <c r="V68" i="5" s="1"/>
  <c r="U42" i="5"/>
  <c r="U68" i="5" s="1"/>
  <c r="T42" i="5"/>
  <c r="T68" i="5" s="1"/>
  <c r="S42" i="5"/>
  <c r="R42" i="5"/>
  <c r="R40" i="5" s="1"/>
  <c r="Q42" i="5"/>
  <c r="Q68" i="5" s="1"/>
  <c r="P42" i="5"/>
  <c r="P40" i="5" s="1"/>
  <c r="O42" i="5"/>
  <c r="N42" i="5"/>
  <c r="M42" i="5"/>
  <c r="L42" i="5"/>
  <c r="L68" i="5" s="1"/>
  <c r="K42" i="5"/>
  <c r="J42" i="5"/>
  <c r="J68" i="5" s="1"/>
  <c r="I42" i="5"/>
  <c r="I68" i="5" s="1"/>
  <c r="H42" i="5"/>
  <c r="H68" i="5" s="1"/>
  <c r="G42" i="5"/>
  <c r="G68" i="5" s="1"/>
  <c r="F42" i="5"/>
  <c r="F68" i="5" s="1"/>
  <c r="E42" i="5"/>
  <c r="E68" i="5" s="1"/>
  <c r="D42" i="5"/>
  <c r="D68" i="5" s="1"/>
  <c r="V41" i="5"/>
  <c r="U41" i="5"/>
  <c r="U40" i="5" s="1"/>
  <c r="U53" i="5" s="1"/>
  <c r="T41" i="5"/>
  <c r="T67" i="5" s="1"/>
  <c r="S41" i="5"/>
  <c r="S40" i="5" s="1"/>
  <c r="R41" i="5"/>
  <c r="Q41" i="5"/>
  <c r="P41" i="5"/>
  <c r="O41" i="5"/>
  <c r="O67" i="5" s="1"/>
  <c r="N41" i="5"/>
  <c r="M41" i="5"/>
  <c r="M67" i="5" s="1"/>
  <c r="L41" i="5"/>
  <c r="L67" i="5" s="1"/>
  <c r="K41" i="5"/>
  <c r="K67" i="5" s="1"/>
  <c r="J41" i="5"/>
  <c r="J67" i="5" s="1"/>
  <c r="I41" i="5"/>
  <c r="H41" i="5"/>
  <c r="G41" i="5"/>
  <c r="G67" i="5" s="1"/>
  <c r="F41" i="5"/>
  <c r="E41" i="5"/>
  <c r="E40" i="5" s="1"/>
  <c r="E53" i="5" s="1"/>
  <c r="D41" i="5"/>
  <c r="D67" i="5" s="1"/>
  <c r="T40" i="5"/>
  <c r="L40" i="5"/>
  <c r="K40" i="5"/>
  <c r="J40" i="5"/>
  <c r="J53" i="5" s="1"/>
  <c r="D40" i="5"/>
  <c r="N28" i="5"/>
  <c r="V26" i="5"/>
  <c r="U26" i="5"/>
  <c r="U127" i="5" s="1"/>
  <c r="T26" i="5"/>
  <c r="T127" i="5" s="1"/>
  <c r="S26" i="5"/>
  <c r="R26" i="5"/>
  <c r="R179" i="5" s="1"/>
  <c r="Q26" i="5"/>
  <c r="Q179" i="5" s="1"/>
  <c r="P26" i="5"/>
  <c r="O26" i="5"/>
  <c r="O127" i="5" s="1"/>
  <c r="N26" i="5"/>
  <c r="N179" i="5" s="1"/>
  <c r="M26" i="5"/>
  <c r="M179" i="5" s="1"/>
  <c r="L26" i="5"/>
  <c r="K26" i="5"/>
  <c r="J26" i="5"/>
  <c r="I26" i="5"/>
  <c r="H26" i="5"/>
  <c r="G26" i="5"/>
  <c r="F26" i="5"/>
  <c r="E26" i="5"/>
  <c r="E78" i="5" s="1"/>
  <c r="D26" i="5"/>
  <c r="D78" i="5" s="1"/>
  <c r="V25" i="5"/>
  <c r="U25" i="5"/>
  <c r="U126" i="5" s="1"/>
  <c r="T25" i="5"/>
  <c r="T23" i="5" s="1"/>
  <c r="S25" i="5"/>
  <c r="R25" i="5"/>
  <c r="R23" i="5" s="1"/>
  <c r="R176" i="5" s="1"/>
  <c r="Q25" i="5"/>
  <c r="Q178" i="5" s="1"/>
  <c r="P25" i="5"/>
  <c r="O25" i="5"/>
  <c r="O178" i="5" s="1"/>
  <c r="N25" i="5"/>
  <c r="N178" i="5" s="1"/>
  <c r="M25" i="5"/>
  <c r="L25" i="5"/>
  <c r="K25" i="5"/>
  <c r="J25" i="5"/>
  <c r="I25" i="5"/>
  <c r="H25" i="5"/>
  <c r="H77" i="5" s="1"/>
  <c r="G25" i="5"/>
  <c r="G77" i="5" s="1"/>
  <c r="F25" i="5"/>
  <c r="E25" i="5"/>
  <c r="E126" i="5" s="1"/>
  <c r="D25" i="5"/>
  <c r="D23" i="5" s="1"/>
  <c r="V24" i="5"/>
  <c r="U24" i="5"/>
  <c r="U23" i="5" s="1"/>
  <c r="T24" i="5"/>
  <c r="T177" i="5" s="1"/>
  <c r="S24" i="5"/>
  <c r="S23" i="5" s="1"/>
  <c r="R24" i="5"/>
  <c r="Q24" i="5"/>
  <c r="Q177" i="5" s="1"/>
  <c r="P24" i="5"/>
  <c r="O24" i="5"/>
  <c r="N24" i="5"/>
  <c r="M24" i="5"/>
  <c r="L24" i="5"/>
  <c r="L23" i="5" s="1"/>
  <c r="K24" i="5"/>
  <c r="K23" i="5" s="1"/>
  <c r="J24" i="5"/>
  <c r="J23" i="5" s="1"/>
  <c r="I24" i="5"/>
  <c r="I23" i="5" s="1"/>
  <c r="H24" i="5"/>
  <c r="H125" i="5" s="1"/>
  <c r="G24" i="5"/>
  <c r="G125" i="5" s="1"/>
  <c r="F24" i="5"/>
  <c r="E24" i="5"/>
  <c r="E23" i="5" s="1"/>
  <c r="D24" i="5"/>
  <c r="V23" i="5"/>
  <c r="Q23" i="5"/>
  <c r="O23" i="5"/>
  <c r="N23" i="5"/>
  <c r="M23" i="5"/>
  <c r="F23" i="5"/>
  <c r="V22" i="5"/>
  <c r="U22" i="5"/>
  <c r="T22" i="5"/>
  <c r="S22" i="5"/>
  <c r="R22" i="5"/>
  <c r="Q22" i="5"/>
  <c r="P22" i="5"/>
  <c r="P123" i="5" s="1"/>
  <c r="O22" i="5"/>
  <c r="N22" i="5"/>
  <c r="N123" i="5" s="1"/>
  <c r="M22" i="5"/>
  <c r="M20" i="5" s="1"/>
  <c r="M19" i="5" s="1"/>
  <c r="L22" i="5"/>
  <c r="K22" i="5"/>
  <c r="K20" i="5" s="1"/>
  <c r="K19" i="5" s="1"/>
  <c r="J22" i="5"/>
  <c r="I22" i="5"/>
  <c r="I123" i="5" s="1"/>
  <c r="H22" i="5"/>
  <c r="G22" i="5"/>
  <c r="F22" i="5"/>
  <c r="E22" i="5"/>
  <c r="D22" i="5"/>
  <c r="V21" i="5"/>
  <c r="U21" i="5"/>
  <c r="U20" i="5" s="1"/>
  <c r="U19" i="5" s="1"/>
  <c r="T21" i="5"/>
  <c r="T20" i="5" s="1"/>
  <c r="S21" i="5"/>
  <c r="S20" i="5" s="1"/>
  <c r="R21" i="5"/>
  <c r="R20" i="5" s="1"/>
  <c r="Q21" i="5"/>
  <c r="Q122" i="5" s="1"/>
  <c r="P21" i="5"/>
  <c r="P174" i="5" s="1"/>
  <c r="O21" i="5"/>
  <c r="N21" i="5"/>
  <c r="N20" i="5" s="1"/>
  <c r="N19" i="5" s="1"/>
  <c r="M21" i="5"/>
  <c r="M174" i="5" s="1"/>
  <c r="L21" i="5"/>
  <c r="L73" i="5" s="1"/>
  <c r="K21" i="5"/>
  <c r="K174" i="5" s="1"/>
  <c r="J21" i="5"/>
  <c r="I21" i="5"/>
  <c r="H21" i="5"/>
  <c r="G21" i="5"/>
  <c r="F21" i="5"/>
  <c r="E21" i="5"/>
  <c r="E20" i="5" s="1"/>
  <c r="E19" i="5" s="1"/>
  <c r="D21" i="5"/>
  <c r="D20" i="5" s="1"/>
  <c r="V20" i="5"/>
  <c r="O20" i="5"/>
  <c r="O19" i="5" s="1"/>
  <c r="J20" i="5"/>
  <c r="H20" i="5"/>
  <c r="G20" i="5"/>
  <c r="F20" i="5"/>
  <c r="F19" i="5" s="1"/>
  <c r="R19" i="5"/>
  <c r="J19" i="5"/>
  <c r="V18" i="5"/>
  <c r="U18" i="5"/>
  <c r="U70" i="5" s="1"/>
  <c r="T18" i="5"/>
  <c r="S18" i="5"/>
  <c r="R18" i="5"/>
  <c r="Q18" i="5"/>
  <c r="P18" i="5"/>
  <c r="O18" i="5"/>
  <c r="N18" i="5"/>
  <c r="M18" i="5"/>
  <c r="M70" i="5" s="1"/>
  <c r="L18" i="5"/>
  <c r="K18" i="5"/>
  <c r="J18" i="5"/>
  <c r="J14" i="5" s="1"/>
  <c r="J28" i="5" s="1"/>
  <c r="I18" i="5"/>
  <c r="I119" i="5" s="1"/>
  <c r="H18" i="5"/>
  <c r="G18" i="5"/>
  <c r="G119" i="5" s="1"/>
  <c r="F18" i="5"/>
  <c r="E18" i="5"/>
  <c r="E119" i="5" s="1"/>
  <c r="D18" i="5"/>
  <c r="V17" i="5"/>
  <c r="U17" i="5"/>
  <c r="T17" i="5"/>
  <c r="S17" i="5"/>
  <c r="R17" i="5"/>
  <c r="Q17" i="5"/>
  <c r="P17" i="5"/>
  <c r="P69" i="5" s="1"/>
  <c r="O17" i="5"/>
  <c r="O69" i="5" s="1"/>
  <c r="N17" i="5"/>
  <c r="M17" i="5"/>
  <c r="M170" i="5" s="1"/>
  <c r="L17" i="5"/>
  <c r="L14" i="5" s="1"/>
  <c r="K17" i="5"/>
  <c r="J17" i="5"/>
  <c r="J118" i="5" s="1"/>
  <c r="I17" i="5"/>
  <c r="H17" i="5"/>
  <c r="H69" i="5" s="1"/>
  <c r="G17" i="5"/>
  <c r="F17" i="5"/>
  <c r="E17" i="5"/>
  <c r="D17" i="5"/>
  <c r="V16" i="5"/>
  <c r="U16" i="5"/>
  <c r="T16" i="5"/>
  <c r="S16" i="5"/>
  <c r="S68" i="5" s="1"/>
  <c r="R16" i="5"/>
  <c r="R68" i="5" s="1"/>
  <c r="Q16" i="5"/>
  <c r="P16" i="5"/>
  <c r="P169" i="5" s="1"/>
  <c r="O16" i="5"/>
  <c r="O14" i="5" s="1"/>
  <c r="O27" i="5" s="1"/>
  <c r="O55" i="5" s="1"/>
  <c r="N16" i="5"/>
  <c r="M16" i="5"/>
  <c r="L16" i="5"/>
  <c r="K16" i="5"/>
  <c r="K14" i="5" s="1"/>
  <c r="J16" i="5"/>
  <c r="I16" i="5"/>
  <c r="H16" i="5"/>
  <c r="G16" i="5"/>
  <c r="F16" i="5"/>
  <c r="E16" i="5"/>
  <c r="D16" i="5"/>
  <c r="V15" i="5"/>
  <c r="V14" i="5" s="1"/>
  <c r="U15" i="5"/>
  <c r="T15" i="5"/>
  <c r="T14" i="5" s="1"/>
  <c r="S15" i="5"/>
  <c r="S168" i="5" s="1"/>
  <c r="R15" i="5"/>
  <c r="R168" i="5" s="1"/>
  <c r="Q15" i="5"/>
  <c r="P15" i="5"/>
  <c r="O15" i="5"/>
  <c r="N15" i="5"/>
  <c r="N14" i="5" s="1"/>
  <c r="N27" i="5" s="1"/>
  <c r="N55" i="5" s="1"/>
  <c r="M15" i="5"/>
  <c r="L15" i="5"/>
  <c r="K15" i="5"/>
  <c r="J15" i="5"/>
  <c r="I15" i="5"/>
  <c r="H15" i="5"/>
  <c r="G15" i="5"/>
  <c r="G14" i="5" s="1"/>
  <c r="G27" i="5" s="1"/>
  <c r="G55" i="5" s="1"/>
  <c r="F15" i="5"/>
  <c r="F14" i="5" s="1"/>
  <c r="E15" i="5"/>
  <c r="D15" i="5"/>
  <c r="D14" i="5" s="1"/>
  <c r="Q14" i="5"/>
  <c r="I14" i="5"/>
  <c r="H14" i="5"/>
  <c r="Q178" i="4"/>
  <c r="T177" i="4"/>
  <c r="E177" i="4"/>
  <c r="D177" i="4"/>
  <c r="N174" i="4"/>
  <c r="S167" i="4"/>
  <c r="J151" i="4"/>
  <c r="V150" i="4"/>
  <c r="U150" i="4"/>
  <c r="T150" i="4"/>
  <c r="S150" i="4"/>
  <c r="R150" i="4"/>
  <c r="Q150" i="4"/>
  <c r="P150" i="4"/>
  <c r="P178" i="4" s="1"/>
  <c r="O150" i="4"/>
  <c r="N150" i="4"/>
  <c r="M150" i="4"/>
  <c r="M178" i="4" s="1"/>
  <c r="L150" i="4"/>
  <c r="K150" i="4"/>
  <c r="K178" i="4" s="1"/>
  <c r="J150" i="4"/>
  <c r="I150" i="4"/>
  <c r="H150" i="4"/>
  <c r="G150" i="4"/>
  <c r="G178" i="4" s="1"/>
  <c r="F150" i="4"/>
  <c r="E150" i="4"/>
  <c r="D150" i="4"/>
  <c r="V149" i="4"/>
  <c r="U149" i="4"/>
  <c r="T149" i="4"/>
  <c r="T147" i="4" s="1"/>
  <c r="S149" i="4"/>
  <c r="S177" i="4" s="1"/>
  <c r="R149" i="4"/>
  <c r="R147" i="4" s="1"/>
  <c r="Q149" i="4"/>
  <c r="P149" i="4"/>
  <c r="O149" i="4"/>
  <c r="N149" i="4"/>
  <c r="N177" i="4" s="1"/>
  <c r="M149" i="4"/>
  <c r="L149" i="4"/>
  <c r="K149" i="4"/>
  <c r="J149" i="4"/>
  <c r="J177" i="4" s="1"/>
  <c r="I149" i="4"/>
  <c r="H149" i="4"/>
  <c r="G149" i="4"/>
  <c r="F149" i="4"/>
  <c r="E149" i="4"/>
  <c r="D149" i="4"/>
  <c r="D147" i="4" s="1"/>
  <c r="V148" i="4"/>
  <c r="V176" i="4" s="1"/>
  <c r="U148" i="4"/>
  <c r="U147" i="4" s="1"/>
  <c r="T148" i="4"/>
  <c r="S148" i="4"/>
  <c r="R148" i="4"/>
  <c r="Q148" i="4"/>
  <c r="Q147" i="4" s="1"/>
  <c r="P148" i="4"/>
  <c r="O148" i="4"/>
  <c r="N148" i="4"/>
  <c r="M148" i="4"/>
  <c r="M176" i="4" s="1"/>
  <c r="L148" i="4"/>
  <c r="K148" i="4"/>
  <c r="J148" i="4"/>
  <c r="I148" i="4"/>
  <c r="H148" i="4"/>
  <c r="G148" i="4"/>
  <c r="G147" i="4" s="1"/>
  <c r="F148" i="4"/>
  <c r="F176" i="4" s="1"/>
  <c r="E148" i="4"/>
  <c r="E147" i="4" s="1"/>
  <c r="D148" i="4"/>
  <c r="V147" i="4"/>
  <c r="O147" i="4"/>
  <c r="N147" i="4"/>
  <c r="M147" i="4"/>
  <c r="I147" i="4"/>
  <c r="F147" i="4"/>
  <c r="F175" i="4" s="1"/>
  <c r="V146" i="4"/>
  <c r="U146" i="4"/>
  <c r="T146" i="4"/>
  <c r="S146" i="4"/>
  <c r="R146" i="4"/>
  <c r="Q146" i="4"/>
  <c r="P146" i="4"/>
  <c r="P174" i="4" s="1"/>
  <c r="O146" i="4"/>
  <c r="O174" i="4" s="1"/>
  <c r="N146" i="4"/>
  <c r="M146" i="4"/>
  <c r="M144" i="4" s="1"/>
  <c r="L146" i="4"/>
  <c r="K146" i="4"/>
  <c r="K144" i="4" s="1"/>
  <c r="J146" i="4"/>
  <c r="I146" i="4"/>
  <c r="H146" i="4"/>
  <c r="G146" i="4"/>
  <c r="G174" i="4" s="1"/>
  <c r="F146" i="4"/>
  <c r="E146" i="4"/>
  <c r="D146" i="4"/>
  <c r="V145" i="4"/>
  <c r="U145" i="4"/>
  <c r="T145" i="4"/>
  <c r="S145" i="4"/>
  <c r="R145" i="4"/>
  <c r="R173" i="4" s="1"/>
  <c r="Q145" i="4"/>
  <c r="Q173" i="4" s="1"/>
  <c r="P145" i="4"/>
  <c r="O145" i="4"/>
  <c r="N145" i="4"/>
  <c r="N144" i="4" s="1"/>
  <c r="M145" i="4"/>
  <c r="L145" i="4"/>
  <c r="K145" i="4"/>
  <c r="J145" i="4"/>
  <c r="J144" i="4" s="1"/>
  <c r="I145" i="4"/>
  <c r="H145" i="4"/>
  <c r="G145" i="4"/>
  <c r="F145" i="4"/>
  <c r="E145" i="4"/>
  <c r="D145" i="4"/>
  <c r="V144" i="4"/>
  <c r="T144" i="4"/>
  <c r="T143" i="4" s="1"/>
  <c r="O144" i="4"/>
  <c r="H144" i="4"/>
  <c r="G144" i="4"/>
  <c r="F144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J170" i="4" s="1"/>
  <c r="I142" i="4"/>
  <c r="H142" i="4"/>
  <c r="G142" i="4"/>
  <c r="F142" i="4"/>
  <c r="E142" i="4"/>
  <c r="D142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V140" i="4"/>
  <c r="U140" i="4"/>
  <c r="T140" i="4"/>
  <c r="S140" i="4"/>
  <c r="R140" i="4"/>
  <c r="Q140" i="4"/>
  <c r="P140" i="4"/>
  <c r="O140" i="4"/>
  <c r="O138" i="4" s="1"/>
  <c r="N140" i="4"/>
  <c r="M140" i="4"/>
  <c r="M138" i="4" s="1"/>
  <c r="L140" i="4"/>
  <c r="K140" i="4"/>
  <c r="J140" i="4"/>
  <c r="I140" i="4"/>
  <c r="H140" i="4"/>
  <c r="G140" i="4"/>
  <c r="F140" i="4"/>
  <c r="E140" i="4"/>
  <c r="D140" i="4"/>
  <c r="V139" i="4"/>
  <c r="V138" i="4" s="1"/>
  <c r="U139" i="4"/>
  <c r="T139" i="4"/>
  <c r="S139" i="4"/>
  <c r="R139" i="4"/>
  <c r="R138" i="4" s="1"/>
  <c r="R151" i="4" s="1"/>
  <c r="Q139" i="4"/>
  <c r="P139" i="4"/>
  <c r="P138" i="4" s="1"/>
  <c r="O139" i="4"/>
  <c r="N139" i="4"/>
  <c r="M139" i="4"/>
  <c r="L139" i="4"/>
  <c r="L138" i="4" s="1"/>
  <c r="K139" i="4"/>
  <c r="J139" i="4"/>
  <c r="I139" i="4"/>
  <c r="H139" i="4"/>
  <c r="G139" i="4"/>
  <c r="F139" i="4"/>
  <c r="E139" i="4"/>
  <c r="D139" i="4"/>
  <c r="U138" i="4"/>
  <c r="T138" i="4"/>
  <c r="Q138" i="4"/>
  <c r="J138" i="4"/>
  <c r="I138" i="4"/>
  <c r="H138" i="4"/>
  <c r="G138" i="4"/>
  <c r="F138" i="4"/>
  <c r="V126" i="4"/>
  <c r="Q126" i="4"/>
  <c r="M126" i="4"/>
  <c r="G126" i="4"/>
  <c r="T125" i="4"/>
  <c r="S125" i="4"/>
  <c r="P125" i="4"/>
  <c r="V124" i="4"/>
  <c r="I124" i="4"/>
  <c r="H124" i="4"/>
  <c r="G124" i="4"/>
  <c r="P122" i="4"/>
  <c r="O122" i="4"/>
  <c r="S121" i="4"/>
  <c r="U118" i="4"/>
  <c r="H118" i="4"/>
  <c r="R116" i="4"/>
  <c r="Q116" i="4"/>
  <c r="P116" i="4"/>
  <c r="T115" i="4"/>
  <c r="E115" i="4"/>
  <c r="V99" i="4"/>
  <c r="U99" i="4"/>
  <c r="U126" i="4" s="1"/>
  <c r="T99" i="4"/>
  <c r="T126" i="4" s="1"/>
  <c r="S99" i="4"/>
  <c r="S126" i="4" s="1"/>
  <c r="R99" i="4"/>
  <c r="Q99" i="4"/>
  <c r="P99" i="4"/>
  <c r="P126" i="4" s="1"/>
  <c r="O99" i="4"/>
  <c r="N99" i="4"/>
  <c r="N126" i="4" s="1"/>
  <c r="M99" i="4"/>
  <c r="L99" i="4"/>
  <c r="L126" i="4" s="1"/>
  <c r="K99" i="4"/>
  <c r="K126" i="4" s="1"/>
  <c r="J99" i="4"/>
  <c r="I99" i="4"/>
  <c r="H99" i="4"/>
  <c r="G99" i="4"/>
  <c r="F99" i="4"/>
  <c r="F126" i="4" s="1"/>
  <c r="E99" i="4"/>
  <c r="E126" i="4" s="1"/>
  <c r="D99" i="4"/>
  <c r="D126" i="4" s="1"/>
  <c r="V98" i="4"/>
  <c r="U98" i="4"/>
  <c r="U96" i="4" s="1"/>
  <c r="T98" i="4"/>
  <c r="S98" i="4"/>
  <c r="R98" i="4"/>
  <c r="Q98" i="4"/>
  <c r="Q125" i="4" s="1"/>
  <c r="P98" i="4"/>
  <c r="O98" i="4"/>
  <c r="N98" i="4"/>
  <c r="N125" i="4" s="1"/>
  <c r="M98" i="4"/>
  <c r="M96" i="4" s="1"/>
  <c r="L98" i="4"/>
  <c r="K98" i="4"/>
  <c r="J98" i="4"/>
  <c r="I98" i="4"/>
  <c r="I125" i="4" s="1"/>
  <c r="H98" i="4"/>
  <c r="H125" i="4" s="1"/>
  <c r="G98" i="4"/>
  <c r="G96" i="4" s="1"/>
  <c r="F98" i="4"/>
  <c r="F125" i="4" s="1"/>
  <c r="E98" i="4"/>
  <c r="E96" i="4" s="1"/>
  <c r="D98" i="4"/>
  <c r="V97" i="4"/>
  <c r="U97" i="4"/>
  <c r="T97" i="4"/>
  <c r="T124" i="4" s="1"/>
  <c r="S97" i="4"/>
  <c r="R97" i="4"/>
  <c r="Q97" i="4"/>
  <c r="P97" i="4"/>
  <c r="O97" i="4"/>
  <c r="O96" i="4" s="1"/>
  <c r="O123" i="4" s="1"/>
  <c r="N97" i="4"/>
  <c r="N96" i="4" s="1"/>
  <c r="M97" i="4"/>
  <c r="L97" i="4"/>
  <c r="L124" i="4" s="1"/>
  <c r="K97" i="4"/>
  <c r="K96" i="4" s="1"/>
  <c r="K92" i="4" s="1"/>
  <c r="J97" i="4"/>
  <c r="J96" i="4" s="1"/>
  <c r="J123" i="4" s="1"/>
  <c r="I97" i="4"/>
  <c r="I96" i="4" s="1"/>
  <c r="I123" i="4" s="1"/>
  <c r="H97" i="4"/>
  <c r="G97" i="4"/>
  <c r="F97" i="4"/>
  <c r="E97" i="4"/>
  <c r="D97" i="4"/>
  <c r="D124" i="4" s="1"/>
  <c r="T96" i="4"/>
  <c r="T123" i="4" s="1"/>
  <c r="S96" i="4"/>
  <c r="R96" i="4"/>
  <c r="Q96" i="4"/>
  <c r="P96" i="4"/>
  <c r="L96" i="4"/>
  <c r="L92" i="4" s="1"/>
  <c r="D96" i="4"/>
  <c r="V95" i="4"/>
  <c r="U95" i="4"/>
  <c r="T95" i="4"/>
  <c r="S95" i="4"/>
  <c r="S122" i="4" s="1"/>
  <c r="R95" i="4"/>
  <c r="R122" i="4" s="1"/>
  <c r="Q95" i="4"/>
  <c r="Q122" i="4" s="1"/>
  <c r="P95" i="4"/>
  <c r="P93" i="4" s="1"/>
  <c r="O95" i="4"/>
  <c r="N95" i="4"/>
  <c r="N93" i="4" s="1"/>
  <c r="M95" i="4"/>
  <c r="L95" i="4"/>
  <c r="K95" i="4"/>
  <c r="J95" i="4"/>
  <c r="I95" i="4"/>
  <c r="H95" i="4"/>
  <c r="G95" i="4"/>
  <c r="F95" i="4"/>
  <c r="E95" i="4"/>
  <c r="D95" i="4"/>
  <c r="V94" i="4"/>
  <c r="V93" i="4" s="1"/>
  <c r="U94" i="4"/>
  <c r="U93" i="4" s="1"/>
  <c r="T94" i="4"/>
  <c r="T93" i="4" s="1"/>
  <c r="T92" i="4" s="1"/>
  <c r="S94" i="4"/>
  <c r="R94" i="4"/>
  <c r="R93" i="4" s="1"/>
  <c r="Q94" i="4"/>
  <c r="P94" i="4"/>
  <c r="O94" i="4"/>
  <c r="N94" i="4"/>
  <c r="M94" i="4"/>
  <c r="L94" i="4"/>
  <c r="K94" i="4"/>
  <c r="J94" i="4"/>
  <c r="I94" i="4"/>
  <c r="H94" i="4"/>
  <c r="G94" i="4"/>
  <c r="F94" i="4"/>
  <c r="F93" i="4" s="1"/>
  <c r="E94" i="4"/>
  <c r="E121" i="4" s="1"/>
  <c r="D94" i="4"/>
  <c r="D93" i="4" s="1"/>
  <c r="D92" i="4" s="1"/>
  <c r="M93" i="4"/>
  <c r="L93" i="4"/>
  <c r="K93" i="4"/>
  <c r="J93" i="4"/>
  <c r="I93" i="4"/>
  <c r="G93" i="4"/>
  <c r="G92" i="4" s="1"/>
  <c r="J92" i="4"/>
  <c r="V91" i="4"/>
  <c r="U91" i="4"/>
  <c r="T91" i="4"/>
  <c r="S91" i="4"/>
  <c r="R91" i="4"/>
  <c r="Q91" i="4"/>
  <c r="P91" i="4"/>
  <c r="O91" i="4"/>
  <c r="O118" i="4" s="1"/>
  <c r="N91" i="4"/>
  <c r="N118" i="4" s="1"/>
  <c r="M91" i="4"/>
  <c r="M87" i="4" s="1"/>
  <c r="L91" i="4"/>
  <c r="L87" i="4" s="1"/>
  <c r="K91" i="4"/>
  <c r="K118" i="4" s="1"/>
  <c r="J91" i="4"/>
  <c r="I91" i="4"/>
  <c r="H91" i="4"/>
  <c r="G91" i="4"/>
  <c r="F91" i="4"/>
  <c r="E91" i="4"/>
  <c r="D91" i="4"/>
  <c r="V90" i="4"/>
  <c r="U90" i="4"/>
  <c r="T90" i="4"/>
  <c r="S90" i="4"/>
  <c r="R90" i="4"/>
  <c r="R117" i="4" s="1"/>
  <c r="Q90" i="4"/>
  <c r="Q117" i="4" s="1"/>
  <c r="P90" i="4"/>
  <c r="P117" i="4" s="1"/>
  <c r="O90" i="4"/>
  <c r="O117" i="4" s="1"/>
  <c r="N90" i="4"/>
  <c r="N87" i="4" s="1"/>
  <c r="M90" i="4"/>
  <c r="L90" i="4"/>
  <c r="K90" i="4"/>
  <c r="J90" i="4"/>
  <c r="I90" i="4"/>
  <c r="H90" i="4"/>
  <c r="G90" i="4"/>
  <c r="F90" i="4"/>
  <c r="E90" i="4"/>
  <c r="D90" i="4"/>
  <c r="V89" i="4"/>
  <c r="U89" i="4"/>
  <c r="U116" i="4" s="1"/>
  <c r="T89" i="4"/>
  <c r="T116" i="4" s="1"/>
  <c r="S89" i="4"/>
  <c r="S116" i="4" s="1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E116" i="4" s="1"/>
  <c r="D89" i="4"/>
  <c r="D116" i="4" s="1"/>
  <c r="V88" i="4"/>
  <c r="V87" i="4" s="1"/>
  <c r="V100" i="4" s="1"/>
  <c r="U88" i="4"/>
  <c r="U115" i="4" s="1"/>
  <c r="T88" i="4"/>
  <c r="T87" i="4" s="1"/>
  <c r="S88" i="4"/>
  <c r="R88" i="4"/>
  <c r="Q88" i="4"/>
  <c r="P88" i="4"/>
  <c r="O88" i="4"/>
  <c r="N88" i="4"/>
  <c r="M88" i="4"/>
  <c r="L88" i="4"/>
  <c r="K88" i="4"/>
  <c r="J88" i="4"/>
  <c r="I88" i="4"/>
  <c r="H88" i="4"/>
  <c r="H87" i="4" s="1"/>
  <c r="G88" i="4"/>
  <c r="G87" i="4" s="1"/>
  <c r="F88" i="4"/>
  <c r="F87" i="4" s="1"/>
  <c r="E88" i="4"/>
  <c r="D88" i="4"/>
  <c r="D115" i="4" s="1"/>
  <c r="J87" i="4"/>
  <c r="J100" i="4" s="1"/>
  <c r="I87" i="4"/>
  <c r="T77" i="4"/>
  <c r="S77" i="4"/>
  <c r="P77" i="4"/>
  <c r="V76" i="4"/>
  <c r="I76" i="4"/>
  <c r="H76" i="4"/>
  <c r="G76" i="4"/>
  <c r="F76" i="4"/>
  <c r="K75" i="4"/>
  <c r="J75" i="4"/>
  <c r="S73" i="4"/>
  <c r="P73" i="4"/>
  <c r="D73" i="4"/>
  <c r="S72" i="4"/>
  <c r="L71" i="4"/>
  <c r="L69" i="4"/>
  <c r="R68" i="4"/>
  <c r="Q68" i="4"/>
  <c r="P68" i="4"/>
  <c r="O68" i="4"/>
  <c r="T67" i="4"/>
  <c r="R67" i="4"/>
  <c r="F67" i="4"/>
  <c r="E67" i="4"/>
  <c r="U66" i="4"/>
  <c r="I66" i="4"/>
  <c r="E66" i="4"/>
  <c r="U52" i="4"/>
  <c r="H52" i="4"/>
  <c r="G52" i="4"/>
  <c r="V51" i="4"/>
  <c r="U51" i="4"/>
  <c r="T51" i="4"/>
  <c r="S51" i="4"/>
  <c r="R51" i="4"/>
  <c r="Q51" i="4"/>
  <c r="Q77" i="4" s="1"/>
  <c r="P51" i="4"/>
  <c r="O51" i="4"/>
  <c r="O77" i="4" s="1"/>
  <c r="N51" i="4"/>
  <c r="N77" i="4" s="1"/>
  <c r="M51" i="4"/>
  <c r="M77" i="4" s="1"/>
  <c r="L51" i="4"/>
  <c r="L77" i="4" s="1"/>
  <c r="K51" i="4"/>
  <c r="K77" i="4" s="1"/>
  <c r="J51" i="4"/>
  <c r="J77" i="4" s="1"/>
  <c r="I51" i="4"/>
  <c r="I77" i="4" s="1"/>
  <c r="H51" i="4"/>
  <c r="H77" i="4" s="1"/>
  <c r="G51" i="4"/>
  <c r="G77" i="4" s="1"/>
  <c r="F51" i="4"/>
  <c r="F77" i="4" s="1"/>
  <c r="E51" i="4"/>
  <c r="D51" i="4"/>
  <c r="V50" i="4"/>
  <c r="U50" i="4"/>
  <c r="T50" i="4"/>
  <c r="T76" i="4" s="1"/>
  <c r="S50" i="4"/>
  <c r="R50" i="4"/>
  <c r="Q50" i="4"/>
  <c r="Q76" i="4" s="1"/>
  <c r="P50" i="4"/>
  <c r="O50" i="4"/>
  <c r="N50" i="4"/>
  <c r="N76" i="4" s="1"/>
  <c r="M50" i="4"/>
  <c r="M76" i="4" s="1"/>
  <c r="L50" i="4"/>
  <c r="L76" i="4" s="1"/>
  <c r="K50" i="4"/>
  <c r="K76" i="4" s="1"/>
  <c r="J50" i="4"/>
  <c r="J48" i="4" s="1"/>
  <c r="I50" i="4"/>
  <c r="H50" i="4"/>
  <c r="H48" i="4" s="1"/>
  <c r="G50" i="4"/>
  <c r="F50" i="4"/>
  <c r="E50" i="4"/>
  <c r="D50" i="4"/>
  <c r="V49" i="4"/>
  <c r="U49" i="4"/>
  <c r="T49" i="4"/>
  <c r="S49" i="4"/>
  <c r="R49" i="4"/>
  <c r="Q49" i="4"/>
  <c r="P49" i="4"/>
  <c r="P48" i="4" s="1"/>
  <c r="O49" i="4"/>
  <c r="O48" i="4" s="1"/>
  <c r="N49" i="4"/>
  <c r="N75" i="4" s="1"/>
  <c r="M49" i="4"/>
  <c r="M75" i="4" s="1"/>
  <c r="L49" i="4"/>
  <c r="L48" i="4" s="1"/>
  <c r="K49" i="4"/>
  <c r="J49" i="4"/>
  <c r="I49" i="4"/>
  <c r="H49" i="4"/>
  <c r="G49" i="4"/>
  <c r="F49" i="4"/>
  <c r="E49" i="4"/>
  <c r="D49" i="4"/>
  <c r="V48" i="4"/>
  <c r="U48" i="4"/>
  <c r="T48" i="4"/>
  <c r="S48" i="4"/>
  <c r="S74" i="4" s="1"/>
  <c r="R48" i="4"/>
  <c r="R74" i="4" s="1"/>
  <c r="G48" i="4"/>
  <c r="F48" i="4"/>
  <c r="E48" i="4"/>
  <c r="D48" i="4"/>
  <c r="V47" i="4"/>
  <c r="V73" i="4" s="1"/>
  <c r="U47" i="4"/>
  <c r="U73" i="4" s="1"/>
  <c r="T47" i="4"/>
  <c r="T73" i="4" s="1"/>
  <c r="S47" i="4"/>
  <c r="S45" i="4" s="1"/>
  <c r="R47" i="4"/>
  <c r="Q47" i="4"/>
  <c r="Q45" i="4" s="1"/>
  <c r="Q71" i="4" s="1"/>
  <c r="P47" i="4"/>
  <c r="O47" i="4"/>
  <c r="O45" i="4" s="1"/>
  <c r="N47" i="4"/>
  <c r="M47" i="4"/>
  <c r="L47" i="4"/>
  <c r="K47" i="4"/>
  <c r="J47" i="4"/>
  <c r="I47" i="4"/>
  <c r="H47" i="4"/>
  <c r="G47" i="4"/>
  <c r="G73" i="4" s="1"/>
  <c r="F47" i="4"/>
  <c r="E47" i="4"/>
  <c r="D47" i="4"/>
  <c r="V46" i="4"/>
  <c r="V45" i="4" s="1"/>
  <c r="V44" i="4" s="1"/>
  <c r="U46" i="4"/>
  <c r="T46" i="4"/>
  <c r="T45" i="4" s="1"/>
  <c r="S46" i="4"/>
  <c r="R46" i="4"/>
  <c r="R45" i="4" s="1"/>
  <c r="R44" i="4" s="1"/>
  <c r="Q46" i="4"/>
  <c r="P46" i="4"/>
  <c r="O46" i="4"/>
  <c r="N46" i="4"/>
  <c r="M46" i="4"/>
  <c r="L46" i="4"/>
  <c r="K46" i="4"/>
  <c r="J46" i="4"/>
  <c r="J72" i="4" s="1"/>
  <c r="I46" i="4"/>
  <c r="I72" i="4" s="1"/>
  <c r="H46" i="4"/>
  <c r="G46" i="4"/>
  <c r="G72" i="4" s="1"/>
  <c r="F46" i="4"/>
  <c r="F45" i="4" s="1"/>
  <c r="F44" i="4" s="1"/>
  <c r="E46" i="4"/>
  <c r="D46" i="4"/>
  <c r="D45" i="4" s="1"/>
  <c r="U45" i="4"/>
  <c r="U44" i="4" s="1"/>
  <c r="P45" i="4"/>
  <c r="N45" i="4"/>
  <c r="M45" i="4"/>
  <c r="L45" i="4"/>
  <c r="H45" i="4"/>
  <c r="E45" i="4"/>
  <c r="E44" i="4" s="1"/>
  <c r="V43" i="4"/>
  <c r="U43" i="4"/>
  <c r="T43" i="4"/>
  <c r="S43" i="4"/>
  <c r="S69" i="4" s="1"/>
  <c r="R43" i="4"/>
  <c r="R69" i="4" s="1"/>
  <c r="Q43" i="4"/>
  <c r="Q69" i="4" s="1"/>
  <c r="P43" i="4"/>
  <c r="P69" i="4" s="1"/>
  <c r="O43" i="4"/>
  <c r="O39" i="4" s="1"/>
  <c r="N43" i="4"/>
  <c r="N69" i="4" s="1"/>
  <c r="M43" i="4"/>
  <c r="M69" i="4" s="1"/>
  <c r="L43" i="4"/>
  <c r="K43" i="4"/>
  <c r="K69" i="4" s="1"/>
  <c r="J43" i="4"/>
  <c r="I43" i="4"/>
  <c r="H43" i="4"/>
  <c r="G43" i="4"/>
  <c r="F43" i="4"/>
  <c r="E43" i="4"/>
  <c r="D43" i="4"/>
  <c r="V42" i="4"/>
  <c r="V68" i="4" s="1"/>
  <c r="U42" i="4"/>
  <c r="U68" i="4" s="1"/>
  <c r="T42" i="4"/>
  <c r="T68" i="4" s="1"/>
  <c r="S42" i="4"/>
  <c r="S68" i="4" s="1"/>
  <c r="R42" i="4"/>
  <c r="R39" i="4" s="1"/>
  <c r="Q42" i="4"/>
  <c r="P42" i="4"/>
  <c r="P39" i="4" s="1"/>
  <c r="O42" i="4"/>
  <c r="N42" i="4"/>
  <c r="N68" i="4" s="1"/>
  <c r="M42" i="4"/>
  <c r="L42" i="4"/>
  <c r="K42" i="4"/>
  <c r="J42" i="4"/>
  <c r="I42" i="4"/>
  <c r="H42" i="4"/>
  <c r="G42" i="4"/>
  <c r="F42" i="4"/>
  <c r="F68" i="4" s="1"/>
  <c r="E42" i="4"/>
  <c r="E68" i="4" s="1"/>
  <c r="D42" i="4"/>
  <c r="D68" i="4" s="1"/>
  <c r="V41" i="4"/>
  <c r="V67" i="4" s="1"/>
  <c r="U41" i="4"/>
  <c r="U39" i="4" s="1"/>
  <c r="T41" i="4"/>
  <c r="S41" i="4"/>
  <c r="R41" i="4"/>
  <c r="Q41" i="4"/>
  <c r="Q39" i="4" s="1"/>
  <c r="P41" i="4"/>
  <c r="O41" i="4"/>
  <c r="N41" i="4"/>
  <c r="M41" i="4"/>
  <c r="L41" i="4"/>
  <c r="K41" i="4"/>
  <c r="J41" i="4"/>
  <c r="I41" i="4"/>
  <c r="I67" i="4" s="1"/>
  <c r="H41" i="4"/>
  <c r="H67" i="4" s="1"/>
  <c r="G41" i="4"/>
  <c r="F41" i="4"/>
  <c r="E41" i="4"/>
  <c r="E39" i="4" s="1"/>
  <c r="D41" i="4"/>
  <c r="V40" i="4"/>
  <c r="U40" i="4"/>
  <c r="T40" i="4"/>
  <c r="T39" i="4" s="1"/>
  <c r="T52" i="4" s="1"/>
  <c r="S40" i="4"/>
  <c r="R40" i="4"/>
  <c r="Q40" i="4"/>
  <c r="P40" i="4"/>
  <c r="O40" i="4"/>
  <c r="N40" i="4"/>
  <c r="M40" i="4"/>
  <c r="L40" i="4"/>
  <c r="L66" i="4" s="1"/>
  <c r="K40" i="4"/>
  <c r="K66" i="4" s="1"/>
  <c r="J40" i="4"/>
  <c r="J66" i="4" s="1"/>
  <c r="I40" i="4"/>
  <c r="I39" i="4" s="1"/>
  <c r="H40" i="4"/>
  <c r="H39" i="4" s="1"/>
  <c r="G40" i="4"/>
  <c r="F40" i="4"/>
  <c r="E40" i="4"/>
  <c r="D40" i="4"/>
  <c r="D39" i="4" s="1"/>
  <c r="D52" i="4" s="1"/>
  <c r="J39" i="4"/>
  <c r="J65" i="4" s="1"/>
  <c r="G39" i="4"/>
  <c r="V25" i="4"/>
  <c r="V77" i="4" s="1"/>
  <c r="U25" i="4"/>
  <c r="U77" i="4" s="1"/>
  <c r="T25" i="4"/>
  <c r="S25" i="4"/>
  <c r="R25" i="4"/>
  <c r="R77" i="4" s="1"/>
  <c r="Q25" i="4"/>
  <c r="P25" i="4"/>
  <c r="O25" i="4"/>
  <c r="O178" i="4" s="1"/>
  <c r="N25" i="4"/>
  <c r="N178" i="4" s="1"/>
  <c r="M25" i="4"/>
  <c r="L25" i="4"/>
  <c r="L178" i="4" s="1"/>
  <c r="K25" i="4"/>
  <c r="J25" i="4"/>
  <c r="J178" i="4" s="1"/>
  <c r="I25" i="4"/>
  <c r="H25" i="4"/>
  <c r="G25" i="4"/>
  <c r="F25" i="4"/>
  <c r="E25" i="4"/>
  <c r="E77" i="4" s="1"/>
  <c r="D25" i="4"/>
  <c r="D77" i="4" s="1"/>
  <c r="V24" i="4"/>
  <c r="V125" i="4" s="1"/>
  <c r="U24" i="4"/>
  <c r="U76" i="4" s="1"/>
  <c r="T24" i="4"/>
  <c r="S24" i="4"/>
  <c r="S76" i="4" s="1"/>
  <c r="R24" i="4"/>
  <c r="Q24" i="4"/>
  <c r="Q177" i="4" s="1"/>
  <c r="P24" i="4"/>
  <c r="O24" i="4"/>
  <c r="O177" i="4" s="1"/>
  <c r="N24" i="4"/>
  <c r="M24" i="4"/>
  <c r="M177" i="4" s="1"/>
  <c r="L24" i="4"/>
  <c r="K24" i="4"/>
  <c r="J24" i="4"/>
  <c r="J125" i="4" s="1"/>
  <c r="I24" i="4"/>
  <c r="H24" i="4"/>
  <c r="G24" i="4"/>
  <c r="F24" i="4"/>
  <c r="E24" i="4"/>
  <c r="E76" i="4" s="1"/>
  <c r="D24" i="4"/>
  <c r="D125" i="4" s="1"/>
  <c r="V23" i="4"/>
  <c r="V75" i="4" s="1"/>
  <c r="U23" i="4"/>
  <c r="U22" i="4" s="1"/>
  <c r="T23" i="4"/>
  <c r="T176" i="4" s="1"/>
  <c r="S23" i="4"/>
  <c r="S124" i="4" s="1"/>
  <c r="R23" i="4"/>
  <c r="R176" i="4" s="1"/>
  <c r="Q23" i="4"/>
  <c r="Q22" i="4" s="1"/>
  <c r="P23" i="4"/>
  <c r="P176" i="4" s="1"/>
  <c r="O23" i="4"/>
  <c r="O22" i="4" s="1"/>
  <c r="O18" i="4" s="1"/>
  <c r="N23" i="4"/>
  <c r="N22" i="4" s="1"/>
  <c r="M23" i="4"/>
  <c r="M22" i="4" s="1"/>
  <c r="L23" i="4"/>
  <c r="L22" i="4" s="1"/>
  <c r="K23" i="4"/>
  <c r="K22" i="4" s="1"/>
  <c r="J23" i="4"/>
  <c r="I23" i="4"/>
  <c r="I75" i="4" s="1"/>
  <c r="H23" i="4"/>
  <c r="H75" i="4" s="1"/>
  <c r="G23" i="4"/>
  <c r="G176" i="4" s="1"/>
  <c r="F23" i="4"/>
  <c r="F124" i="4" s="1"/>
  <c r="E23" i="4"/>
  <c r="E22" i="4" s="1"/>
  <c r="D23" i="4"/>
  <c r="D176" i="4" s="1"/>
  <c r="V22" i="4"/>
  <c r="T22" i="4"/>
  <c r="S22" i="4"/>
  <c r="R22" i="4"/>
  <c r="R18" i="4" s="1"/>
  <c r="J22" i="4"/>
  <c r="I22" i="4"/>
  <c r="H22" i="4"/>
  <c r="F22" i="4"/>
  <c r="V21" i="4"/>
  <c r="V174" i="4" s="1"/>
  <c r="U21" i="4"/>
  <c r="T21" i="4"/>
  <c r="S21" i="4"/>
  <c r="R21" i="4"/>
  <c r="R73" i="4" s="1"/>
  <c r="Q21" i="4"/>
  <c r="Q73" i="4" s="1"/>
  <c r="P21" i="4"/>
  <c r="O21" i="4"/>
  <c r="N21" i="4"/>
  <c r="N122" i="4" s="1"/>
  <c r="M21" i="4"/>
  <c r="M122" i="4" s="1"/>
  <c r="L21" i="4"/>
  <c r="L122" i="4" s="1"/>
  <c r="K21" i="4"/>
  <c r="J21" i="4"/>
  <c r="J174" i="4" s="1"/>
  <c r="I21" i="4"/>
  <c r="I122" i="4" s="1"/>
  <c r="H21" i="4"/>
  <c r="H174" i="4" s="1"/>
  <c r="G21" i="4"/>
  <c r="F21" i="4"/>
  <c r="F174" i="4" s="1"/>
  <c r="E21" i="4"/>
  <c r="E73" i="4" s="1"/>
  <c r="D21" i="4"/>
  <c r="V20" i="4"/>
  <c r="V19" i="4" s="1"/>
  <c r="V18" i="4" s="1"/>
  <c r="U20" i="4"/>
  <c r="U72" i="4" s="1"/>
  <c r="T20" i="4"/>
  <c r="T19" i="4" s="1"/>
  <c r="T18" i="4" s="1"/>
  <c r="T27" i="4" s="1"/>
  <c r="S20" i="4"/>
  <c r="R20" i="4"/>
  <c r="Q20" i="4"/>
  <c r="Q121" i="4" s="1"/>
  <c r="P20" i="4"/>
  <c r="P121" i="4" s="1"/>
  <c r="O20" i="4"/>
  <c r="O72" i="4" s="1"/>
  <c r="N20" i="4"/>
  <c r="N19" i="4" s="1"/>
  <c r="M20" i="4"/>
  <c r="M173" i="4" s="1"/>
  <c r="L20" i="4"/>
  <c r="L121" i="4" s="1"/>
  <c r="K20" i="4"/>
  <c r="K173" i="4" s="1"/>
  <c r="J20" i="4"/>
  <c r="J19" i="4" s="1"/>
  <c r="J18" i="4" s="1"/>
  <c r="I20" i="4"/>
  <c r="I19" i="4" s="1"/>
  <c r="I18" i="4" s="1"/>
  <c r="H20" i="4"/>
  <c r="H19" i="4" s="1"/>
  <c r="H18" i="4" s="1"/>
  <c r="G20" i="4"/>
  <c r="G19" i="4" s="1"/>
  <c r="F20" i="4"/>
  <c r="F19" i="4" s="1"/>
  <c r="F18" i="4" s="1"/>
  <c r="E20" i="4"/>
  <c r="E19" i="4" s="1"/>
  <c r="D20" i="4"/>
  <c r="D19" i="4" s="1"/>
  <c r="S19" i="4"/>
  <c r="S18" i="4" s="1"/>
  <c r="S27" i="4" s="1"/>
  <c r="R19" i="4"/>
  <c r="Q19" i="4"/>
  <c r="O19" i="4"/>
  <c r="L19" i="4"/>
  <c r="L18" i="4" s="1"/>
  <c r="K19" i="4"/>
  <c r="K18" i="4" s="1"/>
  <c r="V17" i="4"/>
  <c r="V170" i="4" s="1"/>
  <c r="U17" i="4"/>
  <c r="T17" i="4"/>
  <c r="T170" i="4" s="1"/>
  <c r="S17" i="4"/>
  <c r="S13" i="4" s="1"/>
  <c r="S26" i="4" s="1"/>
  <c r="R17" i="4"/>
  <c r="R170" i="4" s="1"/>
  <c r="Q17" i="4"/>
  <c r="Q13" i="4" s="1"/>
  <c r="Q26" i="4" s="1"/>
  <c r="P17" i="4"/>
  <c r="O17" i="4"/>
  <c r="N17" i="4"/>
  <c r="M17" i="4"/>
  <c r="L17" i="4"/>
  <c r="K17" i="4"/>
  <c r="J17" i="4"/>
  <c r="J118" i="4" s="1"/>
  <c r="I17" i="4"/>
  <c r="I170" i="4" s="1"/>
  <c r="H17" i="4"/>
  <c r="H69" i="4" s="1"/>
  <c r="G17" i="4"/>
  <c r="F17" i="4"/>
  <c r="F170" i="4" s="1"/>
  <c r="E17" i="4"/>
  <c r="E118" i="4" s="1"/>
  <c r="D17" i="4"/>
  <c r="D170" i="4" s="1"/>
  <c r="V16" i="4"/>
  <c r="U16" i="4"/>
  <c r="U169" i="4" s="1"/>
  <c r="T16" i="4"/>
  <c r="T13" i="4" s="1"/>
  <c r="T26" i="4" s="1"/>
  <c r="S16" i="4"/>
  <c r="R16" i="4"/>
  <c r="Q16" i="4"/>
  <c r="P16" i="4"/>
  <c r="O16" i="4"/>
  <c r="N16" i="4"/>
  <c r="M16" i="4"/>
  <c r="M117" i="4" s="1"/>
  <c r="L16" i="4"/>
  <c r="L117" i="4" s="1"/>
  <c r="K16" i="4"/>
  <c r="K68" i="4" s="1"/>
  <c r="J16" i="4"/>
  <c r="I16" i="4"/>
  <c r="I169" i="4" s="1"/>
  <c r="H16" i="4"/>
  <c r="H117" i="4" s="1"/>
  <c r="G16" i="4"/>
  <c r="G169" i="4" s="1"/>
  <c r="F16" i="4"/>
  <c r="E16" i="4"/>
  <c r="E169" i="4" s="1"/>
  <c r="D16" i="4"/>
  <c r="D13" i="4" s="1"/>
  <c r="D26" i="4" s="1"/>
  <c r="V15" i="4"/>
  <c r="U15" i="4"/>
  <c r="T15" i="4"/>
  <c r="S15" i="4"/>
  <c r="R15" i="4"/>
  <c r="Q15" i="4"/>
  <c r="P15" i="4"/>
  <c r="P168" i="4" s="1"/>
  <c r="O15" i="4"/>
  <c r="O116" i="4" s="1"/>
  <c r="N15" i="4"/>
  <c r="N116" i="4" s="1"/>
  <c r="M15" i="4"/>
  <c r="L15" i="4"/>
  <c r="L168" i="4" s="1"/>
  <c r="K15" i="4"/>
  <c r="K116" i="4" s="1"/>
  <c r="J15" i="4"/>
  <c r="J168" i="4" s="1"/>
  <c r="I15" i="4"/>
  <c r="H15" i="4"/>
  <c r="H168" i="4" s="1"/>
  <c r="G15" i="4"/>
  <c r="G67" i="4" s="1"/>
  <c r="F15" i="4"/>
  <c r="E15" i="4"/>
  <c r="D15" i="4"/>
  <c r="D67" i="4" s="1"/>
  <c r="V14" i="4"/>
  <c r="V13" i="4" s="1"/>
  <c r="V26" i="4" s="1"/>
  <c r="U14" i="4"/>
  <c r="T14" i="4"/>
  <c r="S14" i="4"/>
  <c r="S115" i="4" s="1"/>
  <c r="R14" i="4"/>
  <c r="R115" i="4" s="1"/>
  <c r="Q14" i="4"/>
  <c r="Q66" i="4" s="1"/>
  <c r="P14" i="4"/>
  <c r="P13" i="4" s="1"/>
  <c r="P26" i="4" s="1"/>
  <c r="O14" i="4"/>
  <c r="O167" i="4" s="1"/>
  <c r="N14" i="4"/>
  <c r="N115" i="4" s="1"/>
  <c r="M14" i="4"/>
  <c r="M167" i="4" s="1"/>
  <c r="L14" i="4"/>
  <c r="L13" i="4" s="1"/>
  <c r="L26" i="4" s="1"/>
  <c r="K14" i="4"/>
  <c r="K167" i="4" s="1"/>
  <c r="J14" i="4"/>
  <c r="J13" i="4" s="1"/>
  <c r="J26" i="4" s="1"/>
  <c r="I14" i="4"/>
  <c r="I13" i="4" s="1"/>
  <c r="H14" i="4"/>
  <c r="H13" i="4" s="1"/>
  <c r="H26" i="4" s="1"/>
  <c r="G14" i="4"/>
  <c r="G13" i="4" s="1"/>
  <c r="G26" i="4" s="1"/>
  <c r="F14" i="4"/>
  <c r="F13" i="4" s="1"/>
  <c r="F26" i="4" s="1"/>
  <c r="E14" i="4"/>
  <c r="D14" i="4"/>
  <c r="U13" i="4"/>
  <c r="U26" i="4" s="1"/>
  <c r="N13" i="4"/>
  <c r="N26" i="4" s="1"/>
  <c r="N153" i="4" s="1"/>
  <c r="M13" i="4"/>
  <c r="M26" i="4" s="1"/>
  <c r="E13" i="4"/>
  <c r="E26" i="4" s="1"/>
  <c r="B53" i="3"/>
  <c r="AB51" i="3"/>
  <c r="X51" i="3"/>
  <c r="V51" i="3"/>
  <c r="U51" i="3"/>
  <c r="T51" i="3"/>
  <c r="L51" i="3"/>
  <c r="H51" i="3"/>
  <c r="F51" i="3"/>
  <c r="E51" i="3"/>
  <c r="D51" i="3"/>
  <c r="AD50" i="3"/>
  <c r="AC50" i="3"/>
  <c r="AB50" i="3"/>
  <c r="AA50" i="3"/>
  <c r="Z50" i="3"/>
  <c r="Y50" i="3"/>
  <c r="X50" i="3"/>
  <c r="W50" i="3"/>
  <c r="W17" i="3" s="1"/>
  <c r="V50" i="3"/>
  <c r="U50" i="3"/>
  <c r="T50" i="3"/>
  <c r="S50" i="3"/>
  <c r="S51" i="3" s="1"/>
  <c r="R50" i="3"/>
  <c r="Q50" i="3"/>
  <c r="P50" i="3"/>
  <c r="O50" i="3"/>
  <c r="O17" i="3" s="1"/>
  <c r="N50" i="3"/>
  <c r="M50" i="3"/>
  <c r="L50" i="3"/>
  <c r="K50" i="3"/>
  <c r="J50" i="3"/>
  <c r="I50" i="3"/>
  <c r="H50" i="3"/>
  <c r="G50" i="3"/>
  <c r="G17" i="3" s="1"/>
  <c r="F50" i="3"/>
  <c r="E50" i="3"/>
  <c r="D50" i="3"/>
  <c r="AD49" i="3"/>
  <c r="AD47" i="3" s="1"/>
  <c r="AC49" i="3"/>
  <c r="AB49" i="3"/>
  <c r="AB47" i="3" s="1"/>
  <c r="AB52" i="3" s="1"/>
  <c r="AA49" i="3"/>
  <c r="Z49" i="3"/>
  <c r="Z16" i="3" s="1"/>
  <c r="Y49" i="3"/>
  <c r="X49" i="3"/>
  <c r="X47" i="3" s="1"/>
  <c r="X52" i="3" s="1"/>
  <c r="W49" i="3"/>
  <c r="V49" i="3"/>
  <c r="U49" i="3"/>
  <c r="T49" i="3"/>
  <c r="S49" i="3"/>
  <c r="R49" i="3"/>
  <c r="R16" i="3" s="1"/>
  <c r="Q49" i="3"/>
  <c r="P49" i="3"/>
  <c r="O49" i="3"/>
  <c r="N49" i="3"/>
  <c r="N47" i="3" s="1"/>
  <c r="M49" i="3"/>
  <c r="L49" i="3"/>
  <c r="K49" i="3"/>
  <c r="K47" i="3" s="1"/>
  <c r="J49" i="3"/>
  <c r="J16" i="3" s="1"/>
  <c r="I49" i="3"/>
  <c r="H49" i="3"/>
  <c r="G49" i="3"/>
  <c r="F49" i="3"/>
  <c r="E49" i="3"/>
  <c r="D49" i="3"/>
  <c r="AD48" i="3"/>
  <c r="AC48" i="3"/>
  <c r="AC47" i="3" s="1"/>
  <c r="AC52" i="3" s="1"/>
  <c r="AB48" i="3"/>
  <c r="AA48" i="3"/>
  <c r="AA47" i="3" s="1"/>
  <c r="Z48" i="3"/>
  <c r="Z47" i="3" s="1"/>
  <c r="Z52" i="3" s="1"/>
  <c r="Y48" i="3"/>
  <c r="Y47" i="3" s="1"/>
  <c r="X48" i="3"/>
  <c r="V48" i="3"/>
  <c r="V47" i="3" s="1"/>
  <c r="V52" i="3" s="1"/>
  <c r="U48" i="3"/>
  <c r="U47" i="3" s="1"/>
  <c r="U52" i="3" s="1"/>
  <c r="T48" i="3"/>
  <c r="T47" i="3" s="1"/>
  <c r="T52" i="3" s="1"/>
  <c r="S48" i="3"/>
  <c r="R48" i="3"/>
  <c r="R47" i="3" s="1"/>
  <c r="Q48" i="3"/>
  <c r="P48" i="3"/>
  <c r="O48" i="3"/>
  <c r="N48" i="3"/>
  <c r="M48" i="3"/>
  <c r="L48" i="3"/>
  <c r="L47" i="3" s="1"/>
  <c r="L52" i="3" s="1"/>
  <c r="K48" i="3"/>
  <c r="J48" i="3"/>
  <c r="J47" i="3" s="1"/>
  <c r="J52" i="3" s="1"/>
  <c r="I48" i="3"/>
  <c r="I47" i="3" s="1"/>
  <c r="I52" i="3" s="1"/>
  <c r="H48" i="3"/>
  <c r="H47" i="3" s="1"/>
  <c r="H52" i="3" s="1"/>
  <c r="G48" i="3"/>
  <c r="F48" i="3"/>
  <c r="F47" i="3" s="1"/>
  <c r="F52" i="3" s="1"/>
  <c r="E48" i="3"/>
  <c r="E47" i="3" s="1"/>
  <c r="E52" i="3" s="1"/>
  <c r="D48" i="3"/>
  <c r="D47" i="3" s="1"/>
  <c r="D52" i="3" s="1"/>
  <c r="W47" i="3"/>
  <c r="S47" i="3"/>
  <c r="S52" i="3" s="1"/>
  <c r="Q47" i="3"/>
  <c r="P47" i="3"/>
  <c r="O47" i="3"/>
  <c r="M47" i="3"/>
  <c r="G47" i="3"/>
  <c r="G52" i="3" s="1"/>
  <c r="AD46" i="3"/>
  <c r="AD51" i="3" s="1"/>
  <c r="AC46" i="3"/>
  <c r="AC51" i="3" s="1"/>
  <c r="AB46" i="3"/>
  <c r="AA46" i="3"/>
  <c r="AA51" i="3" s="1"/>
  <c r="Z46" i="3"/>
  <c r="Z51" i="3" s="1"/>
  <c r="Y46" i="3"/>
  <c r="Y51" i="3" s="1"/>
  <c r="X46" i="3"/>
  <c r="W46" i="3"/>
  <c r="W51" i="3" s="1"/>
  <c r="V46" i="3"/>
  <c r="U46" i="3"/>
  <c r="T46" i="3"/>
  <c r="S46" i="3"/>
  <c r="R46" i="3"/>
  <c r="R51" i="3" s="1"/>
  <c r="Q46" i="3"/>
  <c r="Q51" i="3" s="1"/>
  <c r="Q52" i="3" s="1"/>
  <c r="P46" i="3"/>
  <c r="P51" i="3" s="1"/>
  <c r="O46" i="3"/>
  <c r="O51" i="3" s="1"/>
  <c r="N46" i="3"/>
  <c r="N51" i="3" s="1"/>
  <c r="M46" i="3"/>
  <c r="M51" i="3" s="1"/>
  <c r="M52" i="3" s="1"/>
  <c r="L46" i="3"/>
  <c r="K46" i="3"/>
  <c r="K51" i="3" s="1"/>
  <c r="J46" i="3"/>
  <c r="J51" i="3" s="1"/>
  <c r="I46" i="3"/>
  <c r="I51" i="3" s="1"/>
  <c r="H46" i="3"/>
  <c r="G46" i="3"/>
  <c r="G51" i="3" s="1"/>
  <c r="F46" i="3"/>
  <c r="E46" i="3"/>
  <c r="D46" i="3"/>
  <c r="B34" i="3"/>
  <c r="Y32" i="3"/>
  <c r="U32" i="3"/>
  <c r="S32" i="3"/>
  <c r="R32" i="3"/>
  <c r="Q32" i="3"/>
  <c r="I32" i="3"/>
  <c r="E32" i="3"/>
  <c r="AD31" i="3"/>
  <c r="AC31" i="3"/>
  <c r="AC17" i="3" s="1"/>
  <c r="AB31" i="3"/>
  <c r="AB17" i="3" s="1"/>
  <c r="AA31" i="3"/>
  <c r="Z31" i="3"/>
  <c r="Y31" i="3"/>
  <c r="X31" i="3"/>
  <c r="W31" i="3"/>
  <c r="V31" i="3"/>
  <c r="U31" i="3"/>
  <c r="T31" i="3"/>
  <c r="T17" i="3" s="1"/>
  <c r="S31" i="3"/>
  <c r="S17" i="3" s="1"/>
  <c r="R31" i="3"/>
  <c r="R17" i="3" s="1"/>
  <c r="Q31" i="3"/>
  <c r="P31" i="3"/>
  <c r="P17" i="3" s="1"/>
  <c r="O31" i="3"/>
  <c r="N31" i="3"/>
  <c r="N17" i="3" s="1"/>
  <c r="M31" i="3"/>
  <c r="M17" i="3" s="1"/>
  <c r="L31" i="3"/>
  <c r="L17" i="3" s="1"/>
  <c r="K31" i="3"/>
  <c r="J31" i="3"/>
  <c r="I31" i="3"/>
  <c r="H31" i="3"/>
  <c r="G31" i="3"/>
  <c r="F31" i="3"/>
  <c r="E31" i="3"/>
  <c r="D31" i="3"/>
  <c r="D17" i="3" s="1"/>
  <c r="AD30" i="3"/>
  <c r="AC30" i="3"/>
  <c r="AC16" i="3" s="1"/>
  <c r="AB30" i="3"/>
  <c r="AB28" i="3" s="1"/>
  <c r="AA30" i="3"/>
  <c r="AA28" i="3" s="1"/>
  <c r="Z30" i="3"/>
  <c r="Y30" i="3"/>
  <c r="Y28" i="3" s="1"/>
  <c r="Y33" i="3" s="1"/>
  <c r="X30" i="3"/>
  <c r="X16" i="3" s="1"/>
  <c r="W30" i="3"/>
  <c r="W16" i="3" s="1"/>
  <c r="V30" i="3"/>
  <c r="U30" i="3"/>
  <c r="T30" i="3"/>
  <c r="S30" i="3"/>
  <c r="R30" i="3"/>
  <c r="Q30" i="3"/>
  <c r="P30" i="3"/>
  <c r="O30" i="3"/>
  <c r="O16" i="3" s="1"/>
  <c r="N30" i="3"/>
  <c r="N16" i="3" s="1"/>
  <c r="N14" i="3" s="1"/>
  <c r="M30" i="3"/>
  <c r="M16" i="3" s="1"/>
  <c r="L30" i="3"/>
  <c r="L28" i="3" s="1"/>
  <c r="K30" i="3"/>
  <c r="K28" i="3" s="1"/>
  <c r="J30" i="3"/>
  <c r="I30" i="3"/>
  <c r="I16" i="3" s="1"/>
  <c r="H30" i="3"/>
  <c r="H16" i="3" s="1"/>
  <c r="G30" i="3"/>
  <c r="G16" i="3" s="1"/>
  <c r="F30" i="3"/>
  <c r="E30" i="3"/>
  <c r="D30" i="3"/>
  <c r="AD29" i="3"/>
  <c r="AC29" i="3"/>
  <c r="AB29" i="3"/>
  <c r="AA29" i="3"/>
  <c r="Z29" i="3"/>
  <c r="Z28" i="3" s="1"/>
  <c r="Y29" i="3"/>
  <c r="Y15" i="3" s="1"/>
  <c r="X29" i="3"/>
  <c r="X28" i="3" s="1"/>
  <c r="X33" i="3" s="1"/>
  <c r="W29" i="3"/>
  <c r="W28" i="3" s="1"/>
  <c r="V29" i="3"/>
  <c r="V28" i="3" s="1"/>
  <c r="U29" i="3"/>
  <c r="T29" i="3"/>
  <c r="T28" i="3" s="1"/>
  <c r="T33" i="3" s="1"/>
  <c r="S29" i="3"/>
  <c r="S28" i="3" s="1"/>
  <c r="S33" i="3" s="1"/>
  <c r="R29" i="3"/>
  <c r="R28" i="3" s="1"/>
  <c r="R33" i="3" s="1"/>
  <c r="Q29" i="3"/>
  <c r="P29" i="3"/>
  <c r="P28" i="3" s="1"/>
  <c r="P33" i="3" s="1"/>
  <c r="O29" i="3"/>
  <c r="N29" i="3"/>
  <c r="M29" i="3"/>
  <c r="L29" i="3"/>
  <c r="K29" i="3"/>
  <c r="J29" i="3"/>
  <c r="J28" i="3" s="1"/>
  <c r="I29" i="3"/>
  <c r="I28" i="3" s="1"/>
  <c r="I33" i="3" s="1"/>
  <c r="H29" i="3"/>
  <c r="H28" i="3" s="1"/>
  <c r="H33" i="3" s="1"/>
  <c r="G29" i="3"/>
  <c r="G28" i="3" s="1"/>
  <c r="F29" i="3"/>
  <c r="F28" i="3" s="1"/>
  <c r="E29" i="3"/>
  <c r="D29" i="3"/>
  <c r="D28" i="3" s="1"/>
  <c r="D33" i="3" s="1"/>
  <c r="AD28" i="3"/>
  <c r="AC28" i="3"/>
  <c r="AC33" i="3" s="1"/>
  <c r="U28" i="3"/>
  <c r="U33" i="3" s="1"/>
  <c r="Q28" i="3"/>
  <c r="Q33" i="3" s="1"/>
  <c r="N28" i="3"/>
  <c r="M28" i="3"/>
  <c r="E28" i="3"/>
  <c r="E33" i="3" s="1"/>
  <c r="AD27" i="3"/>
  <c r="AD32" i="3" s="1"/>
  <c r="AD33" i="3" s="1"/>
  <c r="AC27" i="3"/>
  <c r="AC32" i="3" s="1"/>
  <c r="AB27" i="3"/>
  <c r="AB32" i="3" s="1"/>
  <c r="AA27" i="3"/>
  <c r="AA32" i="3" s="1"/>
  <c r="Z27" i="3"/>
  <c r="Z32" i="3" s="1"/>
  <c r="Y27" i="3"/>
  <c r="Y13" i="3" s="1"/>
  <c r="Y18" i="3" s="1"/>
  <c r="X27" i="3"/>
  <c r="X32" i="3" s="1"/>
  <c r="W27" i="3"/>
  <c r="W32" i="3" s="1"/>
  <c r="V27" i="3"/>
  <c r="V32" i="3" s="1"/>
  <c r="U27" i="3"/>
  <c r="T27" i="3"/>
  <c r="T32" i="3" s="1"/>
  <c r="S27" i="3"/>
  <c r="R27" i="3"/>
  <c r="Q27" i="3"/>
  <c r="P27" i="3"/>
  <c r="P32" i="3" s="1"/>
  <c r="O27" i="3"/>
  <c r="O32" i="3" s="1"/>
  <c r="N27" i="3"/>
  <c r="N32" i="3" s="1"/>
  <c r="N33" i="3" s="1"/>
  <c r="M27" i="3"/>
  <c r="M32" i="3" s="1"/>
  <c r="L27" i="3"/>
  <c r="L32" i="3" s="1"/>
  <c r="K27" i="3"/>
  <c r="K32" i="3" s="1"/>
  <c r="J27" i="3"/>
  <c r="J32" i="3" s="1"/>
  <c r="I27" i="3"/>
  <c r="I13" i="3" s="1"/>
  <c r="I18" i="3" s="1"/>
  <c r="H27" i="3"/>
  <c r="H32" i="3" s="1"/>
  <c r="G27" i="3"/>
  <c r="G32" i="3" s="1"/>
  <c r="F27" i="3"/>
  <c r="F32" i="3" s="1"/>
  <c r="E27" i="3"/>
  <c r="D27" i="3"/>
  <c r="D32" i="3" s="1"/>
  <c r="AD18" i="3"/>
  <c r="V18" i="3"/>
  <c r="F18" i="3"/>
  <c r="AD17" i="3"/>
  <c r="AA17" i="3"/>
  <c r="Z17" i="3"/>
  <c r="Y17" i="3"/>
  <c r="X17" i="3"/>
  <c r="V17" i="3"/>
  <c r="U17" i="3"/>
  <c r="Q17" i="3"/>
  <c r="K17" i="3"/>
  <c r="J17" i="3"/>
  <c r="I17" i="3"/>
  <c r="H17" i="3"/>
  <c r="F17" i="3"/>
  <c r="E17" i="3"/>
  <c r="AD16" i="3"/>
  <c r="AB16" i="3"/>
  <c r="AB14" i="3" s="1"/>
  <c r="V16" i="3"/>
  <c r="U16" i="3"/>
  <c r="T16" i="3"/>
  <c r="S16" i="3"/>
  <c r="Q16" i="3"/>
  <c r="P16" i="3"/>
  <c r="L16" i="3"/>
  <c r="F16" i="3"/>
  <c r="E16" i="3"/>
  <c r="D16" i="3"/>
  <c r="AD15" i="3"/>
  <c r="AB15" i="3"/>
  <c r="AA15" i="3"/>
  <c r="W15" i="3"/>
  <c r="W14" i="3" s="1"/>
  <c r="W19" i="3" s="1"/>
  <c r="Q15" i="3"/>
  <c r="Q14" i="3" s="1"/>
  <c r="Q19" i="3" s="1"/>
  <c r="P15" i="3"/>
  <c r="P14" i="3" s="1"/>
  <c r="O15" i="3"/>
  <c r="N15" i="3"/>
  <c r="M15" i="3"/>
  <c r="K15" i="3"/>
  <c r="G15" i="3"/>
  <c r="G14" i="3" s="1"/>
  <c r="AD14" i="3"/>
  <c r="AD19" i="3" s="1"/>
  <c r="AD13" i="3"/>
  <c r="AC13" i="3"/>
  <c r="AC18" i="3" s="1"/>
  <c r="W13" i="3"/>
  <c r="W18" i="3" s="1"/>
  <c r="V13" i="3"/>
  <c r="U13" i="3"/>
  <c r="U18" i="3" s="1"/>
  <c r="T13" i="3"/>
  <c r="T18" i="3" s="1"/>
  <c r="S13" i="3"/>
  <c r="Q13" i="3"/>
  <c r="Q18" i="3" s="1"/>
  <c r="M13" i="3"/>
  <c r="M18" i="3" s="1"/>
  <c r="G13" i="3"/>
  <c r="G18" i="3" s="1"/>
  <c r="F13" i="3"/>
  <c r="E13" i="3"/>
  <c r="E18" i="3" s="1"/>
  <c r="D13" i="3"/>
  <c r="H100" i="4" l="1"/>
  <c r="H114" i="4"/>
  <c r="U92" i="4"/>
  <c r="D55" i="4"/>
  <c r="D78" i="4"/>
  <c r="D81" i="4" s="1"/>
  <c r="T55" i="4"/>
  <c r="T78" i="4"/>
  <c r="Q65" i="4"/>
  <c r="Q52" i="4"/>
  <c r="F120" i="4"/>
  <c r="V120" i="4"/>
  <c r="O52" i="3"/>
  <c r="E102" i="4"/>
  <c r="E54" i="4"/>
  <c r="E153" i="4"/>
  <c r="P153" i="4"/>
  <c r="P54" i="4"/>
  <c r="P102" i="4"/>
  <c r="N18" i="4"/>
  <c r="N27" i="4" s="1"/>
  <c r="R70" i="4"/>
  <c r="R53" i="4"/>
  <c r="O71" i="4"/>
  <c r="O44" i="4"/>
  <c r="O70" i="4" s="1"/>
  <c r="G19" i="3"/>
  <c r="Z33" i="3"/>
  <c r="P52" i="3"/>
  <c r="M153" i="4"/>
  <c r="M54" i="4"/>
  <c r="M102" i="4"/>
  <c r="L27" i="4"/>
  <c r="P65" i="4"/>
  <c r="P53" i="4"/>
  <c r="P52" i="4"/>
  <c r="K119" i="4"/>
  <c r="D18" i="3"/>
  <c r="V151" i="4"/>
  <c r="V166" i="4"/>
  <c r="R52" i="3"/>
  <c r="U102" i="4"/>
  <c r="U54" i="4"/>
  <c r="U153" i="4"/>
  <c r="Q18" i="4"/>
  <c r="Q27" i="4" s="1"/>
  <c r="O52" i="4"/>
  <c r="O53" i="4"/>
  <c r="J33" i="3"/>
  <c r="M14" i="3"/>
  <c r="M19" i="3" s="1"/>
  <c r="O14" i="3"/>
  <c r="M33" i="3"/>
  <c r="W52" i="3"/>
  <c r="I65" i="4"/>
  <c r="I52" i="4"/>
  <c r="L119" i="4"/>
  <c r="N123" i="4"/>
  <c r="N92" i="4"/>
  <c r="K52" i="3"/>
  <c r="F102" i="4"/>
  <c r="F54" i="4"/>
  <c r="F153" i="4"/>
  <c r="V102" i="4"/>
  <c r="V54" i="4"/>
  <c r="V153" i="4"/>
  <c r="J119" i="4"/>
  <c r="M123" i="4"/>
  <c r="M92" i="4"/>
  <c r="G54" i="4"/>
  <c r="G153" i="4"/>
  <c r="G78" i="4"/>
  <c r="G81" i="4" s="1"/>
  <c r="G102" i="4"/>
  <c r="G55" i="4"/>
  <c r="E18" i="4"/>
  <c r="E27" i="4" s="1"/>
  <c r="S18" i="3"/>
  <c r="H54" i="4"/>
  <c r="H153" i="4"/>
  <c r="H102" i="4"/>
  <c r="F27" i="4"/>
  <c r="V27" i="4"/>
  <c r="I92" i="4"/>
  <c r="I119" i="4" s="1"/>
  <c r="Y52" i="3"/>
  <c r="N52" i="3"/>
  <c r="AD52" i="3"/>
  <c r="I26" i="4"/>
  <c r="I114" i="4"/>
  <c r="L44" i="4"/>
  <c r="L70" i="4" s="1"/>
  <c r="L74" i="4"/>
  <c r="J103" i="4"/>
  <c r="J153" i="4"/>
  <c r="J54" i="4"/>
  <c r="J102" i="4"/>
  <c r="D102" i="4"/>
  <c r="D153" i="4"/>
  <c r="D54" i="4"/>
  <c r="T102" i="4"/>
  <c r="T54" i="4"/>
  <c r="T153" i="4"/>
  <c r="Q153" i="4"/>
  <c r="Q54" i="4"/>
  <c r="Q102" i="4"/>
  <c r="H27" i="4"/>
  <c r="T101" i="4"/>
  <c r="T128" i="4" s="1"/>
  <c r="T114" i="4"/>
  <c r="T100" i="4"/>
  <c r="N114" i="4"/>
  <c r="N100" i="4"/>
  <c r="AA52" i="3"/>
  <c r="L100" i="4"/>
  <c r="L114" i="4"/>
  <c r="L101" i="4"/>
  <c r="L128" i="4" s="1"/>
  <c r="R92" i="4"/>
  <c r="R119" i="4" s="1"/>
  <c r="R120" i="4"/>
  <c r="F33" i="3"/>
  <c r="V33" i="3"/>
  <c r="K33" i="3"/>
  <c r="AA33" i="3"/>
  <c r="L54" i="4"/>
  <c r="L153" i="4"/>
  <c r="L102" i="4"/>
  <c r="S153" i="4"/>
  <c r="S102" i="4"/>
  <c r="S54" i="4"/>
  <c r="J27" i="4"/>
  <c r="H71" i="4"/>
  <c r="O74" i="4"/>
  <c r="V127" i="4"/>
  <c r="V103" i="4"/>
  <c r="M114" i="4"/>
  <c r="M100" i="4"/>
  <c r="M101" i="4"/>
  <c r="M128" i="4" s="1"/>
  <c r="G33" i="3"/>
  <c r="W33" i="3"/>
  <c r="L33" i="3"/>
  <c r="AB33" i="3"/>
  <c r="P44" i="4"/>
  <c r="G101" i="4"/>
  <c r="G100" i="4"/>
  <c r="G114" i="4"/>
  <c r="D169" i="4"/>
  <c r="G123" i="6"/>
  <c r="G74" i="6"/>
  <c r="G20" i="6"/>
  <c r="G19" i="6" s="1"/>
  <c r="F122" i="5"/>
  <c r="F95" i="5"/>
  <c r="G174" i="5"/>
  <c r="G145" i="5"/>
  <c r="D180" i="5"/>
  <c r="Q154" i="6"/>
  <c r="Q104" i="6"/>
  <c r="Q55" i="6"/>
  <c r="S121" i="6"/>
  <c r="S94" i="6"/>
  <c r="P128" i="7"/>
  <c r="G125" i="7"/>
  <c r="P125" i="7" s="1"/>
  <c r="H184" i="23"/>
  <c r="H173" i="23"/>
  <c r="G168" i="4"/>
  <c r="G73" i="5"/>
  <c r="G46" i="5"/>
  <c r="J122" i="6"/>
  <c r="J73" i="6"/>
  <c r="J20" i="6"/>
  <c r="J19" i="6" s="1"/>
  <c r="V172" i="4"/>
  <c r="V143" i="4"/>
  <c r="V171" i="4" s="1"/>
  <c r="O28" i="5"/>
  <c r="K45" i="5"/>
  <c r="K71" i="5" s="1"/>
  <c r="K75" i="5"/>
  <c r="V122" i="5"/>
  <c r="V95" i="5"/>
  <c r="M148" i="5"/>
  <c r="M177" i="5"/>
  <c r="D22" i="4"/>
  <c r="D18" i="4" s="1"/>
  <c r="V39" i="4"/>
  <c r="S39" i="4"/>
  <c r="D44" i="4"/>
  <c r="D71" i="4"/>
  <c r="T44" i="4"/>
  <c r="T70" i="4" s="1"/>
  <c r="T71" i="4"/>
  <c r="T74" i="4"/>
  <c r="Q75" i="4"/>
  <c r="H78" i="4"/>
  <c r="H81" i="4" s="1"/>
  <c r="H55" i="4"/>
  <c r="T65" i="4"/>
  <c r="F73" i="4"/>
  <c r="G115" i="4"/>
  <c r="F121" i="4"/>
  <c r="J127" i="4"/>
  <c r="J130" i="4" s="1"/>
  <c r="H151" i="4"/>
  <c r="H166" i="4"/>
  <c r="L166" i="4"/>
  <c r="L151" i="4"/>
  <c r="I168" i="4"/>
  <c r="F169" i="4"/>
  <c r="V169" i="4"/>
  <c r="S170" i="4"/>
  <c r="D173" i="4"/>
  <c r="T173" i="4"/>
  <c r="Q174" i="4"/>
  <c r="D175" i="4"/>
  <c r="T175" i="4"/>
  <c r="O168" i="4"/>
  <c r="T172" i="4"/>
  <c r="D27" i="5"/>
  <c r="T27" i="5"/>
  <c r="P23" i="5"/>
  <c r="P178" i="5"/>
  <c r="D66" i="5"/>
  <c r="G122" i="5"/>
  <c r="G95" i="5"/>
  <c r="M125" i="5"/>
  <c r="M98" i="5"/>
  <c r="U119" i="5"/>
  <c r="N148" i="5"/>
  <c r="N176" i="5" s="1"/>
  <c r="N177" i="5"/>
  <c r="S177" i="5"/>
  <c r="T104" i="6"/>
  <c r="T55" i="6"/>
  <c r="T154" i="6"/>
  <c r="E28" i="6"/>
  <c r="G76" i="6"/>
  <c r="G49" i="6"/>
  <c r="G75" i="6" s="1"/>
  <c r="R122" i="6"/>
  <c r="R95" i="6"/>
  <c r="G98" i="6"/>
  <c r="G125" i="6"/>
  <c r="T171" i="4"/>
  <c r="I27" i="5"/>
  <c r="R71" i="4"/>
  <c r="O28" i="3"/>
  <c r="O33" i="3" s="1"/>
  <c r="O13" i="4"/>
  <c r="O26" i="4" s="1"/>
  <c r="O27" i="4" s="1"/>
  <c r="M19" i="4"/>
  <c r="M18" i="4" s="1"/>
  <c r="M27" i="4" s="1"/>
  <c r="F39" i="4"/>
  <c r="H13" i="3"/>
  <c r="H18" i="3" s="1"/>
  <c r="X13" i="3"/>
  <c r="X18" i="3" s="1"/>
  <c r="R15" i="3"/>
  <c r="R14" i="3" s="1"/>
  <c r="U74" i="4"/>
  <c r="R75" i="4"/>
  <c r="O76" i="4"/>
  <c r="D66" i="4"/>
  <c r="V71" i="4"/>
  <c r="L73" i="4"/>
  <c r="J76" i="4"/>
  <c r="I115" i="4"/>
  <c r="F116" i="4"/>
  <c r="V116" i="4"/>
  <c r="S117" i="4"/>
  <c r="P118" i="4"/>
  <c r="G121" i="4"/>
  <c r="D122" i="4"/>
  <c r="T122" i="4"/>
  <c r="F96" i="4"/>
  <c r="F123" i="4" s="1"/>
  <c r="V96" i="4"/>
  <c r="V123" i="4" s="1"/>
  <c r="H115" i="4"/>
  <c r="J124" i="4"/>
  <c r="U125" i="4"/>
  <c r="I151" i="4"/>
  <c r="I166" i="4"/>
  <c r="E173" i="4"/>
  <c r="U173" i="4"/>
  <c r="R174" i="4"/>
  <c r="H147" i="4"/>
  <c r="H175" i="4" s="1"/>
  <c r="I173" i="4"/>
  <c r="E14" i="5"/>
  <c r="U14" i="5"/>
  <c r="D75" i="5"/>
  <c r="M76" i="5"/>
  <c r="M49" i="5"/>
  <c r="D53" i="5"/>
  <c r="N125" i="5"/>
  <c r="N98" i="5"/>
  <c r="N124" i="5" s="1"/>
  <c r="E168" i="5"/>
  <c r="U27" i="6"/>
  <c r="I20" i="6"/>
  <c r="I19" i="6" s="1"/>
  <c r="P23" i="6"/>
  <c r="N28" i="6"/>
  <c r="G53" i="6"/>
  <c r="G175" i="6"/>
  <c r="N104" i="6"/>
  <c r="N55" i="6"/>
  <c r="N154" i="6"/>
  <c r="F115" i="4"/>
  <c r="S15" i="3"/>
  <c r="S14" i="3" s="1"/>
  <c r="S19" i="3" s="1"/>
  <c r="E65" i="4"/>
  <c r="U65" i="4"/>
  <c r="R65" i="4"/>
  <c r="R52" i="4"/>
  <c r="F70" i="4"/>
  <c r="V70" i="4"/>
  <c r="S44" i="4"/>
  <c r="S70" i="4" s="1"/>
  <c r="S71" i="4"/>
  <c r="V74" i="4"/>
  <c r="S75" i="4"/>
  <c r="P76" i="4"/>
  <c r="J52" i="4"/>
  <c r="U53" i="4"/>
  <c r="N67" i="4"/>
  <c r="D72" i="4"/>
  <c r="O73" i="4"/>
  <c r="D87" i="4"/>
  <c r="J115" i="4"/>
  <c r="G116" i="4"/>
  <c r="D117" i="4"/>
  <c r="T117" i="4"/>
  <c r="Q118" i="4"/>
  <c r="E93" i="4"/>
  <c r="H121" i="4"/>
  <c r="E122" i="4"/>
  <c r="U122" i="4"/>
  <c r="L118" i="4"/>
  <c r="D120" i="4"/>
  <c r="O121" i="4"/>
  <c r="K124" i="4"/>
  <c r="J166" i="4"/>
  <c r="N138" i="4"/>
  <c r="N167" i="4"/>
  <c r="K168" i="4"/>
  <c r="H169" i="4"/>
  <c r="E170" i="4"/>
  <c r="U170" i="4"/>
  <c r="F173" i="4"/>
  <c r="V173" i="4"/>
  <c r="S174" i="4"/>
  <c r="I176" i="4"/>
  <c r="F177" i="4"/>
  <c r="V177" i="4"/>
  <c r="S178" i="4"/>
  <c r="P173" i="4"/>
  <c r="U177" i="4"/>
  <c r="F28" i="5"/>
  <c r="F27" i="5"/>
  <c r="V28" i="5"/>
  <c r="V27" i="5"/>
  <c r="K53" i="5"/>
  <c r="K66" i="5"/>
  <c r="K54" i="5"/>
  <c r="Q40" i="5"/>
  <c r="Q67" i="5"/>
  <c r="N40" i="5"/>
  <c r="N68" i="5"/>
  <c r="I75" i="5"/>
  <c r="N76" i="5"/>
  <c r="N49" i="5"/>
  <c r="N75" i="5" s="1"/>
  <c r="E116" i="5"/>
  <c r="E171" i="5"/>
  <c r="U171" i="5"/>
  <c r="I176" i="5"/>
  <c r="T180" i="5"/>
  <c r="F168" i="5"/>
  <c r="H173" i="5"/>
  <c r="N67" i="6"/>
  <c r="N40" i="6"/>
  <c r="I124" i="6"/>
  <c r="L177" i="6"/>
  <c r="E131" i="8"/>
  <c r="N112" i="8"/>
  <c r="S124" i="8"/>
  <c r="J121" i="8"/>
  <c r="J124" i="7"/>
  <c r="T169" i="4"/>
  <c r="I116" i="5"/>
  <c r="I89" i="5"/>
  <c r="I118" i="4"/>
  <c r="J13" i="3"/>
  <c r="J18" i="3" s="1"/>
  <c r="Z13" i="3"/>
  <c r="Z18" i="3" s="1"/>
  <c r="D15" i="3"/>
  <c r="D14" i="3" s="1"/>
  <c r="D19" i="3" s="1"/>
  <c r="T15" i="3"/>
  <c r="T14" i="3" s="1"/>
  <c r="T19" i="3" s="1"/>
  <c r="Y16" i="3"/>
  <c r="Y14" i="3" s="1"/>
  <c r="Y19" i="3" s="1"/>
  <c r="R13" i="4"/>
  <c r="R26" i="4" s="1"/>
  <c r="R179" i="4" s="1"/>
  <c r="P19" i="4"/>
  <c r="G22" i="4"/>
  <c r="G175" i="4" s="1"/>
  <c r="D75" i="4"/>
  <c r="T75" i="4"/>
  <c r="F66" i="4"/>
  <c r="Q67" i="4"/>
  <c r="E72" i="4"/>
  <c r="F75" i="4"/>
  <c r="K115" i="4"/>
  <c r="H116" i="4"/>
  <c r="E117" i="4"/>
  <c r="U117" i="4"/>
  <c r="R118" i="4"/>
  <c r="I121" i="4"/>
  <c r="F122" i="4"/>
  <c r="V122" i="4"/>
  <c r="H96" i="4"/>
  <c r="H123" i="4" s="1"/>
  <c r="E123" i="4"/>
  <c r="U123" i="4"/>
  <c r="N102" i="4"/>
  <c r="F114" i="4"/>
  <c r="Q115" i="4"/>
  <c r="M118" i="4"/>
  <c r="K138" i="4"/>
  <c r="G173" i="4"/>
  <c r="D174" i="4"/>
  <c r="T174" i="4"/>
  <c r="J176" i="4"/>
  <c r="J147" i="4"/>
  <c r="J175" i="4" s="1"/>
  <c r="G177" i="4"/>
  <c r="D178" i="4"/>
  <c r="T178" i="4"/>
  <c r="L169" i="4"/>
  <c r="L53" i="5"/>
  <c r="L66" i="5"/>
  <c r="I124" i="5"/>
  <c r="F116" i="5"/>
  <c r="O167" i="5"/>
  <c r="O152" i="5"/>
  <c r="P176" i="5"/>
  <c r="N168" i="5"/>
  <c r="E154" i="6"/>
  <c r="E104" i="6"/>
  <c r="E55" i="6"/>
  <c r="R27" i="6"/>
  <c r="F53" i="6"/>
  <c r="O40" i="6"/>
  <c r="O67" i="6"/>
  <c r="L68" i="6"/>
  <c r="L40" i="6"/>
  <c r="I102" i="6"/>
  <c r="Q53" i="7"/>
  <c r="H47" i="7"/>
  <c r="H26" i="7"/>
  <c r="Q59" i="8"/>
  <c r="H66" i="9"/>
  <c r="F151" i="4"/>
  <c r="J167" i="4"/>
  <c r="F174" i="5"/>
  <c r="F145" i="5"/>
  <c r="G151" i="4"/>
  <c r="G166" i="4"/>
  <c r="K13" i="3"/>
  <c r="K18" i="3" s="1"/>
  <c r="AA13" i="3"/>
  <c r="AA18" i="3" s="1"/>
  <c r="E15" i="3"/>
  <c r="E14" i="3" s="1"/>
  <c r="E19" i="3" s="1"/>
  <c r="U15" i="3"/>
  <c r="U14" i="3" s="1"/>
  <c r="U19" i="3" s="1"/>
  <c r="P167" i="4"/>
  <c r="P115" i="4"/>
  <c r="M168" i="4"/>
  <c r="M116" i="4"/>
  <c r="J169" i="4"/>
  <c r="J117" i="4"/>
  <c r="G170" i="4"/>
  <c r="G118" i="4"/>
  <c r="N173" i="4"/>
  <c r="N121" i="4"/>
  <c r="K174" i="4"/>
  <c r="K122" i="4"/>
  <c r="E176" i="4"/>
  <c r="E124" i="4"/>
  <c r="U176" i="4"/>
  <c r="U124" i="4"/>
  <c r="R177" i="4"/>
  <c r="R125" i="4"/>
  <c r="E75" i="4"/>
  <c r="U75" i="4"/>
  <c r="R76" i="4"/>
  <c r="G66" i="4"/>
  <c r="F72" i="4"/>
  <c r="L115" i="4"/>
  <c r="I116" i="4"/>
  <c r="F117" i="4"/>
  <c r="V117" i="4"/>
  <c r="S118" i="4"/>
  <c r="J121" i="4"/>
  <c r="G122" i="4"/>
  <c r="D123" i="4"/>
  <c r="M124" i="4"/>
  <c r="Q166" i="4"/>
  <c r="P151" i="4"/>
  <c r="P166" i="4"/>
  <c r="M166" i="4"/>
  <c r="M151" i="4"/>
  <c r="G143" i="4"/>
  <c r="H173" i="4"/>
  <c r="E174" i="4"/>
  <c r="U174" i="4"/>
  <c r="K176" i="4"/>
  <c r="H177" i="4"/>
  <c r="E178" i="4"/>
  <c r="U178" i="4"/>
  <c r="M169" i="4"/>
  <c r="V19" i="5"/>
  <c r="S19" i="5"/>
  <c r="T66" i="5"/>
  <c r="S53" i="5"/>
  <c r="P53" i="5"/>
  <c r="P75" i="5"/>
  <c r="T53" i="5"/>
  <c r="F67" i="5"/>
  <c r="P124" i="5"/>
  <c r="N116" i="5"/>
  <c r="K125" i="5"/>
  <c r="D167" i="5"/>
  <c r="P139" i="5"/>
  <c r="U168" i="5"/>
  <c r="S27" i="6"/>
  <c r="P19" i="6"/>
  <c r="S177" i="6"/>
  <c r="S76" i="6"/>
  <c r="S23" i="6"/>
  <c r="S19" i="6" s="1"/>
  <c r="S28" i="6" s="1"/>
  <c r="M78" i="6"/>
  <c r="M127" i="6"/>
  <c r="Q54" i="6"/>
  <c r="Q53" i="6"/>
  <c r="P53" i="6"/>
  <c r="L27" i="5"/>
  <c r="S173" i="4"/>
  <c r="S144" i="4"/>
  <c r="Q122" i="6"/>
  <c r="Q95" i="6"/>
  <c r="L13" i="3"/>
  <c r="L18" i="3" s="1"/>
  <c r="AB13" i="3"/>
  <c r="AB18" i="3" s="1"/>
  <c r="AB19" i="3" s="1"/>
  <c r="F15" i="3"/>
  <c r="F14" i="3" s="1"/>
  <c r="F19" i="3" s="1"/>
  <c r="V15" i="3"/>
  <c r="V14" i="3" s="1"/>
  <c r="V19" i="3" s="1"/>
  <c r="K16" i="3"/>
  <c r="K14" i="3" s="1"/>
  <c r="AA16" i="3"/>
  <c r="AA14" i="3" s="1"/>
  <c r="AA19" i="3" s="1"/>
  <c r="G45" i="4"/>
  <c r="H66" i="4"/>
  <c r="S67" i="4"/>
  <c r="I101" i="4"/>
  <c r="I100" i="4"/>
  <c r="M115" i="4"/>
  <c r="J116" i="4"/>
  <c r="G117" i="4"/>
  <c r="D118" i="4"/>
  <c r="T118" i="4"/>
  <c r="H93" i="4"/>
  <c r="K121" i="4"/>
  <c r="H122" i="4"/>
  <c r="G123" i="4"/>
  <c r="J101" i="4"/>
  <c r="J128" i="4" s="1"/>
  <c r="K117" i="4"/>
  <c r="G120" i="4"/>
  <c r="R121" i="4"/>
  <c r="T152" i="4"/>
  <c r="T180" i="4" s="1"/>
  <c r="T151" i="4"/>
  <c r="T166" i="4"/>
  <c r="Q167" i="4"/>
  <c r="N168" i="4"/>
  <c r="K169" i="4"/>
  <c r="H170" i="4"/>
  <c r="L176" i="4"/>
  <c r="I177" i="4"/>
  <c r="F178" i="4"/>
  <c r="V178" i="4"/>
  <c r="M174" i="4"/>
  <c r="R178" i="4"/>
  <c r="D19" i="5"/>
  <c r="D28" i="5" s="1"/>
  <c r="T19" i="5"/>
  <c r="T28" i="5" s="1"/>
  <c r="N67" i="5"/>
  <c r="K76" i="5"/>
  <c r="D115" i="5"/>
  <c r="U116" i="5"/>
  <c r="S125" i="5"/>
  <c r="K152" i="5"/>
  <c r="K167" i="5"/>
  <c r="Q139" i="5"/>
  <c r="Q168" i="5"/>
  <c r="N139" i="5"/>
  <c r="N169" i="5"/>
  <c r="M173" i="5"/>
  <c r="V168" i="5"/>
  <c r="T179" i="5"/>
  <c r="D177" i="6"/>
  <c r="D76" i="6"/>
  <c r="R54" i="6"/>
  <c r="R53" i="6"/>
  <c r="R66" i="6"/>
  <c r="O66" i="5"/>
  <c r="O53" i="5"/>
  <c r="L46" i="5"/>
  <c r="L74" i="5"/>
  <c r="K102" i="5"/>
  <c r="K115" i="5"/>
  <c r="Q89" i="5"/>
  <c r="Q116" i="5"/>
  <c r="N89" i="5"/>
  <c r="N117" i="5"/>
  <c r="R152" i="5"/>
  <c r="R167" i="5"/>
  <c r="R153" i="5"/>
  <c r="G66" i="7"/>
  <c r="T57" i="7"/>
  <c r="K56" i="7"/>
  <c r="N49" i="8"/>
  <c r="E49" i="7"/>
  <c r="N49" i="7" s="1"/>
  <c r="T56" i="8"/>
  <c r="N64" i="8"/>
  <c r="E64" i="7"/>
  <c r="V174" i="5"/>
  <c r="V145" i="5"/>
  <c r="G75" i="4"/>
  <c r="O166" i="4"/>
  <c r="J154" i="4"/>
  <c r="J179" i="4"/>
  <c r="E66" i="5"/>
  <c r="O46" i="5"/>
  <c r="O73" i="5"/>
  <c r="X15" i="3"/>
  <c r="X14" i="3" s="1"/>
  <c r="X19" i="3" s="1"/>
  <c r="K39" i="4"/>
  <c r="M66" i="4"/>
  <c r="J67" i="4"/>
  <c r="G68" i="4"/>
  <c r="D69" i="4"/>
  <c r="T69" i="4"/>
  <c r="I45" i="4"/>
  <c r="K72" i="4"/>
  <c r="H73" i="4"/>
  <c r="E74" i="4"/>
  <c r="N54" i="4"/>
  <c r="D65" i="4"/>
  <c r="U67" i="4"/>
  <c r="E71" i="4"/>
  <c r="L75" i="4"/>
  <c r="K87" i="4"/>
  <c r="O115" i="4"/>
  <c r="L116" i="4"/>
  <c r="I117" i="4"/>
  <c r="F118" i="4"/>
  <c r="V118" i="4"/>
  <c r="J120" i="4"/>
  <c r="M121" i="4"/>
  <c r="J122" i="4"/>
  <c r="J114" i="4"/>
  <c r="I120" i="4"/>
  <c r="T121" i="4"/>
  <c r="L123" i="4"/>
  <c r="S138" i="4"/>
  <c r="I175" i="4"/>
  <c r="N176" i="4"/>
  <c r="K177" i="4"/>
  <c r="H178" i="4"/>
  <c r="O151" i="4"/>
  <c r="F40" i="5"/>
  <c r="V40" i="5"/>
  <c r="J72" i="5"/>
  <c r="J45" i="5"/>
  <c r="P45" i="5"/>
  <c r="P54" i="5" s="1"/>
  <c r="T75" i="5"/>
  <c r="V67" i="5"/>
  <c r="L102" i="5"/>
  <c r="L115" i="5"/>
  <c r="R89" i="5"/>
  <c r="K117" i="5"/>
  <c r="H126" i="5"/>
  <c r="T167" i="5"/>
  <c r="S139" i="5"/>
  <c r="O174" i="5"/>
  <c r="O145" i="5"/>
  <c r="L175" i="5"/>
  <c r="L145" i="5"/>
  <c r="G154" i="5"/>
  <c r="R169" i="5"/>
  <c r="T56" i="6"/>
  <c r="N75" i="6"/>
  <c r="K173" i="6"/>
  <c r="G148" i="6"/>
  <c r="G176" i="6" s="1"/>
  <c r="N148" i="6"/>
  <c r="N176" i="6" s="1"/>
  <c r="N177" i="6"/>
  <c r="N155" i="6"/>
  <c r="N180" i="6"/>
  <c r="R175" i="4"/>
  <c r="J172" i="4"/>
  <c r="U66" i="5"/>
  <c r="O13" i="3"/>
  <c r="O18" i="3" s="1"/>
  <c r="I15" i="3"/>
  <c r="I14" i="3" s="1"/>
  <c r="I19" i="3" s="1"/>
  <c r="U19" i="4"/>
  <c r="U18" i="4" s="1"/>
  <c r="L39" i="4"/>
  <c r="N66" i="4"/>
  <c r="K67" i="4"/>
  <c r="H68" i="4"/>
  <c r="E69" i="4"/>
  <c r="U69" i="4"/>
  <c r="J45" i="4"/>
  <c r="L72" i="4"/>
  <c r="I73" i="4"/>
  <c r="F74" i="4"/>
  <c r="I48" i="4"/>
  <c r="I74" i="4" s="1"/>
  <c r="D53" i="4"/>
  <c r="G65" i="4"/>
  <c r="F71" i="4"/>
  <c r="K120" i="4"/>
  <c r="V115" i="4"/>
  <c r="N117" i="4"/>
  <c r="U121" i="4"/>
  <c r="E125" i="4"/>
  <c r="D167" i="4"/>
  <c r="T167" i="4"/>
  <c r="Q168" i="4"/>
  <c r="N169" i="4"/>
  <c r="K170" i="4"/>
  <c r="L144" i="4"/>
  <c r="L173" i="4"/>
  <c r="I144" i="4"/>
  <c r="I174" i="4"/>
  <c r="K147" i="4"/>
  <c r="K175" i="4" s="1"/>
  <c r="O176" i="4"/>
  <c r="L177" i="4"/>
  <c r="I178" i="4"/>
  <c r="Q151" i="4"/>
  <c r="F166" i="4"/>
  <c r="K72" i="5"/>
  <c r="Q45" i="5"/>
  <c r="Q71" i="5" s="1"/>
  <c r="Q72" i="5"/>
  <c r="N72" i="5"/>
  <c r="N45" i="5"/>
  <c r="N71" i="5" s="1"/>
  <c r="K68" i="5"/>
  <c r="T115" i="5"/>
  <c r="S89" i="5"/>
  <c r="P89" i="5"/>
  <c r="O95" i="5"/>
  <c r="O122" i="5"/>
  <c r="L95" i="5"/>
  <c r="L123" i="5"/>
  <c r="G104" i="5"/>
  <c r="R117" i="5"/>
  <c r="D122" i="5"/>
  <c r="P126" i="5"/>
  <c r="I144" i="5"/>
  <c r="I172" i="5" s="1"/>
  <c r="P144" i="5"/>
  <c r="F177" i="5"/>
  <c r="F148" i="5"/>
  <c r="F176" i="5" s="1"/>
  <c r="V177" i="5"/>
  <c r="V148" i="5"/>
  <c r="V176" i="5" s="1"/>
  <c r="S178" i="5"/>
  <c r="S148" i="5"/>
  <c r="S176" i="5" s="1"/>
  <c r="N154" i="5"/>
  <c r="S169" i="5"/>
  <c r="I45" i="6"/>
  <c r="I71" i="6" s="1"/>
  <c r="I72" i="6"/>
  <c r="K45" i="6"/>
  <c r="K72" i="6"/>
  <c r="H72" i="6"/>
  <c r="H45" i="6"/>
  <c r="H71" i="6" s="1"/>
  <c r="I75" i="6"/>
  <c r="T79" i="6"/>
  <c r="J124" i="6"/>
  <c r="I176" i="6"/>
  <c r="N80" i="7"/>
  <c r="N113" i="7"/>
  <c r="P71" i="4"/>
  <c r="D74" i="4"/>
  <c r="U55" i="4"/>
  <c r="H72" i="4"/>
  <c r="U151" i="4"/>
  <c r="I72" i="5"/>
  <c r="I45" i="5"/>
  <c r="N13" i="3"/>
  <c r="N18" i="3" s="1"/>
  <c r="N19" i="3" s="1"/>
  <c r="H15" i="3"/>
  <c r="H14" i="3" s="1"/>
  <c r="H19" i="3" s="1"/>
  <c r="P13" i="3"/>
  <c r="P18" i="3" s="1"/>
  <c r="P19" i="3" s="1"/>
  <c r="J15" i="3"/>
  <c r="J14" i="3" s="1"/>
  <c r="J19" i="3" s="1"/>
  <c r="Z15" i="3"/>
  <c r="Z14" i="3" s="1"/>
  <c r="Z19" i="3" s="1"/>
  <c r="M39" i="4"/>
  <c r="O66" i="4"/>
  <c r="L67" i="4"/>
  <c r="I68" i="4"/>
  <c r="F69" i="4"/>
  <c r="V69" i="4"/>
  <c r="K45" i="4"/>
  <c r="M72" i="4"/>
  <c r="J73" i="4"/>
  <c r="G74" i="4"/>
  <c r="E53" i="4"/>
  <c r="E79" i="4" s="1"/>
  <c r="H65" i="4"/>
  <c r="O69" i="4"/>
  <c r="R72" i="4"/>
  <c r="Q87" i="4"/>
  <c r="L120" i="4"/>
  <c r="O93" i="4"/>
  <c r="N124" i="4"/>
  <c r="K125" i="4"/>
  <c r="H126" i="4"/>
  <c r="V121" i="4"/>
  <c r="E167" i="4"/>
  <c r="U167" i="4"/>
  <c r="R168" i="4"/>
  <c r="O169" i="4"/>
  <c r="L170" i="4"/>
  <c r="D144" i="4"/>
  <c r="M175" i="4"/>
  <c r="H67" i="5"/>
  <c r="H40" i="5"/>
  <c r="M72" i="5"/>
  <c r="D73" i="5"/>
  <c r="P77" i="5"/>
  <c r="I94" i="5"/>
  <c r="P94" i="5"/>
  <c r="M121" i="5"/>
  <c r="F98" i="5"/>
  <c r="F124" i="5" s="1"/>
  <c r="F125" i="5"/>
  <c r="V98" i="5"/>
  <c r="V124" i="5" s="1"/>
  <c r="V125" i="5"/>
  <c r="S98" i="5"/>
  <c r="S124" i="5" s="1"/>
  <c r="S126" i="5"/>
  <c r="N104" i="5"/>
  <c r="S117" i="5"/>
  <c r="L122" i="5"/>
  <c r="D127" i="5"/>
  <c r="E167" i="5"/>
  <c r="U167" i="5"/>
  <c r="L171" i="5"/>
  <c r="J173" i="5"/>
  <c r="Q173" i="5"/>
  <c r="Q144" i="5"/>
  <c r="N144" i="5"/>
  <c r="N172" i="5" s="1"/>
  <c r="N173" i="5"/>
  <c r="O154" i="5"/>
  <c r="H170" i="5"/>
  <c r="R19" i="6"/>
  <c r="R172" i="6" s="1"/>
  <c r="R72" i="6"/>
  <c r="J45" i="6"/>
  <c r="J71" i="6" s="1"/>
  <c r="J72" i="6"/>
  <c r="J75" i="6"/>
  <c r="N167" i="6"/>
  <c r="M169" i="10"/>
  <c r="M43" i="10"/>
  <c r="M246" i="10"/>
  <c r="J170" i="10"/>
  <c r="J247" i="10"/>
  <c r="G248" i="10"/>
  <c r="G171" i="10"/>
  <c r="D172" i="10"/>
  <c r="D249" i="10"/>
  <c r="T172" i="10"/>
  <c r="T249" i="10"/>
  <c r="Q173" i="10"/>
  <c r="Q250" i="10"/>
  <c r="N251" i="10"/>
  <c r="N174" i="10"/>
  <c r="K175" i="10"/>
  <c r="K252" i="10"/>
  <c r="H176" i="10"/>
  <c r="H253" i="10"/>
  <c r="E254" i="10"/>
  <c r="E177" i="10"/>
  <c r="U254" i="10"/>
  <c r="U177" i="10"/>
  <c r="R178" i="10"/>
  <c r="R255" i="10"/>
  <c r="O256" i="10"/>
  <c r="O179" i="10"/>
  <c r="L257" i="10"/>
  <c r="L180" i="10"/>
  <c r="I259" i="10"/>
  <c r="I182" i="10"/>
  <c r="I43" i="10"/>
  <c r="F183" i="10"/>
  <c r="F260" i="10"/>
  <c r="V260" i="10"/>
  <c r="V183" i="10"/>
  <c r="S184" i="10"/>
  <c r="S261" i="10"/>
  <c r="P185" i="10"/>
  <c r="P262" i="10"/>
  <c r="M263" i="10"/>
  <c r="M186" i="10"/>
  <c r="M108" i="10"/>
  <c r="J187" i="10"/>
  <c r="J264" i="10"/>
  <c r="G265" i="10"/>
  <c r="G188" i="10"/>
  <c r="D266" i="10"/>
  <c r="D189" i="10"/>
  <c r="T189" i="10"/>
  <c r="T266" i="10"/>
  <c r="Q267" i="10"/>
  <c r="Q190" i="10"/>
  <c r="N268" i="10"/>
  <c r="N191" i="10"/>
  <c r="K192" i="10"/>
  <c r="K269" i="10"/>
  <c r="H270" i="10"/>
  <c r="H193" i="10"/>
  <c r="H115" i="10"/>
  <c r="U194" i="10"/>
  <c r="U271" i="10"/>
  <c r="R272" i="10"/>
  <c r="R195" i="10"/>
  <c r="O196" i="10"/>
  <c r="O273" i="10"/>
  <c r="L197" i="10"/>
  <c r="L274" i="10"/>
  <c r="U175" i="4"/>
  <c r="N39" i="4"/>
  <c r="P66" i="4"/>
  <c r="M67" i="4"/>
  <c r="J68" i="4"/>
  <c r="G69" i="4"/>
  <c r="H44" i="4"/>
  <c r="H70" i="4" s="1"/>
  <c r="N72" i="4"/>
  <c r="K73" i="4"/>
  <c r="K48" i="4"/>
  <c r="K74" i="4" s="1"/>
  <c r="H74" i="4"/>
  <c r="T66" i="4"/>
  <c r="O75" i="4"/>
  <c r="M120" i="4"/>
  <c r="O124" i="4"/>
  <c r="L125" i="4"/>
  <c r="I126" i="4"/>
  <c r="F100" i="4"/>
  <c r="G125" i="4"/>
  <c r="R126" i="4"/>
  <c r="F167" i="4"/>
  <c r="V167" i="4"/>
  <c r="S168" i="4"/>
  <c r="P169" i="4"/>
  <c r="M170" i="4"/>
  <c r="F172" i="4"/>
  <c r="F143" i="4"/>
  <c r="F171" i="4" s="1"/>
  <c r="N143" i="4"/>
  <c r="N171" i="4" s="1"/>
  <c r="N172" i="4"/>
  <c r="K172" i="4"/>
  <c r="N175" i="4"/>
  <c r="Q175" i="4"/>
  <c r="G152" i="4"/>
  <c r="U166" i="4"/>
  <c r="K28" i="5"/>
  <c r="K27" i="5"/>
  <c r="J27" i="5"/>
  <c r="J56" i="5" s="1"/>
  <c r="I67" i="5"/>
  <c r="I40" i="5"/>
  <c r="R45" i="5"/>
  <c r="R71" i="5" s="1"/>
  <c r="R72" i="5"/>
  <c r="S46" i="5"/>
  <c r="F49" i="5"/>
  <c r="F75" i="5" s="1"/>
  <c r="F76" i="5"/>
  <c r="V49" i="5"/>
  <c r="V75" i="5" s="1"/>
  <c r="V76" i="5"/>
  <c r="S49" i="5"/>
  <c r="S75" i="5" s="1"/>
  <c r="S77" i="5"/>
  <c r="E89" i="5"/>
  <c r="U89" i="5"/>
  <c r="O89" i="5"/>
  <c r="J121" i="5"/>
  <c r="J94" i="5"/>
  <c r="J120" i="5" s="1"/>
  <c r="Q94" i="5"/>
  <c r="Q120" i="5" s="1"/>
  <c r="N121" i="5"/>
  <c r="N94" i="5"/>
  <c r="N120" i="5" s="1"/>
  <c r="D124" i="5"/>
  <c r="T124" i="5"/>
  <c r="O104" i="5"/>
  <c r="H118" i="5"/>
  <c r="S122" i="5"/>
  <c r="E127" i="5"/>
  <c r="F139" i="5"/>
  <c r="V139" i="5"/>
  <c r="K144" i="5"/>
  <c r="K172" i="5" s="1"/>
  <c r="E176" i="5"/>
  <c r="U176" i="5"/>
  <c r="D155" i="5"/>
  <c r="O170" i="5"/>
  <c r="L116" i="6"/>
  <c r="L67" i="6"/>
  <c r="L14" i="6"/>
  <c r="I117" i="6"/>
  <c r="I68" i="6"/>
  <c r="I14" i="6"/>
  <c r="I115" i="6" s="1"/>
  <c r="F118" i="6"/>
  <c r="F69" i="6"/>
  <c r="V118" i="6"/>
  <c r="V69" i="6"/>
  <c r="S119" i="6"/>
  <c r="S70" i="6"/>
  <c r="O167" i="6"/>
  <c r="O152" i="6"/>
  <c r="R153" i="6"/>
  <c r="R152" i="6"/>
  <c r="R167" i="6"/>
  <c r="T113" i="7"/>
  <c r="K112" i="7"/>
  <c r="R13" i="3"/>
  <c r="R18" i="3" s="1"/>
  <c r="L15" i="3"/>
  <c r="L14" i="3" s="1"/>
  <c r="L19" i="3" s="1"/>
  <c r="M71" i="4"/>
  <c r="T72" i="4"/>
  <c r="P75" i="4"/>
  <c r="S87" i="4"/>
  <c r="P87" i="4"/>
  <c r="Q93" i="4"/>
  <c r="N120" i="4"/>
  <c r="Q123" i="4"/>
  <c r="P124" i="4"/>
  <c r="M125" i="4"/>
  <c r="J126" i="4"/>
  <c r="T120" i="4"/>
  <c r="G167" i="4"/>
  <c r="D168" i="4"/>
  <c r="T168" i="4"/>
  <c r="Q169" i="4"/>
  <c r="N170" i="4"/>
  <c r="G172" i="4"/>
  <c r="O173" i="4"/>
  <c r="L174" i="4"/>
  <c r="O175" i="4"/>
  <c r="Q27" i="5"/>
  <c r="D46" i="5"/>
  <c r="T46" i="5"/>
  <c r="S73" i="5"/>
  <c r="F89" i="5"/>
  <c r="V89" i="5"/>
  <c r="M115" i="5"/>
  <c r="K121" i="5"/>
  <c r="E124" i="5"/>
  <c r="U124" i="5"/>
  <c r="D105" i="5"/>
  <c r="O118" i="5"/>
  <c r="T122" i="5"/>
  <c r="M127" i="5"/>
  <c r="R173" i="5"/>
  <c r="R144" i="5"/>
  <c r="R172" i="5" s="1"/>
  <c r="S174" i="5"/>
  <c r="P175" i="5"/>
  <c r="M28" i="6"/>
  <c r="M27" i="6"/>
  <c r="Q66" i="6"/>
  <c r="E172" i="6"/>
  <c r="Q88" i="8"/>
  <c r="Q56" i="8"/>
  <c r="N96" i="9"/>
  <c r="E31" i="7"/>
  <c r="N129" i="9"/>
  <c r="T119" i="4"/>
  <c r="D121" i="4"/>
  <c r="Q170" i="4"/>
  <c r="D76" i="4"/>
  <c r="K123" i="4"/>
  <c r="R166" i="4"/>
  <c r="J143" i="4"/>
  <c r="J171" i="4" s="1"/>
  <c r="R53" i="5"/>
  <c r="R66" i="5"/>
  <c r="L152" i="5"/>
  <c r="L167" i="5"/>
  <c r="AC15" i="3"/>
  <c r="AC14" i="3" s="1"/>
  <c r="AC19" i="3" s="1"/>
  <c r="K13" i="4"/>
  <c r="K26" i="4" s="1"/>
  <c r="P22" i="4"/>
  <c r="P74" i="4" s="1"/>
  <c r="R66" i="4"/>
  <c r="O67" i="4"/>
  <c r="L68" i="4"/>
  <c r="I69" i="4"/>
  <c r="N71" i="4"/>
  <c r="P72" i="4"/>
  <c r="M73" i="4"/>
  <c r="M48" i="4"/>
  <c r="J74" i="4"/>
  <c r="V66" i="4"/>
  <c r="R123" i="4"/>
  <c r="Q124" i="4"/>
  <c r="V114" i="4"/>
  <c r="D138" i="4"/>
  <c r="H167" i="4"/>
  <c r="E168" i="4"/>
  <c r="U168" i="4"/>
  <c r="R169" i="4"/>
  <c r="O170" i="4"/>
  <c r="H172" i="4"/>
  <c r="P144" i="4"/>
  <c r="M143" i="4"/>
  <c r="M171" i="4" s="1"/>
  <c r="M172" i="4"/>
  <c r="V175" i="4"/>
  <c r="S147" i="4"/>
  <c r="S175" i="4" s="1"/>
  <c r="S176" i="4"/>
  <c r="P147" i="4"/>
  <c r="P175" i="4" s="1"/>
  <c r="P177" i="4"/>
  <c r="H176" i="4"/>
  <c r="P14" i="5"/>
  <c r="P66" i="5" s="1"/>
  <c r="M14" i="5"/>
  <c r="E75" i="5"/>
  <c r="U75" i="5"/>
  <c r="T73" i="5"/>
  <c r="M78" i="5"/>
  <c r="R94" i="5"/>
  <c r="R120" i="5" s="1"/>
  <c r="R121" i="5"/>
  <c r="S95" i="5"/>
  <c r="P118" i="5"/>
  <c r="H168" i="5"/>
  <c r="H139" i="5"/>
  <c r="D145" i="5"/>
  <c r="T145" i="5"/>
  <c r="J148" i="5"/>
  <c r="J176" i="5" s="1"/>
  <c r="G178" i="5"/>
  <c r="D179" i="5"/>
  <c r="U102" i="6"/>
  <c r="U115" i="6"/>
  <c r="R116" i="6"/>
  <c r="R89" i="6"/>
  <c r="L89" i="6"/>
  <c r="L118" i="6"/>
  <c r="Q51" i="7"/>
  <c r="E175" i="4"/>
  <c r="S66" i="4"/>
  <c r="P67" i="4"/>
  <c r="M68" i="4"/>
  <c r="J69" i="4"/>
  <c r="Q72" i="4"/>
  <c r="N73" i="4"/>
  <c r="Q48" i="4"/>
  <c r="Q74" i="4" s="1"/>
  <c r="N48" i="4"/>
  <c r="E52" i="4"/>
  <c r="V72" i="4"/>
  <c r="U78" i="4"/>
  <c r="U81" i="4" s="1"/>
  <c r="E87" i="4"/>
  <c r="U87" i="4"/>
  <c r="R87" i="4"/>
  <c r="O87" i="4"/>
  <c r="S93" i="4"/>
  <c r="P92" i="4"/>
  <c r="P120" i="4"/>
  <c r="S123" i="4"/>
  <c r="R124" i="4"/>
  <c r="O125" i="4"/>
  <c r="E138" i="4"/>
  <c r="I167" i="4"/>
  <c r="F168" i="4"/>
  <c r="V168" i="4"/>
  <c r="S169" i="4"/>
  <c r="P170" i="4"/>
  <c r="O143" i="4"/>
  <c r="O171" i="4" s="1"/>
  <c r="O172" i="4"/>
  <c r="Q144" i="4"/>
  <c r="R167" i="4"/>
  <c r="H27" i="5"/>
  <c r="L20" i="5"/>
  <c r="L19" i="5" s="1"/>
  <c r="L28" i="5" s="1"/>
  <c r="L174" i="5"/>
  <c r="I20" i="5"/>
  <c r="I19" i="5" s="1"/>
  <c r="I28" i="5" s="1"/>
  <c r="I175" i="5"/>
  <c r="F73" i="5"/>
  <c r="F46" i="5"/>
  <c r="V73" i="5"/>
  <c r="V46" i="5"/>
  <c r="I74" i="5"/>
  <c r="H116" i="5"/>
  <c r="H89" i="5"/>
  <c r="D95" i="5"/>
  <c r="T95" i="5"/>
  <c r="J98" i="5"/>
  <c r="J124" i="5" s="1"/>
  <c r="I168" i="5"/>
  <c r="I139" i="5"/>
  <c r="K148" i="5"/>
  <c r="K176" i="5" s="1"/>
  <c r="O104" i="6"/>
  <c r="O55" i="6"/>
  <c r="O154" i="6"/>
  <c r="F175" i="6"/>
  <c r="F20" i="6"/>
  <c r="F19" i="6" s="1"/>
  <c r="F19" i="7"/>
  <c r="O84" i="8"/>
  <c r="E60" i="8"/>
  <c r="N60" i="8" s="1"/>
  <c r="N65" i="8"/>
  <c r="E65" i="7"/>
  <c r="N65" i="7" s="1"/>
  <c r="L167" i="4"/>
  <c r="J173" i="4"/>
  <c r="Q176" i="4"/>
  <c r="R14" i="5"/>
  <c r="P20" i="5"/>
  <c r="G23" i="5"/>
  <c r="G19" i="5" s="1"/>
  <c r="G28" i="5" s="1"/>
  <c r="S145" i="5"/>
  <c r="O168" i="5"/>
  <c r="L177" i="5"/>
  <c r="V20" i="6"/>
  <c r="V19" i="6" s="1"/>
  <c r="O23" i="6"/>
  <c r="O19" i="6" s="1"/>
  <c r="O71" i="6" s="1"/>
  <c r="D27" i="6"/>
  <c r="E73" i="6"/>
  <c r="U73" i="6"/>
  <c r="R74" i="6"/>
  <c r="O78" i="6"/>
  <c r="V102" i="6"/>
  <c r="S116" i="6"/>
  <c r="S89" i="6"/>
  <c r="K94" i="6"/>
  <c r="K121" i="6"/>
  <c r="P124" i="6"/>
  <c r="M126" i="6"/>
  <c r="J127" i="6"/>
  <c r="I125" i="6"/>
  <c r="K168" i="6"/>
  <c r="H169" i="6"/>
  <c r="E170" i="6"/>
  <c r="U170" i="6"/>
  <c r="R171" i="6"/>
  <c r="E174" i="6"/>
  <c r="U174" i="6"/>
  <c r="R175" i="6"/>
  <c r="E23" i="7"/>
  <c r="N122" i="7"/>
  <c r="Q49" i="7"/>
  <c r="Q58" i="7"/>
  <c r="S89" i="7"/>
  <c r="J88" i="7"/>
  <c r="Q127" i="7"/>
  <c r="Q83" i="8"/>
  <c r="Q116" i="8"/>
  <c r="Q51" i="8"/>
  <c r="K27" i="8"/>
  <c r="O90" i="8"/>
  <c r="F90" i="7"/>
  <c r="D33" i="9"/>
  <c r="T86" i="9"/>
  <c r="O126" i="4"/>
  <c r="S14" i="5"/>
  <c r="S66" i="5" s="1"/>
  <c r="Q20" i="5"/>
  <c r="Q19" i="5" s="1"/>
  <c r="Q28" i="5" s="1"/>
  <c r="H23" i="5"/>
  <c r="H124" i="5" s="1"/>
  <c r="P67" i="5"/>
  <c r="M68" i="5"/>
  <c r="J69" i="5"/>
  <c r="G70" i="5"/>
  <c r="N73" i="5"/>
  <c r="K74" i="5"/>
  <c r="E76" i="5"/>
  <c r="U76" i="5"/>
  <c r="R77" i="5"/>
  <c r="O78" i="5"/>
  <c r="P116" i="5"/>
  <c r="M117" i="5"/>
  <c r="N122" i="5"/>
  <c r="K123" i="5"/>
  <c r="E125" i="5"/>
  <c r="U125" i="5"/>
  <c r="R126" i="5"/>
  <c r="P168" i="5"/>
  <c r="P14" i="6"/>
  <c r="D122" i="6"/>
  <c r="D73" i="6"/>
  <c r="D20" i="6"/>
  <c r="D19" i="6" s="1"/>
  <c r="D28" i="6" s="1"/>
  <c r="T122" i="6"/>
  <c r="T73" i="6"/>
  <c r="T20" i="6"/>
  <c r="T19" i="6" s="1"/>
  <c r="Q74" i="6"/>
  <c r="Q123" i="6"/>
  <c r="H40" i="6"/>
  <c r="I40" i="6"/>
  <c r="I67" i="6"/>
  <c r="F46" i="6"/>
  <c r="V46" i="6"/>
  <c r="D116" i="6"/>
  <c r="D89" i="6"/>
  <c r="T116" i="6"/>
  <c r="T89" i="6"/>
  <c r="I123" i="6"/>
  <c r="L124" i="6"/>
  <c r="Q125" i="6"/>
  <c r="K127" i="6"/>
  <c r="P125" i="6"/>
  <c r="L152" i="6"/>
  <c r="L167" i="6"/>
  <c r="I169" i="6"/>
  <c r="F170" i="6"/>
  <c r="V170" i="6"/>
  <c r="S171" i="6"/>
  <c r="F145" i="6"/>
  <c r="F174" i="6"/>
  <c r="V145" i="6"/>
  <c r="V174" i="6"/>
  <c r="S175" i="6"/>
  <c r="G171" i="6"/>
  <c r="I14" i="7"/>
  <c r="H23" i="7"/>
  <c r="Q56" i="7" s="1"/>
  <c r="R49" i="7"/>
  <c r="G120" i="7"/>
  <c r="K22" i="8"/>
  <c r="N57" i="8"/>
  <c r="E57" i="7"/>
  <c r="E56" i="8"/>
  <c r="P63" i="8"/>
  <c r="G63" i="7"/>
  <c r="P63" i="7" s="1"/>
  <c r="D22" i="9"/>
  <c r="D34" i="9" s="1"/>
  <c r="R144" i="4"/>
  <c r="G40" i="5"/>
  <c r="H45" i="5"/>
  <c r="E46" i="5"/>
  <c r="U46" i="5"/>
  <c r="L49" i="5"/>
  <c r="L75" i="5" s="1"/>
  <c r="G89" i="5"/>
  <c r="E95" i="5"/>
  <c r="U95" i="5"/>
  <c r="L98" i="5"/>
  <c r="L124" i="5" s="1"/>
  <c r="G139" i="5"/>
  <c r="E145" i="5"/>
  <c r="U145" i="5"/>
  <c r="J171" i="5"/>
  <c r="K173" i="5"/>
  <c r="M175" i="5"/>
  <c r="I127" i="6"/>
  <c r="I78" i="6"/>
  <c r="K40" i="6"/>
  <c r="G46" i="6"/>
  <c r="G73" i="6"/>
  <c r="T66" i="6"/>
  <c r="E116" i="6"/>
  <c r="U116" i="6"/>
  <c r="R117" i="6"/>
  <c r="O118" i="6"/>
  <c r="L119" i="6"/>
  <c r="M121" i="6"/>
  <c r="Q124" i="6"/>
  <c r="M168" i="6"/>
  <c r="M139" i="6"/>
  <c r="J169" i="6"/>
  <c r="G170" i="6"/>
  <c r="D171" i="6"/>
  <c r="D139" i="6"/>
  <c r="T171" i="6"/>
  <c r="G144" i="6"/>
  <c r="G172" i="6" s="1"/>
  <c r="G173" i="6"/>
  <c r="J177" i="6"/>
  <c r="G178" i="6"/>
  <c r="D179" i="6"/>
  <c r="I22" i="7"/>
  <c r="P57" i="7"/>
  <c r="S86" i="7"/>
  <c r="R121" i="7"/>
  <c r="I120" i="7"/>
  <c r="R120" i="7" s="1"/>
  <c r="S83" i="9"/>
  <c r="J83" i="7"/>
  <c r="N85" i="9"/>
  <c r="E85" i="7"/>
  <c r="N85" i="7" s="1"/>
  <c r="R67" i="5"/>
  <c r="O68" i="5"/>
  <c r="L69" i="5"/>
  <c r="I70" i="5"/>
  <c r="P73" i="5"/>
  <c r="M74" i="5"/>
  <c r="G76" i="5"/>
  <c r="D77" i="5"/>
  <c r="T77" i="5"/>
  <c r="Q78" i="5"/>
  <c r="R116" i="5"/>
  <c r="O117" i="5"/>
  <c r="L118" i="5"/>
  <c r="P122" i="5"/>
  <c r="M123" i="5"/>
  <c r="D126" i="5"/>
  <c r="T126" i="5"/>
  <c r="Q127" i="5"/>
  <c r="O169" i="5"/>
  <c r="L170" i="5"/>
  <c r="N175" i="5"/>
  <c r="O177" i="5"/>
  <c r="E121" i="6"/>
  <c r="E94" i="6"/>
  <c r="E120" i="6" s="1"/>
  <c r="N95" i="6"/>
  <c r="S124" i="6"/>
  <c r="S125" i="6"/>
  <c r="P126" i="6"/>
  <c r="G119" i="6"/>
  <c r="N122" i="6"/>
  <c r="N168" i="6"/>
  <c r="H170" i="6"/>
  <c r="E171" i="6"/>
  <c r="U171" i="6"/>
  <c r="U144" i="6"/>
  <c r="U173" i="6"/>
  <c r="H178" i="6"/>
  <c r="E179" i="6"/>
  <c r="U179" i="6"/>
  <c r="O171" i="6"/>
  <c r="K66" i="7"/>
  <c r="O83" i="7"/>
  <c r="T85" i="8"/>
  <c r="N115" i="9"/>
  <c r="N50" i="9"/>
  <c r="E17" i="7"/>
  <c r="H99" i="9"/>
  <c r="H98" i="9"/>
  <c r="Q79" i="9"/>
  <c r="N79" i="9"/>
  <c r="E98" i="9"/>
  <c r="O128" i="9"/>
  <c r="F128" i="7"/>
  <c r="S67" i="5"/>
  <c r="P68" i="5"/>
  <c r="M69" i="5"/>
  <c r="J70" i="5"/>
  <c r="Q73" i="5"/>
  <c r="N74" i="5"/>
  <c r="H76" i="5"/>
  <c r="E77" i="5"/>
  <c r="U77" i="5"/>
  <c r="R78" i="5"/>
  <c r="S116" i="5"/>
  <c r="P117" i="5"/>
  <c r="M118" i="5"/>
  <c r="J119" i="5"/>
  <c r="R127" i="5"/>
  <c r="P170" i="5"/>
  <c r="M171" i="5"/>
  <c r="D174" i="5"/>
  <c r="T174" i="5"/>
  <c r="Q175" i="5"/>
  <c r="K177" i="5"/>
  <c r="H178" i="5"/>
  <c r="E179" i="5"/>
  <c r="U179" i="5"/>
  <c r="Q76" i="6"/>
  <c r="Q23" i="6"/>
  <c r="Q176" i="6" s="1"/>
  <c r="D72" i="6"/>
  <c r="I73" i="6"/>
  <c r="F74" i="6"/>
  <c r="V74" i="6"/>
  <c r="L76" i="6"/>
  <c r="I77" i="6"/>
  <c r="E76" i="6"/>
  <c r="G116" i="6"/>
  <c r="D117" i="6"/>
  <c r="T117" i="6"/>
  <c r="Q118" i="6"/>
  <c r="N119" i="6"/>
  <c r="J94" i="6"/>
  <c r="J120" i="6" s="1"/>
  <c r="O95" i="6"/>
  <c r="D125" i="6"/>
  <c r="T125" i="6"/>
  <c r="Q126" i="6"/>
  <c r="N127" i="6"/>
  <c r="O122" i="6"/>
  <c r="O168" i="6"/>
  <c r="L169" i="6"/>
  <c r="F171" i="6"/>
  <c r="V171" i="6"/>
  <c r="I144" i="6"/>
  <c r="I172" i="6" s="1"/>
  <c r="I173" i="6"/>
  <c r="L176" i="6"/>
  <c r="I178" i="6"/>
  <c r="P62" i="7"/>
  <c r="R114" i="7"/>
  <c r="I112" i="7"/>
  <c r="O80" i="8"/>
  <c r="O113" i="8"/>
  <c r="F15" i="7"/>
  <c r="F14" i="8"/>
  <c r="O96" i="8"/>
  <c r="O129" i="8"/>
  <c r="F31" i="7"/>
  <c r="O96" i="7" s="1"/>
  <c r="T47" i="8"/>
  <c r="K66" i="8"/>
  <c r="J87" i="8"/>
  <c r="S87" i="8" s="1"/>
  <c r="S88" i="8"/>
  <c r="K27" i="9"/>
  <c r="H143" i="4"/>
  <c r="H171" i="4" s="1"/>
  <c r="E144" i="4"/>
  <c r="U144" i="4"/>
  <c r="L147" i="4"/>
  <c r="L175" i="4" s="1"/>
  <c r="J89" i="5"/>
  <c r="K94" i="5"/>
  <c r="K120" i="5" s="1"/>
  <c r="H95" i="5"/>
  <c r="O98" i="5"/>
  <c r="O124" i="5" s="1"/>
  <c r="J139" i="5"/>
  <c r="E175" i="6"/>
  <c r="E74" i="6"/>
  <c r="U23" i="6"/>
  <c r="U19" i="6" s="1"/>
  <c r="U28" i="6" s="1"/>
  <c r="M40" i="6"/>
  <c r="M67" i="6"/>
  <c r="J40" i="6"/>
  <c r="J68" i="6"/>
  <c r="G69" i="6"/>
  <c r="D70" i="6"/>
  <c r="T70" i="6"/>
  <c r="E72" i="6"/>
  <c r="M75" i="6"/>
  <c r="H102" i="6"/>
  <c r="L94" i="6"/>
  <c r="L120" i="6" s="1"/>
  <c r="L121" i="6"/>
  <c r="P122" i="6"/>
  <c r="P95" i="6"/>
  <c r="E125" i="6"/>
  <c r="U125" i="6"/>
  <c r="R126" i="6"/>
  <c r="O127" i="6"/>
  <c r="N126" i="6"/>
  <c r="G139" i="6"/>
  <c r="J174" i="6"/>
  <c r="M177" i="6"/>
  <c r="J178" i="6"/>
  <c r="G179" i="6"/>
  <c r="I79" i="7"/>
  <c r="P90" i="7"/>
  <c r="G88" i="7"/>
  <c r="R125" i="7"/>
  <c r="F27" i="8"/>
  <c r="O125" i="8" s="1"/>
  <c r="S52" i="8"/>
  <c r="J52" i="7"/>
  <c r="S52" i="7" s="1"/>
  <c r="D131" i="8"/>
  <c r="M112" i="8"/>
  <c r="J66" i="5"/>
  <c r="M139" i="5"/>
  <c r="S53" i="6"/>
  <c r="L72" i="6"/>
  <c r="M72" i="6"/>
  <c r="K75" i="6"/>
  <c r="P49" i="6"/>
  <c r="P75" i="6" s="1"/>
  <c r="P76" i="6"/>
  <c r="M77" i="6"/>
  <c r="J78" i="6"/>
  <c r="U70" i="6"/>
  <c r="U76" i="6"/>
  <c r="K89" i="6"/>
  <c r="K116" i="6"/>
  <c r="H117" i="6"/>
  <c r="E118" i="6"/>
  <c r="U118" i="6"/>
  <c r="R119" i="6"/>
  <c r="U121" i="6"/>
  <c r="S122" i="6"/>
  <c r="P123" i="6"/>
  <c r="H124" i="6"/>
  <c r="E127" i="6"/>
  <c r="P167" i="6"/>
  <c r="P152" i="6"/>
  <c r="S172" i="6"/>
  <c r="M174" i="6"/>
  <c r="M145" i="6"/>
  <c r="J175" i="6"/>
  <c r="J176" i="6"/>
  <c r="P176" i="6"/>
  <c r="M176" i="6"/>
  <c r="L168" i="6"/>
  <c r="V177" i="6"/>
  <c r="J14" i="7"/>
  <c r="J47" i="17" s="1"/>
  <c r="S119" i="7"/>
  <c r="R92" i="7"/>
  <c r="O64" i="8"/>
  <c r="O59" i="9"/>
  <c r="F59" i="7"/>
  <c r="M66" i="9"/>
  <c r="D178" i="5"/>
  <c r="F116" i="6"/>
  <c r="F67" i="6"/>
  <c r="F14" i="6"/>
  <c r="V116" i="6"/>
  <c r="V67" i="6"/>
  <c r="V14" i="6"/>
  <c r="V115" i="6" s="1"/>
  <c r="S117" i="6"/>
  <c r="S68" i="6"/>
  <c r="P118" i="6"/>
  <c r="P69" i="6"/>
  <c r="M119" i="6"/>
  <c r="M70" i="6"/>
  <c r="M171" i="6"/>
  <c r="M19" i="6"/>
  <c r="L122" i="6"/>
  <c r="L73" i="6"/>
  <c r="N45" i="6"/>
  <c r="N71" i="6" s="1"/>
  <c r="N72" i="6"/>
  <c r="L75" i="6"/>
  <c r="O176" i="6"/>
  <c r="Q177" i="6"/>
  <c r="N178" i="6"/>
  <c r="K179" i="6"/>
  <c r="H14" i="7"/>
  <c r="T86" i="7"/>
  <c r="R60" i="7"/>
  <c r="F79" i="7"/>
  <c r="T61" i="9"/>
  <c r="K60" i="9"/>
  <c r="T119" i="9"/>
  <c r="D148" i="5"/>
  <c r="D176" i="5" s="1"/>
  <c r="E178" i="5"/>
  <c r="H14" i="6"/>
  <c r="H115" i="6" s="1"/>
  <c r="G14" i="6"/>
  <c r="G66" i="6" s="1"/>
  <c r="T28" i="6"/>
  <c r="U40" i="6"/>
  <c r="R67" i="6"/>
  <c r="O68" i="6"/>
  <c r="L69" i="6"/>
  <c r="I70" i="6"/>
  <c r="Q75" i="6"/>
  <c r="R75" i="6"/>
  <c r="O75" i="6"/>
  <c r="L78" i="6"/>
  <c r="V73" i="6"/>
  <c r="J77" i="6"/>
  <c r="M89" i="6"/>
  <c r="J89" i="6"/>
  <c r="G118" i="6"/>
  <c r="D119" i="6"/>
  <c r="T119" i="6"/>
  <c r="E122" i="6"/>
  <c r="U122" i="6"/>
  <c r="R123" i="6"/>
  <c r="J125" i="6"/>
  <c r="T127" i="6"/>
  <c r="E139" i="6"/>
  <c r="E168" i="6"/>
  <c r="U139" i="6"/>
  <c r="O170" i="6"/>
  <c r="L171" i="6"/>
  <c r="H173" i="6"/>
  <c r="O174" i="6"/>
  <c r="L175" i="6"/>
  <c r="R176" i="6"/>
  <c r="U168" i="6"/>
  <c r="S60" i="7"/>
  <c r="P47" i="8"/>
  <c r="G66" i="8"/>
  <c r="V40" i="6"/>
  <c r="P73" i="6"/>
  <c r="P46" i="6"/>
  <c r="M74" i="6"/>
  <c r="S49" i="6"/>
  <c r="S75" i="6" s="1"/>
  <c r="J74" i="6"/>
  <c r="E89" i="6"/>
  <c r="F95" i="6"/>
  <c r="V95" i="6"/>
  <c r="S123" i="6"/>
  <c r="M117" i="6"/>
  <c r="U127" i="6"/>
  <c r="F168" i="6"/>
  <c r="V168" i="6"/>
  <c r="N144" i="6"/>
  <c r="N172" i="6" s="1"/>
  <c r="P174" i="6"/>
  <c r="M175" i="6"/>
  <c r="S176" i="6"/>
  <c r="P178" i="6"/>
  <c r="M179" i="6"/>
  <c r="H174" i="6"/>
  <c r="J23" i="7"/>
  <c r="S123" i="7"/>
  <c r="K47" i="23"/>
  <c r="H55" i="7"/>
  <c r="Q80" i="7"/>
  <c r="H79" i="7"/>
  <c r="O82" i="7"/>
  <c r="T84" i="8"/>
  <c r="K79" i="8"/>
  <c r="T54" i="9"/>
  <c r="M56" i="9"/>
  <c r="G177" i="5"/>
  <c r="J14" i="6"/>
  <c r="S72" i="6"/>
  <c r="D49" i="6"/>
  <c r="D75" i="6" s="1"/>
  <c r="T49" i="6"/>
  <c r="R77" i="6"/>
  <c r="F102" i="6"/>
  <c r="F115" i="6"/>
  <c r="O89" i="6"/>
  <c r="G121" i="6"/>
  <c r="L125" i="6"/>
  <c r="I126" i="6"/>
  <c r="G168" i="6"/>
  <c r="D169" i="6"/>
  <c r="T139" i="6"/>
  <c r="O145" i="6"/>
  <c r="D148" i="6"/>
  <c r="D176" i="6" s="1"/>
  <c r="T148" i="6"/>
  <c r="T176" i="6" s="1"/>
  <c r="Q178" i="6"/>
  <c r="N179" i="6"/>
  <c r="P82" i="7"/>
  <c r="G79" i="7"/>
  <c r="O84" i="7"/>
  <c r="E83" i="7"/>
  <c r="N83" i="8"/>
  <c r="N56" i="9"/>
  <c r="E55" i="9"/>
  <c r="H177" i="5"/>
  <c r="K14" i="6"/>
  <c r="Q20" i="6"/>
  <c r="D40" i="6"/>
  <c r="E67" i="6"/>
  <c r="U67" i="6"/>
  <c r="R68" i="6"/>
  <c r="O69" i="6"/>
  <c r="L70" i="6"/>
  <c r="L45" i="6"/>
  <c r="L71" i="6" s="1"/>
  <c r="T72" i="6"/>
  <c r="E49" i="6"/>
  <c r="U49" i="6"/>
  <c r="G115" i="6"/>
  <c r="P89" i="6"/>
  <c r="H122" i="6"/>
  <c r="E123" i="6"/>
  <c r="U123" i="6"/>
  <c r="M125" i="6"/>
  <c r="J126" i="6"/>
  <c r="G127" i="6"/>
  <c r="G102" i="6"/>
  <c r="H168" i="6"/>
  <c r="E169" i="6"/>
  <c r="U169" i="6"/>
  <c r="R170" i="6"/>
  <c r="P173" i="6"/>
  <c r="P144" i="6"/>
  <c r="P172" i="6" s="1"/>
  <c r="S169" i="6"/>
  <c r="N118" i="7"/>
  <c r="M56" i="7"/>
  <c r="T90" i="7"/>
  <c r="P14" i="8"/>
  <c r="S51" i="8"/>
  <c r="J51" i="7"/>
  <c r="O56" i="8"/>
  <c r="Q81" i="8"/>
  <c r="H81" i="7"/>
  <c r="Q81" i="7" s="1"/>
  <c r="H79" i="8"/>
  <c r="N94" i="8"/>
  <c r="E94" i="7"/>
  <c r="N94" i="7" s="1"/>
  <c r="E92" i="8"/>
  <c r="N92" i="8" s="1"/>
  <c r="D32" i="7"/>
  <c r="M97" i="9"/>
  <c r="G171" i="5"/>
  <c r="N174" i="5"/>
  <c r="K175" i="5"/>
  <c r="E177" i="5"/>
  <c r="U177" i="5"/>
  <c r="R178" i="5"/>
  <c r="O179" i="5"/>
  <c r="K76" i="6"/>
  <c r="K23" i="6"/>
  <c r="K19" i="6" s="1"/>
  <c r="H77" i="6"/>
  <c r="H126" i="6"/>
  <c r="E40" i="6"/>
  <c r="M45" i="6"/>
  <c r="M71" i="6" s="1"/>
  <c r="U72" i="6"/>
  <c r="S73" i="6"/>
  <c r="P74" i="6"/>
  <c r="F49" i="6"/>
  <c r="F75" i="6" s="1"/>
  <c r="V49" i="6"/>
  <c r="V75" i="6" s="1"/>
  <c r="N89" i="6"/>
  <c r="Q89" i="6"/>
  <c r="I95" i="6"/>
  <c r="I122" i="6"/>
  <c r="F123" i="6"/>
  <c r="V123" i="6"/>
  <c r="I118" i="6"/>
  <c r="F152" i="6"/>
  <c r="R173" i="6"/>
  <c r="S173" i="6"/>
  <c r="F177" i="6"/>
  <c r="F148" i="6"/>
  <c r="F176" i="6" s="1"/>
  <c r="S178" i="6"/>
  <c r="P179" i="6"/>
  <c r="N91" i="7"/>
  <c r="Q61" i="7"/>
  <c r="H60" i="7"/>
  <c r="Q47" i="8"/>
  <c r="Q128" i="8"/>
  <c r="Q63" i="8"/>
  <c r="H30" i="7"/>
  <c r="Q95" i="7" s="1"/>
  <c r="N48" i="8"/>
  <c r="E48" i="7"/>
  <c r="E47" i="8"/>
  <c r="O122" i="8"/>
  <c r="F121" i="8"/>
  <c r="F122" i="7"/>
  <c r="N126" i="8"/>
  <c r="E126" i="7"/>
  <c r="E125" i="8"/>
  <c r="N125" i="8" s="1"/>
  <c r="T49" i="9"/>
  <c r="K47" i="9"/>
  <c r="P94" i="9"/>
  <c r="G92" i="9"/>
  <c r="G94" i="7"/>
  <c r="M96" i="9"/>
  <c r="D96" i="7"/>
  <c r="N76" i="6"/>
  <c r="D98" i="6"/>
  <c r="D124" i="6" s="1"/>
  <c r="T98" i="6"/>
  <c r="T124" i="6" s="1"/>
  <c r="I116" i="6"/>
  <c r="J121" i="6"/>
  <c r="G122" i="6"/>
  <c r="H139" i="6"/>
  <c r="S174" i="6"/>
  <c r="K27" i="7"/>
  <c r="I47" i="7"/>
  <c r="R56" i="7"/>
  <c r="R61" i="7"/>
  <c r="R80" i="7"/>
  <c r="S84" i="7"/>
  <c r="Q90" i="7"/>
  <c r="R97" i="7"/>
  <c r="T115" i="7"/>
  <c r="T118" i="7"/>
  <c r="R124" i="7"/>
  <c r="T126" i="7"/>
  <c r="R128" i="7"/>
  <c r="R16" i="8"/>
  <c r="P23" i="8"/>
  <c r="R24" i="8"/>
  <c r="R32" i="8"/>
  <c r="O49" i="8"/>
  <c r="T52" i="8"/>
  <c r="G56" i="8"/>
  <c r="N58" i="8"/>
  <c r="E58" i="7"/>
  <c r="N58" i="7" s="1"/>
  <c r="O65" i="8"/>
  <c r="O95" i="8"/>
  <c r="N121" i="8"/>
  <c r="E120" i="8"/>
  <c r="N120" i="8" s="1"/>
  <c r="O51" i="9"/>
  <c r="O83" i="9"/>
  <c r="R59" i="9"/>
  <c r="R124" i="9"/>
  <c r="R91" i="9"/>
  <c r="I23" i="9"/>
  <c r="M61" i="9"/>
  <c r="D60" i="9"/>
  <c r="M60" i="9" s="1"/>
  <c r="R84" i="9"/>
  <c r="N86" i="9"/>
  <c r="E86" i="7"/>
  <c r="N86" i="7" s="1"/>
  <c r="N114" i="9"/>
  <c r="E112" i="9"/>
  <c r="E114" i="7"/>
  <c r="M119" i="9"/>
  <c r="D119" i="7"/>
  <c r="H123" i="6"/>
  <c r="E98" i="6"/>
  <c r="E124" i="6" s="1"/>
  <c r="U98" i="6"/>
  <c r="U124" i="6" s="1"/>
  <c r="R125" i="6"/>
  <c r="O126" i="6"/>
  <c r="L127" i="6"/>
  <c r="I139" i="6"/>
  <c r="J145" i="6"/>
  <c r="E173" i="6"/>
  <c r="T174" i="6"/>
  <c r="M178" i="6"/>
  <c r="T51" i="7"/>
  <c r="S58" i="7"/>
  <c r="S61" i="7"/>
  <c r="S80" i="7"/>
  <c r="R90" i="7"/>
  <c r="Q93" i="7"/>
  <c r="S97" i="7"/>
  <c r="O117" i="7"/>
  <c r="T124" i="7"/>
  <c r="Q130" i="7"/>
  <c r="Q80" i="8"/>
  <c r="O85" i="8"/>
  <c r="F20" i="7"/>
  <c r="S26" i="8"/>
  <c r="O126" i="8"/>
  <c r="F28" i="7"/>
  <c r="Q96" i="8"/>
  <c r="R66" i="8"/>
  <c r="N51" i="8"/>
  <c r="E51" i="7"/>
  <c r="N51" i="7" s="1"/>
  <c r="O58" i="8"/>
  <c r="T61" i="8"/>
  <c r="T86" i="8"/>
  <c r="T88" i="8"/>
  <c r="K87" i="8"/>
  <c r="T87" i="8" s="1"/>
  <c r="I92" i="8"/>
  <c r="R93" i="8"/>
  <c r="S115" i="8"/>
  <c r="J115" i="7"/>
  <c r="S115" i="7" s="1"/>
  <c r="J112" i="8"/>
  <c r="O117" i="8"/>
  <c r="P121" i="8"/>
  <c r="O127" i="8"/>
  <c r="F127" i="7"/>
  <c r="O49" i="9"/>
  <c r="F49" i="7"/>
  <c r="G98" i="9"/>
  <c r="P79" i="9"/>
  <c r="F131" i="9"/>
  <c r="F98" i="6"/>
  <c r="F124" i="6" s="1"/>
  <c r="V98" i="6"/>
  <c r="V124" i="6" s="1"/>
  <c r="J139" i="6"/>
  <c r="D174" i="6"/>
  <c r="Q48" i="7"/>
  <c r="R52" i="7"/>
  <c r="T58" i="7"/>
  <c r="T61" i="7"/>
  <c r="Q63" i="7"/>
  <c r="Q83" i="7"/>
  <c r="S90" i="7"/>
  <c r="R93" i="7"/>
  <c r="T128" i="7"/>
  <c r="R130" i="7"/>
  <c r="N17" i="8"/>
  <c r="T83" i="8"/>
  <c r="R21" i="8"/>
  <c r="R29" i="8"/>
  <c r="J47" i="8"/>
  <c r="O51" i="8"/>
  <c r="T54" i="8"/>
  <c r="Q91" i="8"/>
  <c r="Q95" i="8"/>
  <c r="G131" i="8"/>
  <c r="P112" i="8"/>
  <c r="Q123" i="8"/>
  <c r="Q116" i="9"/>
  <c r="Q83" i="9"/>
  <c r="O57" i="9"/>
  <c r="F57" i="7"/>
  <c r="I79" i="9"/>
  <c r="N88" i="9"/>
  <c r="O119" i="9"/>
  <c r="F119" i="7"/>
  <c r="D125" i="9"/>
  <c r="K139" i="6"/>
  <c r="L145" i="6"/>
  <c r="U176" i="6"/>
  <c r="R177" i="6"/>
  <c r="O178" i="6"/>
  <c r="L179" i="6"/>
  <c r="P177" i="6"/>
  <c r="D60" i="7"/>
  <c r="R63" i="7"/>
  <c r="M65" i="7"/>
  <c r="R83" i="7"/>
  <c r="N84" i="7"/>
  <c r="P89" i="7"/>
  <c r="S93" i="7"/>
  <c r="Q96" i="7"/>
  <c r="Q117" i="7"/>
  <c r="O82" i="8"/>
  <c r="F17" i="7"/>
  <c r="O115" i="7" s="1"/>
  <c r="S23" i="8"/>
  <c r="O123" i="8"/>
  <c r="F25" i="7"/>
  <c r="O123" i="7" s="1"/>
  <c r="Q126" i="8"/>
  <c r="N53" i="8"/>
  <c r="E53" i="7"/>
  <c r="N53" i="7" s="1"/>
  <c r="J56" i="8"/>
  <c r="T63" i="8"/>
  <c r="O79" i="8"/>
  <c r="F98" i="8"/>
  <c r="T82" i="8"/>
  <c r="T89" i="8"/>
  <c r="T92" i="8"/>
  <c r="F131" i="8"/>
  <c r="Q117" i="8"/>
  <c r="R123" i="8"/>
  <c r="I121" i="8"/>
  <c r="O121" i="9"/>
  <c r="O88" i="9"/>
  <c r="F22" i="9"/>
  <c r="O97" i="9"/>
  <c r="S129" i="9"/>
  <c r="J129" i="7"/>
  <c r="S129" i="7" s="1"/>
  <c r="R198" i="10"/>
  <c r="R236" i="10"/>
  <c r="O236" i="10"/>
  <c r="O275" i="10" s="1"/>
  <c r="K73" i="6"/>
  <c r="H74" i="6"/>
  <c r="R76" i="6"/>
  <c r="O77" i="6"/>
  <c r="M116" i="6"/>
  <c r="J117" i="6"/>
  <c r="K122" i="6"/>
  <c r="K174" i="6"/>
  <c r="H175" i="6"/>
  <c r="E176" i="6"/>
  <c r="R168" i="6"/>
  <c r="U175" i="6"/>
  <c r="S50" i="7"/>
  <c r="S54" i="7"/>
  <c r="S63" i="7"/>
  <c r="Q86" i="7"/>
  <c r="Q89" i="7"/>
  <c r="R96" i="7"/>
  <c r="G112" i="7"/>
  <c r="R117" i="7"/>
  <c r="N128" i="7"/>
  <c r="T130" i="7"/>
  <c r="N14" i="8"/>
  <c r="P17" i="8"/>
  <c r="R18" i="8"/>
  <c r="N22" i="8"/>
  <c r="R26" i="8"/>
  <c r="O53" i="8"/>
  <c r="G60" i="8"/>
  <c r="P60" i="8" s="1"/>
  <c r="N62" i="8"/>
  <c r="E62" i="7"/>
  <c r="N62" i="7" s="1"/>
  <c r="Q93" i="8"/>
  <c r="N119" i="8"/>
  <c r="E119" i="7"/>
  <c r="N119" i="7" s="1"/>
  <c r="T125" i="8"/>
  <c r="I257" i="25"/>
  <c r="R130" i="8"/>
  <c r="N113" i="9"/>
  <c r="E14" i="9"/>
  <c r="Q53" i="9"/>
  <c r="Q118" i="9"/>
  <c r="N48" i="9"/>
  <c r="E47" i="9"/>
  <c r="R86" i="9"/>
  <c r="F125" i="9"/>
  <c r="O43" i="10"/>
  <c r="H213" i="11"/>
  <c r="N173" i="6"/>
  <c r="T50" i="7"/>
  <c r="T54" i="7"/>
  <c r="T63" i="7"/>
  <c r="R86" i="7"/>
  <c r="Q114" i="7"/>
  <c r="Q119" i="7"/>
  <c r="T121" i="7"/>
  <c r="S128" i="7"/>
  <c r="Q82" i="8"/>
  <c r="Q115" i="8"/>
  <c r="F30" i="7"/>
  <c r="K22" i="9"/>
  <c r="Q90" i="9"/>
  <c r="Q123" i="9"/>
  <c r="F66" i="9"/>
  <c r="O87" i="9"/>
  <c r="S114" i="9"/>
  <c r="J114" i="7"/>
  <c r="S114" i="7" s="1"/>
  <c r="K112" i="9"/>
  <c r="T117" i="9"/>
  <c r="D246" i="10"/>
  <c r="D236" i="10"/>
  <c r="T246" i="10"/>
  <c r="T236" i="10"/>
  <c r="T275" i="10" s="1"/>
  <c r="L254" i="10"/>
  <c r="L236" i="10"/>
  <c r="T169" i="6"/>
  <c r="S49" i="7"/>
  <c r="S53" i="7"/>
  <c r="K60" i="7"/>
  <c r="T60" i="7" s="1"/>
  <c r="Q62" i="7"/>
  <c r="S65" i="7"/>
  <c r="R82" i="7"/>
  <c r="J92" i="7"/>
  <c r="S92" i="7" s="1"/>
  <c r="Q116" i="7"/>
  <c r="T119" i="7"/>
  <c r="P19" i="8"/>
  <c r="R20" i="8"/>
  <c r="T90" i="8"/>
  <c r="R28" i="8"/>
  <c r="N50" i="8"/>
  <c r="E50" i="7"/>
  <c r="N50" i="7" s="1"/>
  <c r="O57" i="8"/>
  <c r="K60" i="8"/>
  <c r="T60" i="8" s="1"/>
  <c r="S81" i="8"/>
  <c r="J79" i="8"/>
  <c r="Q90" i="8"/>
  <c r="P94" i="8"/>
  <c r="G92" i="8"/>
  <c r="P92" i="8" s="1"/>
  <c r="Q122" i="8"/>
  <c r="H121" i="8"/>
  <c r="H122" i="7"/>
  <c r="Q129" i="8"/>
  <c r="H129" i="7"/>
  <c r="Q129" i="7" s="1"/>
  <c r="P115" i="9"/>
  <c r="G14" i="9"/>
  <c r="G17" i="7"/>
  <c r="D21" i="7"/>
  <c r="Q128" i="9"/>
  <c r="H128" i="7"/>
  <c r="M98" i="6"/>
  <c r="M124" i="6" s="1"/>
  <c r="Q139" i="6"/>
  <c r="K148" i="6"/>
  <c r="K176" i="6" s="1"/>
  <c r="H148" i="6"/>
  <c r="H176" i="6" s="1"/>
  <c r="T49" i="7"/>
  <c r="T53" i="7"/>
  <c r="Q54" i="7"/>
  <c r="R62" i="7"/>
  <c r="T65" i="7"/>
  <c r="S82" i="7"/>
  <c r="T83" i="7"/>
  <c r="Q85" i="7"/>
  <c r="H88" i="7"/>
  <c r="R95" i="7"/>
  <c r="R116" i="7"/>
  <c r="T123" i="7"/>
  <c r="T127" i="7"/>
  <c r="R129" i="7"/>
  <c r="J33" i="8"/>
  <c r="S33" i="8" s="1"/>
  <c r="S34" i="8"/>
  <c r="F16" i="7"/>
  <c r="O114" i="7" s="1"/>
  <c r="Q84" i="8"/>
  <c r="S22" i="8"/>
  <c r="F24" i="7"/>
  <c r="O89" i="7" s="1"/>
  <c r="H27" i="8"/>
  <c r="O97" i="8"/>
  <c r="F32" i="7"/>
  <c r="O50" i="8"/>
  <c r="T53" i="8"/>
  <c r="N59" i="8"/>
  <c r="E59" i="7"/>
  <c r="N59" i="7" s="1"/>
  <c r="E79" i="8"/>
  <c r="O114" i="8"/>
  <c r="M118" i="8"/>
  <c r="D118" i="7"/>
  <c r="M118" i="7" s="1"/>
  <c r="H125" i="8"/>
  <c r="Q125" i="8" s="1"/>
  <c r="E27" i="9"/>
  <c r="N125" i="9" s="1"/>
  <c r="J79" i="9"/>
  <c r="D112" i="9"/>
  <c r="T126" i="9"/>
  <c r="O130" i="9"/>
  <c r="N98" i="6"/>
  <c r="N124" i="6" s="1"/>
  <c r="Q145" i="6"/>
  <c r="V169" i="6"/>
  <c r="J56" i="7"/>
  <c r="S62" i="7"/>
  <c r="R85" i="7"/>
  <c r="I88" i="7"/>
  <c r="S95" i="7"/>
  <c r="T96" i="7"/>
  <c r="T129" i="7"/>
  <c r="K14" i="8"/>
  <c r="T112" i="8" s="1"/>
  <c r="P16" i="8"/>
  <c r="R17" i="8"/>
  <c r="N21" i="8"/>
  <c r="R25" i="8"/>
  <c r="P32" i="8"/>
  <c r="R34" i="8"/>
  <c r="N52" i="8"/>
  <c r="E52" i="7"/>
  <c r="N52" i="7" s="1"/>
  <c r="Q53" i="8"/>
  <c r="O59" i="8"/>
  <c r="T62" i="8"/>
  <c r="O81" i="8"/>
  <c r="Q92" i="8"/>
  <c r="Q113" i="8"/>
  <c r="H113" i="7"/>
  <c r="H112" i="8"/>
  <c r="K14" i="9"/>
  <c r="P117" i="9"/>
  <c r="P52" i="9"/>
  <c r="G19" i="7"/>
  <c r="P117" i="7" s="1"/>
  <c r="P89" i="9"/>
  <c r="P122" i="9"/>
  <c r="G24" i="7"/>
  <c r="G23" i="9"/>
  <c r="T80" i="9"/>
  <c r="K79" i="9"/>
  <c r="N124" i="9"/>
  <c r="E124" i="7"/>
  <c r="S126" i="9"/>
  <c r="H95" i="6"/>
  <c r="O98" i="6"/>
  <c r="O124" i="6" s="1"/>
  <c r="F169" i="6"/>
  <c r="H177" i="6"/>
  <c r="E27" i="7"/>
  <c r="T62" i="7"/>
  <c r="S85" i="7"/>
  <c r="T89" i="7"/>
  <c r="T116" i="7"/>
  <c r="O118" i="7"/>
  <c r="P122" i="7"/>
  <c r="N123" i="7"/>
  <c r="N127" i="7"/>
  <c r="F21" i="7"/>
  <c r="O86" i="7" s="1"/>
  <c r="S27" i="8"/>
  <c r="O94" i="8"/>
  <c r="F29" i="7"/>
  <c r="O52" i="8"/>
  <c r="N61" i="8"/>
  <c r="E61" i="7"/>
  <c r="P80" i="8"/>
  <c r="G79" i="8"/>
  <c r="G172" i="19" s="1"/>
  <c r="E88" i="8"/>
  <c r="E89" i="7"/>
  <c r="N89" i="8"/>
  <c r="I112" i="8"/>
  <c r="O118" i="8"/>
  <c r="O119" i="8"/>
  <c r="S126" i="8"/>
  <c r="J126" i="7"/>
  <c r="J125" i="8"/>
  <c r="S125" i="8" s="1"/>
  <c r="H23" i="9"/>
  <c r="Q51" i="9"/>
  <c r="H60" i="9"/>
  <c r="Q60" i="9" s="1"/>
  <c r="T87" i="9"/>
  <c r="M98" i="9"/>
  <c r="J120" i="9"/>
  <c r="S120" i="9" s="1"/>
  <c r="M127" i="9"/>
  <c r="D127" i="7"/>
  <c r="P49" i="7"/>
  <c r="S59" i="7"/>
  <c r="Q64" i="7"/>
  <c r="R81" i="7"/>
  <c r="Q91" i="7"/>
  <c r="Q94" i="7"/>
  <c r="O113" i="7"/>
  <c r="R122" i="7"/>
  <c r="O126" i="7"/>
  <c r="N18" i="8"/>
  <c r="P21" i="8"/>
  <c r="R22" i="8"/>
  <c r="R30" i="8"/>
  <c r="T48" i="8"/>
  <c r="N54" i="8"/>
  <c r="E54" i="7"/>
  <c r="N54" i="7" s="1"/>
  <c r="O61" i="8"/>
  <c r="T64" i="8"/>
  <c r="F88" i="8"/>
  <c r="T94" i="8"/>
  <c r="T116" i="8"/>
  <c r="D120" i="8"/>
  <c r="M120" i="8" s="1"/>
  <c r="P128" i="8"/>
  <c r="G125" i="8"/>
  <c r="P125" i="8" s="1"/>
  <c r="D16" i="7"/>
  <c r="M49" i="9"/>
  <c r="R52" i="9"/>
  <c r="D30" i="7"/>
  <c r="M95" i="9"/>
  <c r="D27" i="9"/>
  <c r="O62" i="9"/>
  <c r="F60" i="9"/>
  <c r="F62" i="7"/>
  <c r="N93" i="9"/>
  <c r="E92" i="9"/>
  <c r="E87" i="9" s="1"/>
  <c r="E93" i="7"/>
  <c r="S113" i="9"/>
  <c r="J112" i="9"/>
  <c r="J113" i="7"/>
  <c r="O116" i="9"/>
  <c r="M121" i="9"/>
  <c r="S139" i="6"/>
  <c r="D47" i="7"/>
  <c r="D89" i="17" s="1"/>
  <c r="S48" i="7"/>
  <c r="T52" i="7"/>
  <c r="T59" i="7"/>
  <c r="R64" i="7"/>
  <c r="S81" i="7"/>
  <c r="R91" i="7"/>
  <c r="R94" i="7"/>
  <c r="N95" i="7"/>
  <c r="N116" i="7"/>
  <c r="Q118" i="7"/>
  <c r="F18" i="7"/>
  <c r="O116" i="7" s="1"/>
  <c r="O124" i="8"/>
  <c r="F26" i="7"/>
  <c r="Q94" i="8"/>
  <c r="Q127" i="8"/>
  <c r="Q48" i="8"/>
  <c r="O54" i="8"/>
  <c r="T57" i="8"/>
  <c r="N63" i="8"/>
  <c r="E63" i="7"/>
  <c r="N63" i="7" s="1"/>
  <c r="Q64" i="8"/>
  <c r="R80" i="8"/>
  <c r="I79" i="8"/>
  <c r="G87" i="8"/>
  <c r="P87" i="8" s="1"/>
  <c r="P88" i="8"/>
  <c r="O115" i="8"/>
  <c r="Q118" i="8"/>
  <c r="Q124" i="8"/>
  <c r="H124" i="7"/>
  <c r="Q124" i="7" s="1"/>
  <c r="R54" i="9"/>
  <c r="K55" i="9"/>
  <c r="P60" i="9"/>
  <c r="G55" i="9"/>
  <c r="S88" i="9"/>
  <c r="J87" i="9"/>
  <c r="S87" i="9" s="1"/>
  <c r="N121" i="9"/>
  <c r="E120" i="9"/>
  <c r="F91" i="10"/>
  <c r="F82" i="10"/>
  <c r="V91" i="10"/>
  <c r="V82" i="10"/>
  <c r="V120" i="10" s="1"/>
  <c r="G96" i="10"/>
  <c r="G82" i="10"/>
  <c r="Q98" i="10"/>
  <c r="Q82" i="10"/>
  <c r="Q120" i="10" s="1"/>
  <c r="K296" i="11"/>
  <c r="R98" i="6"/>
  <c r="R124" i="6" s="1"/>
  <c r="Q174" i="6"/>
  <c r="K14" i="7"/>
  <c r="K23" i="7"/>
  <c r="T48" i="7"/>
  <c r="S64" i="7"/>
  <c r="T82" i="7"/>
  <c r="Q84" i="7"/>
  <c r="S91" i="7"/>
  <c r="S94" i="7"/>
  <c r="R113" i="7"/>
  <c r="Q115" i="7"/>
  <c r="R118" i="7"/>
  <c r="K120" i="7"/>
  <c r="T122" i="7"/>
  <c r="O124" i="7"/>
  <c r="Q126" i="7"/>
  <c r="N15" i="8"/>
  <c r="T81" i="8"/>
  <c r="P18" i="8"/>
  <c r="R19" i="8"/>
  <c r="R27" i="8"/>
  <c r="T97" i="8"/>
  <c r="O47" i="8"/>
  <c r="T50" i="8"/>
  <c r="Q57" i="8"/>
  <c r="O63" i="8"/>
  <c r="O93" i="8"/>
  <c r="F92" i="8"/>
  <c r="O92" i="8" s="1"/>
  <c r="O114" i="9"/>
  <c r="F14" i="9"/>
  <c r="O47" i="9" s="1"/>
  <c r="M47" i="9"/>
  <c r="P50" i="9"/>
  <c r="G47" i="9"/>
  <c r="O56" i="9"/>
  <c r="M65" i="9"/>
  <c r="O81" i="9"/>
  <c r="F79" i="9"/>
  <c r="P82" i="9"/>
  <c r="P84" i="9"/>
  <c r="Q85" i="9"/>
  <c r="P125" i="9"/>
  <c r="D98" i="7"/>
  <c r="S14" i="8"/>
  <c r="S15" i="8"/>
  <c r="S16" i="8"/>
  <c r="S17" i="8"/>
  <c r="S19" i="8"/>
  <c r="S21" i="8"/>
  <c r="S24" i="8"/>
  <c r="S29" i="8"/>
  <c r="S30" i="8"/>
  <c r="S31" i="8"/>
  <c r="S32" i="8"/>
  <c r="R47" i="8"/>
  <c r="M81" i="8"/>
  <c r="T115" i="8"/>
  <c r="R123" i="9"/>
  <c r="R58" i="9"/>
  <c r="N80" i="9"/>
  <c r="N123" i="9"/>
  <c r="H125" i="9"/>
  <c r="F43" i="10"/>
  <c r="F198" i="10" s="1"/>
  <c r="V43" i="10"/>
  <c r="N43" i="10"/>
  <c r="R91" i="10"/>
  <c r="O82" i="10"/>
  <c r="O120" i="10" s="1"/>
  <c r="L93" i="10"/>
  <c r="I94" i="10"/>
  <c r="F95" i="10"/>
  <c r="V95" i="10"/>
  <c r="S96" i="10"/>
  <c r="P97" i="10"/>
  <c r="M98" i="10"/>
  <c r="J99" i="10"/>
  <c r="G100" i="10"/>
  <c r="D101" i="10"/>
  <c r="T101" i="10"/>
  <c r="Q102" i="10"/>
  <c r="G170" i="10"/>
  <c r="T171" i="10"/>
  <c r="Q172" i="10"/>
  <c r="N173" i="10"/>
  <c r="H175" i="10"/>
  <c r="E176" i="10"/>
  <c r="O178" i="10"/>
  <c r="I180" i="10"/>
  <c r="E182" i="10"/>
  <c r="U182" i="10"/>
  <c r="R183" i="10"/>
  <c r="O184" i="10"/>
  <c r="L185" i="10"/>
  <c r="I186" i="10"/>
  <c r="F187" i="10"/>
  <c r="S188" i="10"/>
  <c r="P189" i="10"/>
  <c r="M190" i="10"/>
  <c r="J191" i="10"/>
  <c r="G192" i="10"/>
  <c r="D193" i="10"/>
  <c r="T193" i="10"/>
  <c r="S159" i="10"/>
  <c r="S198" i="10" s="1"/>
  <c r="J175" i="10"/>
  <c r="N236" i="10"/>
  <c r="D114" i="7"/>
  <c r="D115" i="7"/>
  <c r="M115" i="7" s="1"/>
  <c r="D130" i="7"/>
  <c r="M130" i="7" s="1"/>
  <c r="M80" i="8"/>
  <c r="O89" i="8"/>
  <c r="S93" i="8"/>
  <c r="T114" i="8"/>
  <c r="T130" i="8"/>
  <c r="S25" i="9"/>
  <c r="Q56" i="9"/>
  <c r="M79" i="9"/>
  <c r="O92" i="9"/>
  <c r="R93" i="9"/>
  <c r="R115" i="9"/>
  <c r="O123" i="9"/>
  <c r="M126" i="9"/>
  <c r="T127" i="9"/>
  <c r="P129" i="9"/>
  <c r="J43" i="10"/>
  <c r="S82" i="10"/>
  <c r="R102" i="10"/>
  <c r="K105" i="10"/>
  <c r="E107" i="10"/>
  <c r="O109" i="10"/>
  <c r="F112" i="10"/>
  <c r="S113" i="10"/>
  <c r="G117" i="10"/>
  <c r="Q119" i="10"/>
  <c r="E159" i="10"/>
  <c r="F182" i="10"/>
  <c r="O175" i="10"/>
  <c r="H182" i="10"/>
  <c r="D34" i="8"/>
  <c r="M99" i="8" s="1"/>
  <c r="P89" i="8"/>
  <c r="T93" i="8"/>
  <c r="T113" i="8"/>
  <c r="T129" i="8"/>
  <c r="S24" i="9"/>
  <c r="I55" i="9"/>
  <c r="N90" i="9"/>
  <c r="N91" i="9"/>
  <c r="T93" i="9"/>
  <c r="P123" i="9"/>
  <c r="N126" i="9"/>
  <c r="M128" i="9"/>
  <c r="Q129" i="9"/>
  <c r="H43" i="10"/>
  <c r="H120" i="10" s="1"/>
  <c r="D82" i="10"/>
  <c r="T82" i="10"/>
  <c r="L105" i="10"/>
  <c r="I106" i="10"/>
  <c r="F107" i="10"/>
  <c r="V107" i="10"/>
  <c r="S108" i="10"/>
  <c r="P109" i="10"/>
  <c r="M110" i="10"/>
  <c r="G112" i="10"/>
  <c r="D113" i="10"/>
  <c r="T113" i="10"/>
  <c r="Q114" i="10"/>
  <c r="N115" i="10"/>
  <c r="H117" i="10"/>
  <c r="E118" i="10"/>
  <c r="R119" i="10"/>
  <c r="L169" i="10"/>
  <c r="I170" i="10"/>
  <c r="V171" i="10"/>
  <c r="S172" i="10"/>
  <c r="P173" i="10"/>
  <c r="G176" i="10"/>
  <c r="T177" i="10"/>
  <c r="Q178" i="10"/>
  <c r="N179" i="10"/>
  <c r="K180" i="10"/>
  <c r="P236" i="10"/>
  <c r="P275" i="10" s="1"/>
  <c r="G250" i="10"/>
  <c r="E34" i="8"/>
  <c r="N19" i="8" s="1"/>
  <c r="D66" i="8"/>
  <c r="Q89" i="8"/>
  <c r="R90" i="8"/>
  <c r="M113" i="8"/>
  <c r="T128" i="8"/>
  <c r="S23" i="9"/>
  <c r="T56" i="9"/>
  <c r="R65" i="9"/>
  <c r="O82" i="9"/>
  <c r="M86" i="9"/>
  <c r="R114" i="9"/>
  <c r="Q117" i="9"/>
  <c r="K125" i="9"/>
  <c r="O126" i="9"/>
  <c r="L43" i="10"/>
  <c r="E105" i="10"/>
  <c r="E183" i="10"/>
  <c r="E260" i="10"/>
  <c r="U183" i="10"/>
  <c r="U105" i="10"/>
  <c r="U260" i="10"/>
  <c r="R184" i="10"/>
  <c r="R261" i="10"/>
  <c r="L186" i="10"/>
  <c r="L263" i="10"/>
  <c r="L108" i="10"/>
  <c r="E91" i="10"/>
  <c r="L176" i="10"/>
  <c r="G34" i="8"/>
  <c r="F66" i="8"/>
  <c r="N84" i="8"/>
  <c r="P86" i="8"/>
  <c r="P114" i="8"/>
  <c r="T126" i="8"/>
  <c r="M127" i="8"/>
  <c r="P130" i="8"/>
  <c r="S21" i="9"/>
  <c r="M85" i="9"/>
  <c r="R113" i="9"/>
  <c r="P128" i="9"/>
  <c r="G91" i="10"/>
  <c r="D92" i="10"/>
  <c r="T92" i="10"/>
  <c r="Q93" i="10"/>
  <c r="N94" i="10"/>
  <c r="K95" i="10"/>
  <c r="H96" i="10"/>
  <c r="E97" i="10"/>
  <c r="U97" i="10"/>
  <c r="R98" i="10"/>
  <c r="O99" i="10"/>
  <c r="L100" i="10"/>
  <c r="I101" i="10"/>
  <c r="O159" i="10"/>
  <c r="O198" i="10" s="1"/>
  <c r="D177" i="10"/>
  <c r="S236" i="10"/>
  <c r="P247" i="10"/>
  <c r="M248" i="10"/>
  <c r="J249" i="10"/>
  <c r="D251" i="10"/>
  <c r="T251" i="10"/>
  <c r="Q252" i="10"/>
  <c r="N253" i="10"/>
  <c r="K254" i="10"/>
  <c r="E256" i="10"/>
  <c r="U256" i="10"/>
  <c r="R257" i="10"/>
  <c r="O262" i="10"/>
  <c r="H99" i="11"/>
  <c r="K98" i="7"/>
  <c r="I67" i="8"/>
  <c r="R67" i="8" s="1"/>
  <c r="T124" i="8"/>
  <c r="M84" i="9"/>
  <c r="M89" i="9"/>
  <c r="D88" i="9"/>
  <c r="D92" i="9"/>
  <c r="M92" i="9" s="1"/>
  <c r="T116" i="9"/>
  <c r="P43" i="10"/>
  <c r="P198" i="10" s="1"/>
  <c r="I91" i="10"/>
  <c r="F92" i="10"/>
  <c r="V92" i="10"/>
  <c r="S93" i="10"/>
  <c r="P94" i="10"/>
  <c r="M95" i="10"/>
  <c r="J96" i="10"/>
  <c r="G97" i="10"/>
  <c r="D98" i="10"/>
  <c r="T98" i="10"/>
  <c r="Q99" i="10"/>
  <c r="N100" i="10"/>
  <c r="K101" i="10"/>
  <c r="H102" i="10"/>
  <c r="O107" i="10"/>
  <c r="Q159" i="10"/>
  <c r="N170" i="10"/>
  <c r="K171" i="10"/>
  <c r="H172" i="10"/>
  <c r="E173" i="10"/>
  <c r="U173" i="10"/>
  <c r="R174" i="10"/>
  <c r="I177" i="10"/>
  <c r="V178" i="10"/>
  <c r="S179" i="10"/>
  <c r="N81" i="8"/>
  <c r="P83" i="8"/>
  <c r="T123" i="8"/>
  <c r="M124" i="8"/>
  <c r="P127" i="8"/>
  <c r="N61" i="9"/>
  <c r="Q63" i="9"/>
  <c r="P80" i="9"/>
  <c r="R81" i="9"/>
  <c r="T82" i="9"/>
  <c r="N84" i="9"/>
  <c r="M113" i="9"/>
  <c r="O122" i="9"/>
  <c r="Q246" i="10"/>
  <c r="Q43" i="10"/>
  <c r="E104" i="10"/>
  <c r="U104" i="10"/>
  <c r="R105" i="10"/>
  <c r="L107" i="10"/>
  <c r="I108" i="10"/>
  <c r="F109" i="10"/>
  <c r="V109" i="10"/>
  <c r="S110" i="10"/>
  <c r="P111" i="10"/>
  <c r="M112" i="10"/>
  <c r="R169" i="10"/>
  <c r="L171" i="10"/>
  <c r="G195" i="10"/>
  <c r="D196" i="10"/>
  <c r="T196" i="10"/>
  <c r="Q197" i="10"/>
  <c r="F178" i="10"/>
  <c r="F98" i="11"/>
  <c r="F88" i="11"/>
  <c r="J265" i="11"/>
  <c r="J254" i="11"/>
  <c r="T122" i="8"/>
  <c r="O61" i="9"/>
  <c r="Q80" i="9"/>
  <c r="R97" i="9"/>
  <c r="T115" i="9"/>
  <c r="R119" i="9"/>
  <c r="P127" i="9"/>
  <c r="R43" i="10"/>
  <c r="K91" i="10"/>
  <c r="K82" i="10"/>
  <c r="G95" i="10"/>
  <c r="P170" i="10"/>
  <c r="M171" i="10"/>
  <c r="J172" i="10"/>
  <c r="D174" i="10"/>
  <c r="T174" i="10"/>
  <c r="Q175" i="10"/>
  <c r="N176" i="10"/>
  <c r="K177" i="10"/>
  <c r="H178" i="10"/>
  <c r="E179" i="10"/>
  <c r="U179" i="10"/>
  <c r="R180" i="10"/>
  <c r="N182" i="10"/>
  <c r="K183" i="10"/>
  <c r="H184" i="10"/>
  <c r="E185" i="10"/>
  <c r="U185" i="10"/>
  <c r="R186" i="10"/>
  <c r="O187" i="10"/>
  <c r="L188" i="10"/>
  <c r="I189" i="10"/>
  <c r="F190" i="10"/>
  <c r="V190" i="10"/>
  <c r="S191" i="10"/>
  <c r="P192" i="10"/>
  <c r="M193" i="10"/>
  <c r="H195" i="10"/>
  <c r="E196" i="10"/>
  <c r="U196" i="10"/>
  <c r="R197" i="10"/>
  <c r="H255" i="10"/>
  <c r="T121" i="8"/>
  <c r="H14" i="9"/>
  <c r="Q47" i="9" s="1"/>
  <c r="S16" i="9"/>
  <c r="Q48" i="9"/>
  <c r="O65" i="9"/>
  <c r="M130" i="9"/>
  <c r="S43" i="10"/>
  <c r="L91" i="10"/>
  <c r="L82" i="10"/>
  <c r="T198" i="10"/>
  <c r="G186" i="10"/>
  <c r="F236" i="10"/>
  <c r="K182" i="11"/>
  <c r="K171" i="11"/>
  <c r="H247" i="12"/>
  <c r="H42" i="12"/>
  <c r="L251" i="12"/>
  <c r="L42" i="12"/>
  <c r="J196" i="12"/>
  <c r="J118" i="12"/>
  <c r="D42" i="12"/>
  <c r="L120" i="12"/>
  <c r="N24" i="8"/>
  <c r="M55" i="8"/>
  <c r="M56" i="8"/>
  <c r="M57" i="8"/>
  <c r="M58" i="8"/>
  <c r="M59" i="8"/>
  <c r="M60" i="8"/>
  <c r="M61" i="8"/>
  <c r="M62" i="8"/>
  <c r="M63" i="8"/>
  <c r="M64" i="8"/>
  <c r="M65" i="8"/>
  <c r="M86" i="8"/>
  <c r="T120" i="8"/>
  <c r="P124" i="8"/>
  <c r="I14" i="9"/>
  <c r="R112" i="9" s="1"/>
  <c r="S15" i="9"/>
  <c r="M82" i="9"/>
  <c r="T89" i="9"/>
  <c r="T90" i="9"/>
  <c r="R96" i="9"/>
  <c r="R118" i="9"/>
  <c r="D43" i="10"/>
  <c r="D198" i="10" s="1"/>
  <c r="D169" i="10"/>
  <c r="T43" i="10"/>
  <c r="M91" i="10"/>
  <c r="J92" i="10"/>
  <c r="G93" i="10"/>
  <c r="D94" i="10"/>
  <c r="T94" i="10"/>
  <c r="Q95" i="10"/>
  <c r="N96" i="10"/>
  <c r="K97" i="10"/>
  <c r="H98" i="10"/>
  <c r="E99" i="10"/>
  <c r="U99" i="10"/>
  <c r="R100" i="10"/>
  <c r="O101" i="10"/>
  <c r="L102" i="10"/>
  <c r="D91" i="10"/>
  <c r="I236" i="10"/>
  <c r="I246" i="10"/>
  <c r="V236" i="10"/>
  <c r="V275" i="10" s="1"/>
  <c r="V247" i="10"/>
  <c r="S248" i="10"/>
  <c r="P249" i="10"/>
  <c r="M250" i="10"/>
  <c r="J251" i="10"/>
  <c r="G252" i="10"/>
  <c r="D253" i="10"/>
  <c r="T253" i="10"/>
  <c r="K256" i="10"/>
  <c r="H257" i="10"/>
  <c r="E259" i="10"/>
  <c r="U259" i="10"/>
  <c r="R260" i="10"/>
  <c r="O261" i="10"/>
  <c r="L262" i="10"/>
  <c r="I263" i="10"/>
  <c r="F264" i="10"/>
  <c r="S265" i="10"/>
  <c r="P266" i="10"/>
  <c r="M267" i="10"/>
  <c r="J268" i="10"/>
  <c r="G269" i="10"/>
  <c r="D270" i="10"/>
  <c r="T270" i="10"/>
  <c r="N272" i="10"/>
  <c r="K266" i="11"/>
  <c r="K99" i="11"/>
  <c r="K183" i="11"/>
  <c r="K185" i="11"/>
  <c r="K101" i="11"/>
  <c r="K270" i="11"/>
  <c r="K103" i="11"/>
  <c r="K189" i="11"/>
  <c r="K272" i="11"/>
  <c r="K105" i="11"/>
  <c r="K191" i="11"/>
  <c r="K107" i="11"/>
  <c r="K274" i="11"/>
  <c r="K276" i="11"/>
  <c r="K193" i="11"/>
  <c r="K109" i="11"/>
  <c r="K197" i="11"/>
  <c r="K280" i="11"/>
  <c r="K115" i="11"/>
  <c r="K199" i="11"/>
  <c r="K282" i="11"/>
  <c r="K117" i="11"/>
  <c r="K201" i="11"/>
  <c r="K284" i="11"/>
  <c r="K286" i="11"/>
  <c r="K203" i="11"/>
  <c r="K121" i="11"/>
  <c r="K288" i="11"/>
  <c r="K207" i="11"/>
  <c r="K123" i="11"/>
  <c r="K209" i="11"/>
  <c r="K292" i="11"/>
  <c r="K294" i="11"/>
  <c r="K127" i="11"/>
  <c r="U42" i="12"/>
  <c r="U120" i="12" s="1"/>
  <c r="M85" i="8"/>
  <c r="P95" i="8"/>
  <c r="T119" i="8"/>
  <c r="T48" i="9"/>
  <c r="N82" i="9"/>
  <c r="N89" i="9"/>
  <c r="P126" i="9"/>
  <c r="E43" i="10"/>
  <c r="U43" i="10"/>
  <c r="N82" i="10"/>
  <c r="I104" i="10"/>
  <c r="F105" i="10"/>
  <c r="V105" i="10"/>
  <c r="S106" i="10"/>
  <c r="P107" i="10"/>
  <c r="J109" i="10"/>
  <c r="G110" i="10"/>
  <c r="D111" i="10"/>
  <c r="T111" i="10"/>
  <c r="Q112" i="10"/>
  <c r="N113" i="10"/>
  <c r="K114" i="10"/>
  <c r="U116" i="10"/>
  <c r="R117" i="10"/>
  <c r="O118" i="10"/>
  <c r="L119" i="10"/>
  <c r="J246" i="10"/>
  <c r="J236" i="10"/>
  <c r="G247" i="10"/>
  <c r="D248" i="10"/>
  <c r="T248" i="10"/>
  <c r="Q249" i="10"/>
  <c r="N250" i="10"/>
  <c r="K251" i="10"/>
  <c r="H252" i="10"/>
  <c r="E253" i="10"/>
  <c r="U253" i="10"/>
  <c r="R254" i="10"/>
  <c r="O255" i="10"/>
  <c r="L256" i="10"/>
  <c r="I257" i="10"/>
  <c r="F259" i="10"/>
  <c r="L246" i="10"/>
  <c r="D296" i="11"/>
  <c r="P28" i="8"/>
  <c r="M84" i="8"/>
  <c r="T118" i="8"/>
  <c r="H27" i="9"/>
  <c r="M81" i="9"/>
  <c r="R95" i="9"/>
  <c r="R117" i="9"/>
  <c r="Q126" i="9"/>
  <c r="S91" i="10"/>
  <c r="K290" i="11"/>
  <c r="M83" i="8"/>
  <c r="T117" i="8"/>
  <c r="Q91" i="9"/>
  <c r="Q124" i="9"/>
  <c r="I27" i="9"/>
  <c r="R60" i="9" s="1"/>
  <c r="S28" i="9"/>
  <c r="N81" i="9"/>
  <c r="M129" i="9"/>
  <c r="Q130" i="9"/>
  <c r="G43" i="10"/>
  <c r="H191" i="10"/>
  <c r="H113" i="10"/>
  <c r="P82" i="10"/>
  <c r="P120" i="10" s="1"/>
  <c r="S182" i="10"/>
  <c r="P183" i="10"/>
  <c r="Q188" i="10"/>
  <c r="N189" i="10"/>
  <c r="K190" i="10"/>
  <c r="L159" i="10"/>
  <c r="M174" i="10"/>
  <c r="M79" i="8"/>
  <c r="K131" i="8"/>
  <c r="K132" i="8"/>
  <c r="J33" i="9"/>
  <c r="S33" i="9" s="1"/>
  <c r="J34" i="9"/>
  <c r="S34" i="9" s="1"/>
  <c r="G120" i="9"/>
  <c r="P130" i="9"/>
  <c r="F102" i="10"/>
  <c r="V102" i="10"/>
  <c r="R82" i="10"/>
  <c r="R120" i="10" s="1"/>
  <c r="N159" i="10"/>
  <c r="M159" i="10"/>
  <c r="M198" i="10" s="1"/>
  <c r="O169" i="10"/>
  <c r="E246" i="10"/>
  <c r="U246" i="10"/>
  <c r="R247" i="10"/>
  <c r="O248" i="10"/>
  <c r="L249" i="10"/>
  <c r="I250" i="10"/>
  <c r="F251" i="10"/>
  <c r="V251" i="10"/>
  <c r="S252" i="10"/>
  <c r="P253" i="10"/>
  <c r="M254" i="10"/>
  <c r="J255" i="10"/>
  <c r="G256" i="10"/>
  <c r="D257" i="10"/>
  <c r="T257" i="10"/>
  <c r="Q259" i="10"/>
  <c r="N260" i="10"/>
  <c r="K261" i="10"/>
  <c r="H262" i="10"/>
  <c r="E263" i="10"/>
  <c r="U263" i="10"/>
  <c r="R264" i="10"/>
  <c r="O265" i="10"/>
  <c r="L266" i="10"/>
  <c r="I267" i="10"/>
  <c r="F268" i="10"/>
  <c r="V268" i="10"/>
  <c r="S269" i="10"/>
  <c r="P270" i="10"/>
  <c r="J272" i="10"/>
  <c r="G273" i="10"/>
  <c r="D274" i="10"/>
  <c r="T274" i="10"/>
  <c r="M252" i="10"/>
  <c r="I264" i="10"/>
  <c r="G280" i="11"/>
  <c r="G197" i="11"/>
  <c r="E198" i="12"/>
  <c r="K43" i="10"/>
  <c r="G102" i="10"/>
  <c r="P91" i="10"/>
  <c r="P169" i="10"/>
  <c r="F246" i="10"/>
  <c r="V246" i="10"/>
  <c r="S247" i="10"/>
  <c r="P248" i="10"/>
  <c r="M249" i="10"/>
  <c r="J250" i="10"/>
  <c r="G251" i="10"/>
  <c r="D252" i="10"/>
  <c r="T252" i="10"/>
  <c r="Q253" i="10"/>
  <c r="N254" i="10"/>
  <c r="K255" i="10"/>
  <c r="H256" i="10"/>
  <c r="E257" i="10"/>
  <c r="U257" i="10"/>
  <c r="Q169" i="10"/>
  <c r="G246" i="10"/>
  <c r="G236" i="10"/>
  <c r="G275" i="10" s="1"/>
  <c r="D247" i="10"/>
  <c r="T247" i="10"/>
  <c r="Q248" i="10"/>
  <c r="N249" i="10"/>
  <c r="K250" i="10"/>
  <c r="H251" i="10"/>
  <c r="E252" i="10"/>
  <c r="U252" i="10"/>
  <c r="R253" i="10"/>
  <c r="O254" i="10"/>
  <c r="L255" i="10"/>
  <c r="I256" i="10"/>
  <c r="F257" i="10"/>
  <c r="V257" i="10"/>
  <c r="S259" i="10"/>
  <c r="P260" i="10"/>
  <c r="M261" i="10"/>
  <c r="J262" i="10"/>
  <c r="G263" i="10"/>
  <c r="D264" i="10"/>
  <c r="T264" i="10"/>
  <c r="Q265" i="10"/>
  <c r="N266" i="10"/>
  <c r="K267" i="10"/>
  <c r="H268" i="10"/>
  <c r="E269" i="10"/>
  <c r="U269" i="10"/>
  <c r="R270" i="10"/>
  <c r="L272" i="10"/>
  <c r="I273" i="10"/>
  <c r="F274" i="10"/>
  <c r="V274" i="10"/>
  <c r="P246" i="10"/>
  <c r="D255" i="10"/>
  <c r="S266" i="10"/>
  <c r="K125" i="11"/>
  <c r="S42" i="12"/>
  <c r="D170" i="12"/>
  <c r="U175" i="12"/>
  <c r="L178" i="12"/>
  <c r="D187" i="12"/>
  <c r="Q188" i="12"/>
  <c r="H191" i="12"/>
  <c r="R193" i="12"/>
  <c r="E82" i="10"/>
  <c r="U82" i="10"/>
  <c r="U120" i="10" s="1"/>
  <c r="O92" i="10"/>
  <c r="S102" i="10"/>
  <c r="G115" i="10"/>
  <c r="S176" i="10"/>
  <c r="F189" i="10"/>
  <c r="H246" i="10"/>
  <c r="H236" i="10"/>
  <c r="H275" i="10" s="1"/>
  <c r="E247" i="10"/>
  <c r="E236" i="10"/>
  <c r="U247" i="10"/>
  <c r="U236" i="10"/>
  <c r="U275" i="10" s="1"/>
  <c r="R248" i="10"/>
  <c r="O249" i="10"/>
  <c r="L250" i="10"/>
  <c r="I251" i="10"/>
  <c r="F252" i="10"/>
  <c r="V252" i="10"/>
  <c r="S253" i="10"/>
  <c r="P254" i="10"/>
  <c r="M255" i="10"/>
  <c r="J256" i="10"/>
  <c r="G257" i="10"/>
  <c r="D259" i="10"/>
  <c r="T259" i="10"/>
  <c r="Q260" i="10"/>
  <c r="N261" i="10"/>
  <c r="K262" i="10"/>
  <c r="H263" i="10"/>
  <c r="E264" i="10"/>
  <c r="U264" i="10"/>
  <c r="R265" i="10"/>
  <c r="O266" i="10"/>
  <c r="L267" i="10"/>
  <c r="I268" i="10"/>
  <c r="F269" i="10"/>
  <c r="V269" i="10"/>
  <c r="S270" i="10"/>
  <c r="M272" i="10"/>
  <c r="J273" i="10"/>
  <c r="G274" i="10"/>
  <c r="S246" i="10"/>
  <c r="J187" i="11"/>
  <c r="J103" i="11"/>
  <c r="J191" i="11"/>
  <c r="J107" i="11"/>
  <c r="I269" i="11"/>
  <c r="I271" i="11"/>
  <c r="I273" i="11"/>
  <c r="I275" i="11"/>
  <c r="I277" i="11"/>
  <c r="I279" i="11"/>
  <c r="I281" i="11"/>
  <c r="I283" i="11"/>
  <c r="I285" i="11"/>
  <c r="I291" i="11"/>
  <c r="I293" i="11"/>
  <c r="G42" i="12"/>
  <c r="S104" i="12"/>
  <c r="S260" i="12"/>
  <c r="P105" i="12"/>
  <c r="P261" i="12"/>
  <c r="J107" i="12"/>
  <c r="J263" i="12"/>
  <c r="G108" i="12"/>
  <c r="G264" i="12"/>
  <c r="Q110" i="12"/>
  <c r="Q266" i="12"/>
  <c r="K268" i="12"/>
  <c r="K112" i="12"/>
  <c r="E114" i="12"/>
  <c r="E270" i="12"/>
  <c r="U114" i="12"/>
  <c r="U270" i="12"/>
  <c r="L117" i="12"/>
  <c r="L273" i="12"/>
  <c r="I118" i="12"/>
  <c r="I274" i="12"/>
  <c r="F119" i="12"/>
  <c r="F275" i="12"/>
  <c r="N120" i="12"/>
  <c r="U170" i="12"/>
  <c r="L173" i="12"/>
  <c r="I174" i="12"/>
  <c r="T182" i="12"/>
  <c r="N184" i="12"/>
  <c r="E187" i="12"/>
  <c r="O189" i="12"/>
  <c r="U198" i="12"/>
  <c r="O182" i="10"/>
  <c r="L183" i="10"/>
  <c r="I184" i="10"/>
  <c r="F185" i="10"/>
  <c r="V185" i="10"/>
  <c r="S186" i="10"/>
  <c r="P187" i="10"/>
  <c r="M188" i="10"/>
  <c r="J189" i="10"/>
  <c r="G190" i="10"/>
  <c r="D191" i="10"/>
  <c r="T191" i="10"/>
  <c r="Q192" i="10"/>
  <c r="N193" i="10"/>
  <c r="I195" i="10"/>
  <c r="F196" i="10"/>
  <c r="V196" i="10"/>
  <c r="S197" i="10"/>
  <c r="K236" i="10"/>
  <c r="K275" i="10" s="1"/>
  <c r="G259" i="10"/>
  <c r="D260" i="10"/>
  <c r="T260" i="10"/>
  <c r="Q261" i="10"/>
  <c r="N262" i="10"/>
  <c r="K263" i="10"/>
  <c r="H264" i="10"/>
  <c r="E265" i="10"/>
  <c r="U265" i="10"/>
  <c r="R266" i="10"/>
  <c r="O267" i="10"/>
  <c r="L268" i="10"/>
  <c r="I269" i="10"/>
  <c r="F270" i="10"/>
  <c r="V270" i="10"/>
  <c r="P272" i="10"/>
  <c r="M273" i="10"/>
  <c r="J274" i="10"/>
  <c r="F265" i="10"/>
  <c r="E46" i="11"/>
  <c r="E98" i="11"/>
  <c r="E182" i="11"/>
  <c r="J183" i="11"/>
  <c r="J185" i="11"/>
  <c r="J189" i="11"/>
  <c r="J193" i="11"/>
  <c r="J195" i="11"/>
  <c r="J199" i="11"/>
  <c r="J205" i="11"/>
  <c r="J211" i="11"/>
  <c r="I82" i="10"/>
  <c r="P110" i="10"/>
  <c r="E169" i="10"/>
  <c r="U169" i="10"/>
  <c r="R170" i="10"/>
  <c r="O171" i="10"/>
  <c r="L172" i="10"/>
  <c r="I173" i="10"/>
  <c r="F174" i="10"/>
  <c r="V174" i="10"/>
  <c r="S175" i="10"/>
  <c r="P176" i="10"/>
  <c r="M177" i="10"/>
  <c r="J178" i="10"/>
  <c r="G179" i="10"/>
  <c r="D180" i="10"/>
  <c r="T180" i="10"/>
  <c r="P182" i="10"/>
  <c r="M183" i="10"/>
  <c r="J184" i="10"/>
  <c r="G185" i="10"/>
  <c r="D186" i="10"/>
  <c r="T186" i="10"/>
  <c r="Q187" i="10"/>
  <c r="N188" i="10"/>
  <c r="K189" i="10"/>
  <c r="H190" i="10"/>
  <c r="E191" i="10"/>
  <c r="U191" i="10"/>
  <c r="R192" i="10"/>
  <c r="O193" i="10"/>
  <c r="U159" i="10"/>
  <c r="U198" i="10" s="1"/>
  <c r="F170" i="10"/>
  <c r="F263" i="10"/>
  <c r="T269" i="10"/>
  <c r="F46" i="11"/>
  <c r="F182" i="11"/>
  <c r="K187" i="11"/>
  <c r="K195" i="11"/>
  <c r="K211" i="11"/>
  <c r="E248" i="12"/>
  <c r="R249" i="12"/>
  <c r="I252" i="12"/>
  <c r="S254" i="12"/>
  <c r="M256" i="12"/>
  <c r="J257" i="12"/>
  <c r="D98" i="8"/>
  <c r="S29" i="9"/>
  <c r="S30" i="9"/>
  <c r="J82" i="10"/>
  <c r="J120" i="10" s="1"/>
  <c r="F169" i="10"/>
  <c r="V169" i="10"/>
  <c r="S170" i="10"/>
  <c r="P171" i="10"/>
  <c r="M172" i="10"/>
  <c r="J173" i="10"/>
  <c r="G174" i="10"/>
  <c r="D175" i="10"/>
  <c r="T175" i="10"/>
  <c r="Q176" i="10"/>
  <c r="N177" i="10"/>
  <c r="K178" i="10"/>
  <c r="H179" i="10"/>
  <c r="E180" i="10"/>
  <c r="U180" i="10"/>
  <c r="K195" i="10"/>
  <c r="H196" i="10"/>
  <c r="E197" i="10"/>
  <c r="U197" i="10"/>
  <c r="V159" i="10"/>
  <c r="V198" i="10" s="1"/>
  <c r="L247" i="10"/>
  <c r="T255" i="10"/>
  <c r="P267" i="10"/>
  <c r="I98" i="11"/>
  <c r="I88" i="11"/>
  <c r="I100" i="11"/>
  <c r="I102" i="11"/>
  <c r="I104" i="11"/>
  <c r="I106" i="11"/>
  <c r="I108" i="11"/>
  <c r="I110" i="11"/>
  <c r="I114" i="11"/>
  <c r="I116" i="11"/>
  <c r="I118" i="11"/>
  <c r="I120" i="11"/>
  <c r="I122" i="11"/>
  <c r="I128" i="11"/>
  <c r="T276" i="12"/>
  <c r="R93" i="10"/>
  <c r="P99" i="10"/>
  <c r="M100" i="10"/>
  <c r="P112" i="10"/>
  <c r="G169" i="10"/>
  <c r="D170" i="10"/>
  <c r="T170" i="10"/>
  <c r="Q171" i="10"/>
  <c r="N172" i="10"/>
  <c r="K173" i="10"/>
  <c r="H174" i="10"/>
  <c r="E175" i="10"/>
  <c r="U175" i="10"/>
  <c r="R176" i="10"/>
  <c r="O177" i="10"/>
  <c r="L178" i="10"/>
  <c r="I179" i="10"/>
  <c r="F180" i="10"/>
  <c r="V180" i="10"/>
  <c r="R182" i="10"/>
  <c r="O183" i="10"/>
  <c r="L184" i="10"/>
  <c r="I185" i="10"/>
  <c r="F186" i="10"/>
  <c r="V186" i="10"/>
  <c r="S187" i="10"/>
  <c r="P188" i="10"/>
  <c r="M189" i="10"/>
  <c r="J190" i="10"/>
  <c r="G191" i="10"/>
  <c r="D192" i="10"/>
  <c r="T192" i="10"/>
  <c r="Q193" i="10"/>
  <c r="Q179" i="10"/>
  <c r="R193" i="10"/>
  <c r="N246" i="10"/>
  <c r="K247" i="10"/>
  <c r="H248" i="10"/>
  <c r="E249" i="10"/>
  <c r="U249" i="10"/>
  <c r="R250" i="10"/>
  <c r="O251" i="10"/>
  <c r="L252" i="10"/>
  <c r="I253" i="10"/>
  <c r="F254" i="10"/>
  <c r="V254" i="10"/>
  <c r="S255" i="10"/>
  <c r="P256" i="10"/>
  <c r="M257" i="10"/>
  <c r="J259" i="10"/>
  <c r="G260" i="10"/>
  <c r="D261" i="10"/>
  <c r="T261" i="10"/>
  <c r="Q262" i="10"/>
  <c r="N263" i="10"/>
  <c r="K264" i="10"/>
  <c r="H265" i="10"/>
  <c r="E266" i="10"/>
  <c r="U266" i="10"/>
  <c r="R267" i="10"/>
  <c r="O268" i="10"/>
  <c r="L269" i="10"/>
  <c r="I270" i="10"/>
  <c r="V271" i="10"/>
  <c r="S272" i="10"/>
  <c r="P273" i="10"/>
  <c r="M274" i="10"/>
  <c r="K274" i="10"/>
  <c r="J98" i="11"/>
  <c r="J88" i="11"/>
  <c r="E184" i="11"/>
  <c r="E190" i="11"/>
  <c r="E192" i="11"/>
  <c r="E196" i="11"/>
  <c r="E198" i="11"/>
  <c r="G268" i="11"/>
  <c r="G276" i="11"/>
  <c r="G284" i="11"/>
  <c r="G288" i="11"/>
  <c r="I131" i="9"/>
  <c r="H159" i="10"/>
  <c r="H198" i="10" s="1"/>
  <c r="M195" i="10"/>
  <c r="J196" i="10"/>
  <c r="G197" i="10"/>
  <c r="H169" i="10"/>
  <c r="G270" i="10"/>
  <c r="I46" i="11"/>
  <c r="I265" i="11"/>
  <c r="K129" i="11"/>
  <c r="K89" i="11"/>
  <c r="F186" i="11"/>
  <c r="F192" i="11"/>
  <c r="F200" i="11"/>
  <c r="E265" i="11"/>
  <c r="N42" i="12"/>
  <c r="N169" i="12"/>
  <c r="Q105" i="12"/>
  <c r="N106" i="12"/>
  <c r="E109" i="12"/>
  <c r="U109" i="12"/>
  <c r="L112" i="12"/>
  <c r="I113" i="12"/>
  <c r="S115" i="12"/>
  <c r="M117" i="12"/>
  <c r="T120" i="12"/>
  <c r="O198" i="12"/>
  <c r="M198" i="12"/>
  <c r="M82" i="10"/>
  <c r="M120" i="10" s="1"/>
  <c r="S111" i="10"/>
  <c r="I159" i="10"/>
  <c r="I198" i="10" s="1"/>
  <c r="J174" i="10"/>
  <c r="G175" i="10"/>
  <c r="D176" i="10"/>
  <c r="T176" i="10"/>
  <c r="Q177" i="10"/>
  <c r="N178" i="10"/>
  <c r="K179" i="10"/>
  <c r="H180" i="10"/>
  <c r="D182" i="10"/>
  <c r="T182" i="10"/>
  <c r="Q183" i="10"/>
  <c r="N184" i="10"/>
  <c r="K185" i="10"/>
  <c r="H186" i="10"/>
  <c r="E187" i="10"/>
  <c r="U187" i="10"/>
  <c r="R188" i="10"/>
  <c r="O189" i="10"/>
  <c r="L190" i="10"/>
  <c r="I191" i="10"/>
  <c r="F192" i="10"/>
  <c r="V192" i="10"/>
  <c r="S193" i="10"/>
  <c r="I169" i="10"/>
  <c r="M236" i="10"/>
  <c r="M275" i="10" s="1"/>
  <c r="E129" i="11"/>
  <c r="G182" i="11"/>
  <c r="G171" i="11"/>
  <c r="J159" i="10"/>
  <c r="J169" i="10"/>
  <c r="G183" i="10"/>
  <c r="U189" i="10"/>
  <c r="Q236" i="10"/>
  <c r="Q275" i="10" s="1"/>
  <c r="M259" i="10"/>
  <c r="J260" i="10"/>
  <c r="G261" i="10"/>
  <c r="D262" i="10"/>
  <c r="T262" i="10"/>
  <c r="Q263" i="10"/>
  <c r="N264" i="10"/>
  <c r="K265" i="10"/>
  <c r="H266" i="10"/>
  <c r="E267" i="10"/>
  <c r="U267" i="10"/>
  <c r="R268" i="10"/>
  <c r="O269" i="10"/>
  <c r="L270" i="10"/>
  <c r="F272" i="10"/>
  <c r="V272" i="10"/>
  <c r="S273" i="10"/>
  <c r="P274" i="10"/>
  <c r="V265" i="10"/>
  <c r="M119" i="10"/>
  <c r="K169" i="10"/>
  <c r="H170" i="10"/>
  <c r="E171" i="10"/>
  <c r="U171" i="10"/>
  <c r="R172" i="10"/>
  <c r="O173" i="10"/>
  <c r="L174" i="10"/>
  <c r="I175" i="10"/>
  <c r="F176" i="10"/>
  <c r="V176" i="10"/>
  <c r="S177" i="10"/>
  <c r="P178" i="10"/>
  <c r="M179" i="10"/>
  <c r="J180" i="10"/>
  <c r="G159" i="10"/>
  <c r="G198" i="10" s="1"/>
  <c r="R246" i="10"/>
  <c r="O247" i="10"/>
  <c r="L248" i="10"/>
  <c r="I249" i="10"/>
  <c r="F250" i="10"/>
  <c r="V250" i="10"/>
  <c r="S251" i="10"/>
  <c r="P252" i="10"/>
  <c r="M253" i="10"/>
  <c r="J254" i="10"/>
  <c r="G255" i="10"/>
  <c r="D256" i="10"/>
  <c r="T256" i="10"/>
  <c r="Q257" i="10"/>
  <c r="N259" i="10"/>
  <c r="K260" i="10"/>
  <c r="H261" i="10"/>
  <c r="E262" i="10"/>
  <c r="U262" i="10"/>
  <c r="R263" i="10"/>
  <c r="O264" i="10"/>
  <c r="L265" i="10"/>
  <c r="I266" i="10"/>
  <c r="F267" i="10"/>
  <c r="V267" i="10"/>
  <c r="S268" i="10"/>
  <c r="P269" i="10"/>
  <c r="M270" i="10"/>
  <c r="G272" i="10"/>
  <c r="D273" i="10"/>
  <c r="T273" i="10"/>
  <c r="Q274" i="10"/>
  <c r="I184" i="11"/>
  <c r="I190" i="11"/>
  <c r="I196" i="11"/>
  <c r="I200" i="11"/>
  <c r="I202" i="11"/>
  <c r="I206" i="11"/>
  <c r="I212" i="11"/>
  <c r="E188" i="11"/>
  <c r="I204" i="11"/>
  <c r="K268" i="11"/>
  <c r="K278" i="11"/>
  <c r="P104" i="10"/>
  <c r="M105" i="10"/>
  <c r="J106" i="10"/>
  <c r="G107" i="10"/>
  <c r="D108" i="10"/>
  <c r="T108" i="10"/>
  <c r="Q109" i="10"/>
  <c r="N110" i="10"/>
  <c r="K111" i="10"/>
  <c r="H112" i="10"/>
  <c r="E113" i="10"/>
  <c r="U113" i="10"/>
  <c r="R114" i="10"/>
  <c r="O115" i="10"/>
  <c r="I117" i="10"/>
  <c r="F118" i="10"/>
  <c r="V118" i="10"/>
  <c r="S119" i="10"/>
  <c r="Q195" i="10"/>
  <c r="N196" i="10"/>
  <c r="K197" i="10"/>
  <c r="K159" i="10"/>
  <c r="K198" i="10" s="1"/>
  <c r="N197" i="10"/>
  <c r="O259" i="10"/>
  <c r="L260" i="10"/>
  <c r="I261" i="10"/>
  <c r="F262" i="10"/>
  <c r="V262" i="10"/>
  <c r="S263" i="10"/>
  <c r="P264" i="10"/>
  <c r="M265" i="10"/>
  <c r="J266" i="10"/>
  <c r="G267" i="10"/>
  <c r="D268" i="10"/>
  <c r="T268" i="10"/>
  <c r="Q269" i="10"/>
  <c r="N270" i="10"/>
  <c r="H272" i="10"/>
  <c r="E273" i="10"/>
  <c r="U273" i="10"/>
  <c r="R274" i="10"/>
  <c r="M268" i="10"/>
  <c r="J46" i="11"/>
  <c r="G118" i="11"/>
  <c r="D171" i="11"/>
  <c r="D182" i="11"/>
  <c r="D285" i="11"/>
  <c r="I169" i="12"/>
  <c r="I42" i="12"/>
  <c r="I276" i="12" s="1"/>
  <c r="F170" i="12"/>
  <c r="F248" i="12"/>
  <c r="S249" i="12"/>
  <c r="S171" i="12"/>
  <c r="P250" i="12"/>
  <c r="P172" i="12"/>
  <c r="M251" i="12"/>
  <c r="M173" i="12"/>
  <c r="J174" i="12"/>
  <c r="J252" i="12"/>
  <c r="D254" i="12"/>
  <c r="D176" i="12"/>
  <c r="Q255" i="12"/>
  <c r="Q177" i="12"/>
  <c r="K179" i="12"/>
  <c r="K257" i="12"/>
  <c r="H258" i="12"/>
  <c r="H180" i="12"/>
  <c r="N91" i="12"/>
  <c r="I91" i="12"/>
  <c r="H118" i="12"/>
  <c r="S170" i="12"/>
  <c r="P171" i="12"/>
  <c r="G174" i="12"/>
  <c r="Q176" i="12"/>
  <c r="K178" i="12"/>
  <c r="H179" i="12"/>
  <c r="U180" i="12"/>
  <c r="R182" i="12"/>
  <c r="O183" i="12"/>
  <c r="I185" i="12"/>
  <c r="F186" i="12"/>
  <c r="V186" i="12"/>
  <c r="S187" i="12"/>
  <c r="M189" i="12"/>
  <c r="D192" i="12"/>
  <c r="Q193" i="12"/>
  <c r="H196" i="12"/>
  <c r="E197" i="12"/>
  <c r="L184" i="12"/>
  <c r="I247" i="12"/>
  <c r="I262" i="12"/>
  <c r="F255" i="13"/>
  <c r="D88" i="11"/>
  <c r="E171" i="11"/>
  <c r="E290" i="11"/>
  <c r="E292" i="11"/>
  <c r="E294" i="11"/>
  <c r="E254" i="11"/>
  <c r="H265" i="11"/>
  <c r="J91" i="12"/>
  <c r="J247" i="12"/>
  <c r="J42" i="12"/>
  <c r="G92" i="12"/>
  <c r="G248" i="12"/>
  <c r="D93" i="12"/>
  <c r="D249" i="12"/>
  <c r="T93" i="12"/>
  <c r="T249" i="12"/>
  <c r="Q94" i="12"/>
  <c r="Q250" i="12"/>
  <c r="N95" i="12"/>
  <c r="N251" i="12"/>
  <c r="K96" i="12"/>
  <c r="K252" i="12"/>
  <c r="H97" i="12"/>
  <c r="H253" i="12"/>
  <c r="E254" i="12"/>
  <c r="E98" i="12"/>
  <c r="U98" i="12"/>
  <c r="U254" i="12"/>
  <c r="R99" i="12"/>
  <c r="R255" i="12"/>
  <c r="R177" i="12"/>
  <c r="O100" i="12"/>
  <c r="O178" i="12"/>
  <c r="L101" i="12"/>
  <c r="L257" i="12"/>
  <c r="I102" i="12"/>
  <c r="I180" i="12"/>
  <c r="F260" i="12"/>
  <c r="F182" i="12"/>
  <c r="S261" i="12"/>
  <c r="S183" i="12"/>
  <c r="G265" i="12"/>
  <c r="G187" i="12"/>
  <c r="D266" i="12"/>
  <c r="D188" i="12"/>
  <c r="T266" i="12"/>
  <c r="T188" i="12"/>
  <c r="Q189" i="12"/>
  <c r="Q267" i="12"/>
  <c r="N190" i="12"/>
  <c r="N268" i="12"/>
  <c r="K269" i="12"/>
  <c r="K191" i="12"/>
  <c r="E271" i="12"/>
  <c r="E193" i="12"/>
  <c r="O273" i="12"/>
  <c r="O195" i="12"/>
  <c r="K42" i="12"/>
  <c r="F98" i="12"/>
  <c r="M101" i="12"/>
  <c r="G159" i="12"/>
  <c r="G198" i="12" s="1"/>
  <c r="G169" i="12"/>
  <c r="T170" i="12"/>
  <c r="Q171" i="12"/>
  <c r="N172" i="12"/>
  <c r="K173" i="12"/>
  <c r="H174" i="12"/>
  <c r="E175" i="12"/>
  <c r="R176" i="12"/>
  <c r="O177" i="12"/>
  <c r="I179" i="12"/>
  <c r="F180" i="12"/>
  <c r="V180" i="12"/>
  <c r="S182" i="12"/>
  <c r="P183" i="12"/>
  <c r="M184" i="12"/>
  <c r="J185" i="12"/>
  <c r="G186" i="12"/>
  <c r="T187" i="12"/>
  <c r="N189" i="12"/>
  <c r="K190" i="12"/>
  <c r="E192" i="12"/>
  <c r="U192" i="12"/>
  <c r="L195" i="12"/>
  <c r="I196" i="12"/>
  <c r="F197" i="12"/>
  <c r="V197" i="12"/>
  <c r="T171" i="12"/>
  <c r="T175" i="12"/>
  <c r="K247" i="12"/>
  <c r="K236" i="12"/>
  <c r="H248" i="12"/>
  <c r="H236" i="12"/>
  <c r="H276" i="12" s="1"/>
  <c r="E249" i="12"/>
  <c r="U249" i="12"/>
  <c r="R250" i="12"/>
  <c r="O251" i="12"/>
  <c r="L252" i="12"/>
  <c r="I253" i="12"/>
  <c r="F254" i="12"/>
  <c r="V254" i="12"/>
  <c r="S255" i="12"/>
  <c r="P256" i="12"/>
  <c r="M257" i="12"/>
  <c r="J258" i="12"/>
  <c r="D261" i="12"/>
  <c r="T261" i="12"/>
  <c r="Q262" i="12"/>
  <c r="N263" i="12"/>
  <c r="K264" i="12"/>
  <c r="V247" i="12"/>
  <c r="P262" i="12"/>
  <c r="E275" i="12"/>
  <c r="D182" i="13"/>
  <c r="D171" i="13"/>
  <c r="F171" i="11"/>
  <c r="E204" i="11"/>
  <c r="F254" i="11"/>
  <c r="P91" i="12"/>
  <c r="P81" i="12"/>
  <c r="M81" i="12"/>
  <c r="M92" i="12"/>
  <c r="H169" i="12"/>
  <c r="H159" i="12"/>
  <c r="H198" i="12" s="1"/>
  <c r="E170" i="12"/>
  <c r="R171" i="12"/>
  <c r="O172" i="12"/>
  <c r="F175" i="12"/>
  <c r="V175" i="12"/>
  <c r="S176" i="12"/>
  <c r="P177" i="12"/>
  <c r="M178" i="12"/>
  <c r="J179" i="12"/>
  <c r="G180" i="12"/>
  <c r="D182" i="12"/>
  <c r="Q183" i="12"/>
  <c r="K185" i="12"/>
  <c r="H186" i="12"/>
  <c r="U187" i="12"/>
  <c r="R188" i="12"/>
  <c r="L190" i="12"/>
  <c r="I191" i="12"/>
  <c r="F192" i="12"/>
  <c r="V192" i="12"/>
  <c r="S193" i="12"/>
  <c r="M195" i="12"/>
  <c r="G197" i="12"/>
  <c r="D159" i="12"/>
  <c r="D198" i="12" s="1"/>
  <c r="U171" i="12"/>
  <c r="E180" i="12"/>
  <c r="U184" i="12"/>
  <c r="L196" i="12"/>
  <c r="L236" i="12"/>
  <c r="L276" i="12" s="1"/>
  <c r="L247" i="12"/>
  <c r="I263" i="12"/>
  <c r="H46" i="13"/>
  <c r="H266" i="13"/>
  <c r="H183" i="13"/>
  <c r="H185" i="13"/>
  <c r="H101" i="13"/>
  <c r="H187" i="13"/>
  <c r="H103" i="13"/>
  <c r="H105" i="13"/>
  <c r="H272" i="13"/>
  <c r="H274" i="13"/>
  <c r="H107" i="13"/>
  <c r="H191" i="13"/>
  <c r="H278" i="13"/>
  <c r="H195" i="13"/>
  <c r="H111" i="13"/>
  <c r="H201" i="13"/>
  <c r="H117" i="13"/>
  <c r="H119" i="13"/>
  <c r="H203" i="13"/>
  <c r="H121" i="13"/>
  <c r="H288" i="13"/>
  <c r="D129" i="13"/>
  <c r="D89" i="13"/>
  <c r="H115" i="13"/>
  <c r="H193" i="13"/>
  <c r="H254" i="11"/>
  <c r="Q81" i="12"/>
  <c r="G175" i="12"/>
  <c r="E185" i="12"/>
  <c r="I47" i="13"/>
  <c r="G88" i="11"/>
  <c r="I182" i="11"/>
  <c r="I197" i="11"/>
  <c r="I213" i="11"/>
  <c r="T42" i="12"/>
  <c r="R81" i="12"/>
  <c r="N104" i="12"/>
  <c r="K105" i="12"/>
  <c r="H106" i="12"/>
  <c r="E107" i="12"/>
  <c r="U107" i="12"/>
  <c r="R108" i="12"/>
  <c r="O109" i="12"/>
  <c r="L110" i="12"/>
  <c r="I111" i="12"/>
  <c r="F112" i="12"/>
  <c r="V112" i="12"/>
  <c r="S113" i="12"/>
  <c r="P114" i="12"/>
  <c r="M115" i="12"/>
  <c r="J169" i="12"/>
  <c r="G170" i="12"/>
  <c r="D171" i="12"/>
  <c r="Q172" i="12"/>
  <c r="N173" i="12"/>
  <c r="H175" i="12"/>
  <c r="E176" i="12"/>
  <c r="O180" i="12"/>
  <c r="M185" i="12"/>
  <c r="O256" i="12"/>
  <c r="J264" i="12"/>
  <c r="J266" i="11"/>
  <c r="J268" i="11"/>
  <c r="J270" i="11"/>
  <c r="J272" i="11"/>
  <c r="J274" i="11"/>
  <c r="J276" i="11"/>
  <c r="J278" i="11"/>
  <c r="J280" i="11"/>
  <c r="J282" i="11"/>
  <c r="J284" i="11"/>
  <c r="J286" i="11"/>
  <c r="J288" i="11"/>
  <c r="J290" i="11"/>
  <c r="J292" i="11"/>
  <c r="J294" i="11"/>
  <c r="D281" i="11"/>
  <c r="D291" i="11"/>
  <c r="G296" i="11"/>
  <c r="O42" i="12"/>
  <c r="D91" i="12"/>
  <c r="T91" i="12"/>
  <c r="Q92" i="12"/>
  <c r="N93" i="12"/>
  <c r="K94" i="12"/>
  <c r="H95" i="12"/>
  <c r="E96" i="12"/>
  <c r="U96" i="12"/>
  <c r="R97" i="12"/>
  <c r="O98" i="12"/>
  <c r="L99" i="12"/>
  <c r="I100" i="12"/>
  <c r="F101" i="12"/>
  <c r="V101" i="12"/>
  <c r="S102" i="12"/>
  <c r="N92" i="12"/>
  <c r="S109" i="12"/>
  <c r="G113" i="12"/>
  <c r="L159" i="12"/>
  <c r="L198" i="12" s="1"/>
  <c r="U176" i="12"/>
  <c r="P247" i="12"/>
  <c r="M236" i="12"/>
  <c r="G250" i="12"/>
  <c r="Q252" i="12"/>
  <c r="K254" i="12"/>
  <c r="H255" i="12"/>
  <c r="U256" i="12"/>
  <c r="R257" i="12"/>
  <c r="D296" i="13"/>
  <c r="D255" i="13"/>
  <c r="J109" i="11"/>
  <c r="J111" i="11"/>
  <c r="J113" i="11"/>
  <c r="J115" i="11"/>
  <c r="J117" i="11"/>
  <c r="J119" i="11"/>
  <c r="J121" i="11"/>
  <c r="J123" i="11"/>
  <c r="J125" i="11"/>
  <c r="J127" i="11"/>
  <c r="G266" i="11"/>
  <c r="P42" i="12"/>
  <c r="J173" i="12"/>
  <c r="I258" i="12"/>
  <c r="I89" i="13"/>
  <c r="I129" i="13"/>
  <c r="G291" i="11"/>
  <c r="F81" i="12"/>
  <c r="F120" i="12" s="1"/>
  <c r="V81" i="12"/>
  <c r="N159" i="12"/>
  <c r="F265" i="13"/>
  <c r="F46" i="13"/>
  <c r="F182" i="13"/>
  <c r="F190" i="13"/>
  <c r="F273" i="13"/>
  <c r="F196" i="13"/>
  <c r="F279" i="13"/>
  <c r="F281" i="13"/>
  <c r="F198" i="13"/>
  <c r="F212" i="13"/>
  <c r="F295" i="13"/>
  <c r="J129" i="13"/>
  <c r="I121" i="11"/>
  <c r="D196" i="11"/>
  <c r="R42" i="12"/>
  <c r="K183" i="12"/>
  <c r="K261" i="12"/>
  <c r="H262" i="12"/>
  <c r="H184" i="12"/>
  <c r="S191" i="12"/>
  <c r="S269" i="12"/>
  <c r="M271" i="12"/>
  <c r="M193" i="12"/>
  <c r="G91" i="12"/>
  <c r="D92" i="12"/>
  <c r="T92" i="12"/>
  <c r="Q93" i="12"/>
  <c r="N94" i="12"/>
  <c r="K95" i="12"/>
  <c r="H96" i="12"/>
  <c r="E97" i="12"/>
  <c r="U97" i="12"/>
  <c r="R98" i="12"/>
  <c r="O99" i="12"/>
  <c r="L100" i="12"/>
  <c r="I101" i="12"/>
  <c r="F102" i="12"/>
  <c r="V102" i="12"/>
  <c r="E93" i="12"/>
  <c r="S99" i="12"/>
  <c r="P113" i="12"/>
  <c r="O169" i="12"/>
  <c r="L170" i="12"/>
  <c r="I171" i="12"/>
  <c r="F172" i="12"/>
  <c r="V172" i="12"/>
  <c r="P174" i="12"/>
  <c r="M175" i="12"/>
  <c r="G177" i="12"/>
  <c r="D178" i="12"/>
  <c r="T178" i="12"/>
  <c r="Q179" i="12"/>
  <c r="N180" i="12"/>
  <c r="K182" i="12"/>
  <c r="H183" i="12"/>
  <c r="E184" i="12"/>
  <c r="R185" i="12"/>
  <c r="L187" i="12"/>
  <c r="I188" i="12"/>
  <c r="V189" i="12"/>
  <c r="S190" i="12"/>
  <c r="M192" i="12"/>
  <c r="J193" i="12"/>
  <c r="D195" i="12"/>
  <c r="T195" i="12"/>
  <c r="Q196" i="12"/>
  <c r="N197" i="12"/>
  <c r="N182" i="12"/>
  <c r="J236" i="12"/>
  <c r="L261" i="12"/>
  <c r="F263" i="12"/>
  <c r="F265" i="11"/>
  <c r="F267" i="11"/>
  <c r="F269" i="11"/>
  <c r="F271" i="11"/>
  <c r="F273" i="11"/>
  <c r="F275" i="11"/>
  <c r="F279" i="11"/>
  <c r="F281" i="11"/>
  <c r="F283" i="11"/>
  <c r="F285" i="11"/>
  <c r="F287" i="11"/>
  <c r="F289" i="11"/>
  <c r="F291" i="11"/>
  <c r="F293" i="11"/>
  <c r="F295" i="11"/>
  <c r="H91" i="12"/>
  <c r="H81" i="12"/>
  <c r="H120" i="12" s="1"/>
  <c r="E92" i="12"/>
  <c r="U92" i="12"/>
  <c r="R93" i="12"/>
  <c r="O94" i="12"/>
  <c r="L95" i="12"/>
  <c r="I96" i="12"/>
  <c r="F97" i="12"/>
  <c r="V97" i="12"/>
  <c r="S98" i="12"/>
  <c r="P99" i="12"/>
  <c r="M100" i="12"/>
  <c r="J101" i="12"/>
  <c r="G102" i="12"/>
  <c r="D81" i="12"/>
  <c r="D120" i="12" s="1"/>
  <c r="P110" i="12"/>
  <c r="P169" i="12"/>
  <c r="G172" i="12"/>
  <c r="D173" i="12"/>
  <c r="T173" i="12"/>
  <c r="Q174" i="12"/>
  <c r="N175" i="12"/>
  <c r="K176" i="12"/>
  <c r="H177" i="12"/>
  <c r="E178" i="12"/>
  <c r="R179" i="12"/>
  <c r="D236" i="12"/>
  <c r="D276" i="12" s="1"/>
  <c r="Q236" i="12"/>
  <c r="Q276" i="12" s="1"/>
  <c r="N249" i="12"/>
  <c r="K250" i="12"/>
  <c r="H251" i="12"/>
  <c r="E252" i="12"/>
  <c r="U252" i="12"/>
  <c r="R253" i="12"/>
  <c r="L255" i="12"/>
  <c r="F257" i="12"/>
  <c r="V257" i="12"/>
  <c r="E88" i="13"/>
  <c r="E81" i="12"/>
  <c r="E120" i="12" s="1"/>
  <c r="Q169" i="12"/>
  <c r="Q159" i="12"/>
  <c r="V182" i="12"/>
  <c r="E236" i="12"/>
  <c r="E276" i="12" s="1"/>
  <c r="E247" i="12"/>
  <c r="U236" i="12"/>
  <c r="U247" i="12"/>
  <c r="R236" i="12"/>
  <c r="R276" i="12" s="1"/>
  <c r="R248" i="12"/>
  <c r="F172" i="13"/>
  <c r="H182" i="11"/>
  <c r="H184" i="11"/>
  <c r="H186" i="11"/>
  <c r="H188" i="11"/>
  <c r="H190" i="11"/>
  <c r="H192" i="11"/>
  <c r="H194" i="11"/>
  <c r="H196" i="11"/>
  <c r="H198" i="11"/>
  <c r="H200" i="11"/>
  <c r="H202" i="11"/>
  <c r="H204" i="11"/>
  <c r="H206" i="11"/>
  <c r="H208" i="11"/>
  <c r="H210" i="11"/>
  <c r="H212" i="11"/>
  <c r="J81" i="12"/>
  <c r="F104" i="12"/>
  <c r="V104" i="12"/>
  <c r="S105" i="12"/>
  <c r="P106" i="12"/>
  <c r="M107" i="12"/>
  <c r="J108" i="12"/>
  <c r="G109" i="12"/>
  <c r="D110" i="12"/>
  <c r="T110" i="12"/>
  <c r="Q111" i="12"/>
  <c r="N112" i="12"/>
  <c r="K113" i="12"/>
  <c r="H114" i="12"/>
  <c r="E115" i="12"/>
  <c r="U115" i="12"/>
  <c r="O117" i="12"/>
  <c r="L118" i="12"/>
  <c r="R169" i="12"/>
  <c r="O170" i="12"/>
  <c r="F173" i="12"/>
  <c r="P175" i="12"/>
  <c r="M176" i="12"/>
  <c r="G178" i="12"/>
  <c r="D179" i="12"/>
  <c r="T179" i="12"/>
  <c r="Q180" i="12"/>
  <c r="U185" i="12"/>
  <c r="R186" i="12"/>
  <c r="L188" i="12"/>
  <c r="I189" i="12"/>
  <c r="F190" i="12"/>
  <c r="V190" i="12"/>
  <c r="P192" i="12"/>
  <c r="M170" i="12"/>
  <c r="K174" i="12"/>
  <c r="N178" i="12"/>
  <c r="O187" i="12"/>
  <c r="P249" i="12"/>
  <c r="J251" i="12"/>
  <c r="G252" i="12"/>
  <c r="T253" i="12"/>
  <c r="Q254" i="12"/>
  <c r="K256" i="12"/>
  <c r="E258" i="12"/>
  <c r="L262" i="12"/>
  <c r="V264" i="12"/>
  <c r="P266" i="12"/>
  <c r="M267" i="12"/>
  <c r="G269" i="12"/>
  <c r="D270" i="12"/>
  <c r="Q271" i="12"/>
  <c r="K273" i="12"/>
  <c r="S91" i="14"/>
  <c r="S81" i="14"/>
  <c r="S120" i="14" s="1"/>
  <c r="P81" i="14"/>
  <c r="P92" i="14"/>
  <c r="F91" i="12"/>
  <c r="F42" i="12"/>
  <c r="V91" i="12"/>
  <c r="V42" i="12"/>
  <c r="S248" i="12"/>
  <c r="S92" i="12"/>
  <c r="M94" i="12"/>
  <c r="M250" i="12"/>
  <c r="D253" i="12"/>
  <c r="D97" i="12"/>
  <c r="D175" i="12"/>
  <c r="N99" i="12"/>
  <c r="N255" i="12"/>
  <c r="H257" i="12"/>
  <c r="H101" i="12"/>
  <c r="U102" i="12"/>
  <c r="U258" i="12"/>
  <c r="J268" i="12"/>
  <c r="J190" i="12"/>
  <c r="K81" i="12"/>
  <c r="G104" i="12"/>
  <c r="D105" i="12"/>
  <c r="T105" i="12"/>
  <c r="Q106" i="12"/>
  <c r="N107" i="12"/>
  <c r="K108" i="12"/>
  <c r="P100" i="12"/>
  <c r="F185" i="12"/>
  <c r="G247" i="12"/>
  <c r="D248" i="12"/>
  <c r="Q249" i="12"/>
  <c r="N250" i="12"/>
  <c r="H252" i="12"/>
  <c r="U253" i="12"/>
  <c r="L256" i="12"/>
  <c r="M262" i="12"/>
  <c r="D265" i="12"/>
  <c r="T265" i="12"/>
  <c r="N267" i="12"/>
  <c r="H269" i="12"/>
  <c r="R271" i="12"/>
  <c r="V275" i="12"/>
  <c r="O260" i="12"/>
  <c r="H113" i="13"/>
  <c r="H189" i="13"/>
  <c r="O81" i="12"/>
  <c r="P159" i="12"/>
  <c r="P198" i="12" s="1"/>
  <c r="R187" i="12"/>
  <c r="F236" i="12"/>
  <c r="F276" i="12" s="1"/>
  <c r="V236" i="12"/>
  <c r="V276" i="12" s="1"/>
  <c r="D247" i="12"/>
  <c r="F99" i="13"/>
  <c r="F101" i="13"/>
  <c r="F103" i="13"/>
  <c r="F105" i="13"/>
  <c r="F107" i="13"/>
  <c r="F109" i="13"/>
  <c r="F111" i="13"/>
  <c r="F113" i="13"/>
  <c r="F115" i="13"/>
  <c r="F117" i="13"/>
  <c r="F119" i="13"/>
  <c r="F88" i="13"/>
  <c r="E112" i="13"/>
  <c r="G195" i="13"/>
  <c r="G197" i="13"/>
  <c r="G203" i="13"/>
  <c r="E254" i="13"/>
  <c r="E265" i="13"/>
  <c r="E267" i="13"/>
  <c r="E269" i="13"/>
  <c r="E271" i="13"/>
  <c r="E273" i="13"/>
  <c r="E275" i="13"/>
  <c r="E281" i="13"/>
  <c r="E283" i="13"/>
  <c r="E285" i="13"/>
  <c r="E287" i="13"/>
  <c r="E289" i="13"/>
  <c r="E291" i="13"/>
  <c r="E293" i="13"/>
  <c r="K267" i="13"/>
  <c r="D278" i="13"/>
  <c r="N81" i="14"/>
  <c r="I104" i="14"/>
  <c r="F105" i="14"/>
  <c r="V105" i="14"/>
  <c r="S169" i="12"/>
  <c r="P170" i="12"/>
  <c r="M171" i="12"/>
  <c r="J172" i="12"/>
  <c r="G173" i="12"/>
  <c r="D174" i="12"/>
  <c r="T174" i="12"/>
  <c r="Q175" i="12"/>
  <c r="N176" i="12"/>
  <c r="K177" i="12"/>
  <c r="H178" i="12"/>
  <c r="E179" i="12"/>
  <c r="U179" i="12"/>
  <c r="R180" i="12"/>
  <c r="L258" i="12"/>
  <c r="I260" i="12"/>
  <c r="R273" i="12"/>
  <c r="T274" i="12"/>
  <c r="J292" i="13"/>
  <c r="J209" i="13"/>
  <c r="H197" i="13"/>
  <c r="H199" i="13"/>
  <c r="H205" i="13"/>
  <c r="K186" i="13"/>
  <c r="F197" i="13"/>
  <c r="D203" i="13"/>
  <c r="F267" i="13"/>
  <c r="F269" i="13"/>
  <c r="F271" i="13"/>
  <c r="F275" i="13"/>
  <c r="F283" i="13"/>
  <c r="F285" i="13"/>
  <c r="F287" i="13"/>
  <c r="F291" i="13"/>
  <c r="F293" i="13"/>
  <c r="O81" i="14"/>
  <c r="N159" i="14"/>
  <c r="D169" i="12"/>
  <c r="T169" i="12"/>
  <c r="Q170" i="12"/>
  <c r="N171" i="12"/>
  <c r="K172" i="12"/>
  <c r="H173" i="12"/>
  <c r="E174" i="12"/>
  <c r="U174" i="12"/>
  <c r="R175" i="12"/>
  <c r="O176" i="12"/>
  <c r="L177" i="12"/>
  <c r="I178" i="12"/>
  <c r="F179" i="12"/>
  <c r="V179" i="12"/>
  <c r="S180" i="12"/>
  <c r="R159" i="12"/>
  <c r="R198" i="12" s="1"/>
  <c r="Q182" i="12"/>
  <c r="G196" i="12"/>
  <c r="D260" i="12"/>
  <c r="T260" i="12"/>
  <c r="Q261" i="12"/>
  <c r="N262" i="12"/>
  <c r="K263" i="12"/>
  <c r="H264" i="12"/>
  <c r="E265" i="12"/>
  <c r="U265" i="12"/>
  <c r="R266" i="12"/>
  <c r="O267" i="12"/>
  <c r="L268" i="12"/>
  <c r="I269" i="12"/>
  <c r="F270" i="12"/>
  <c r="V270" i="12"/>
  <c r="S271" i="12"/>
  <c r="M273" i="12"/>
  <c r="J274" i="12"/>
  <c r="G275" i="12"/>
  <c r="F247" i="12"/>
  <c r="E106" i="13"/>
  <c r="F187" i="13"/>
  <c r="K192" i="13"/>
  <c r="K208" i="13"/>
  <c r="G267" i="13"/>
  <c r="G269" i="13"/>
  <c r="G271" i="13"/>
  <c r="G273" i="13"/>
  <c r="G275" i="13"/>
  <c r="G279" i="13"/>
  <c r="G283" i="13"/>
  <c r="G285" i="13"/>
  <c r="G287" i="13"/>
  <c r="G289" i="13"/>
  <c r="G291" i="13"/>
  <c r="G293" i="13"/>
  <c r="G295" i="13"/>
  <c r="O182" i="14"/>
  <c r="O259" i="14"/>
  <c r="L183" i="14"/>
  <c r="L260" i="14"/>
  <c r="V185" i="14"/>
  <c r="V262" i="14"/>
  <c r="G190" i="14"/>
  <c r="G267" i="14"/>
  <c r="Q192" i="14"/>
  <c r="Q269" i="14"/>
  <c r="E196" i="14"/>
  <c r="E273" i="14"/>
  <c r="S159" i="12"/>
  <c r="S198" i="12" s="1"/>
  <c r="I197" i="12"/>
  <c r="G236" i="12"/>
  <c r="G276" i="12" s="1"/>
  <c r="K253" i="12"/>
  <c r="Q268" i="12"/>
  <c r="K88" i="13"/>
  <c r="E126" i="13"/>
  <c r="J183" i="13"/>
  <c r="J185" i="13"/>
  <c r="J187" i="13"/>
  <c r="J189" i="13"/>
  <c r="J191" i="13"/>
  <c r="J193" i="13"/>
  <c r="J201" i="13"/>
  <c r="J203" i="13"/>
  <c r="J207" i="13"/>
  <c r="J211" i="13"/>
  <c r="D193" i="13"/>
  <c r="J197" i="13"/>
  <c r="G42" i="14"/>
  <c r="I88" i="15"/>
  <c r="M42" i="16"/>
  <c r="M198" i="16" s="1"/>
  <c r="S81" i="12"/>
  <c r="F159" i="12"/>
  <c r="V159" i="12"/>
  <c r="V198" i="12" s="1"/>
  <c r="T159" i="12"/>
  <c r="T198" i="12" s="1"/>
  <c r="F191" i="12"/>
  <c r="E100" i="13"/>
  <c r="E116" i="13"/>
  <c r="G193" i="13"/>
  <c r="E204" i="13"/>
  <c r="I265" i="13"/>
  <c r="I254" i="13"/>
  <c r="L168" i="14"/>
  <c r="L159" i="14"/>
  <c r="L197" i="14" s="1"/>
  <c r="G245" i="14"/>
  <c r="D246" i="14"/>
  <c r="T246" i="14"/>
  <c r="N248" i="14"/>
  <c r="H250" i="14"/>
  <c r="E251" i="14"/>
  <c r="U251" i="14"/>
  <c r="O253" i="14"/>
  <c r="F256" i="14"/>
  <c r="R258" i="14"/>
  <c r="I261" i="14"/>
  <c r="F262" i="14"/>
  <c r="S263" i="14"/>
  <c r="P264" i="14"/>
  <c r="D268" i="14"/>
  <c r="T268" i="14"/>
  <c r="K271" i="14"/>
  <c r="H272" i="14"/>
  <c r="J46" i="15"/>
  <c r="I246" i="16"/>
  <c r="I42" i="16"/>
  <c r="F247" i="16"/>
  <c r="F92" i="16"/>
  <c r="V247" i="16"/>
  <c r="V170" i="16"/>
  <c r="J251" i="16"/>
  <c r="J174" i="16"/>
  <c r="G252" i="16"/>
  <c r="G175" i="16"/>
  <c r="D253" i="16"/>
  <c r="D176" i="16"/>
  <c r="T253" i="16"/>
  <c r="T176" i="16"/>
  <c r="T98" i="16"/>
  <c r="Q254" i="16"/>
  <c r="Q177" i="16"/>
  <c r="N255" i="16"/>
  <c r="N178" i="16"/>
  <c r="K256" i="16"/>
  <c r="K179" i="16"/>
  <c r="H257" i="16"/>
  <c r="H180" i="16"/>
  <c r="E259" i="16"/>
  <c r="E104" i="16"/>
  <c r="E182" i="16"/>
  <c r="U259" i="16"/>
  <c r="U182" i="16"/>
  <c r="R260" i="16"/>
  <c r="R183" i="16"/>
  <c r="O261" i="16"/>
  <c r="O184" i="16"/>
  <c r="L262" i="16"/>
  <c r="L185" i="16"/>
  <c r="L107" i="16"/>
  <c r="I263" i="16"/>
  <c r="I108" i="16"/>
  <c r="I186" i="16"/>
  <c r="F264" i="16"/>
  <c r="F187" i="16"/>
  <c r="V264" i="16"/>
  <c r="V187" i="16"/>
  <c r="S265" i="16"/>
  <c r="S188" i="16"/>
  <c r="S110" i="16"/>
  <c r="P266" i="16"/>
  <c r="P189" i="16"/>
  <c r="M267" i="16"/>
  <c r="M190" i="16"/>
  <c r="J268" i="16"/>
  <c r="J191" i="16"/>
  <c r="G269" i="16"/>
  <c r="G192" i="16"/>
  <c r="G114" i="16"/>
  <c r="D270" i="16"/>
  <c r="D193" i="16"/>
  <c r="D115" i="16"/>
  <c r="T270" i="16"/>
  <c r="T193" i="16"/>
  <c r="N272" i="16"/>
  <c r="N195" i="16"/>
  <c r="N117" i="16"/>
  <c r="K273" i="16"/>
  <c r="K196" i="16"/>
  <c r="H274" i="16"/>
  <c r="H197" i="16"/>
  <c r="D81" i="14"/>
  <c r="D91" i="14"/>
  <c r="T81" i="14"/>
  <c r="Q81" i="14"/>
  <c r="Q120" i="14" s="1"/>
  <c r="Q92" i="14"/>
  <c r="M42" i="12"/>
  <c r="E182" i="12"/>
  <c r="U182" i="12"/>
  <c r="R183" i="12"/>
  <c r="O184" i="12"/>
  <c r="L185" i="12"/>
  <c r="I186" i="12"/>
  <c r="F187" i="12"/>
  <c r="V187" i="12"/>
  <c r="S188" i="12"/>
  <c r="P189" i="12"/>
  <c r="M190" i="12"/>
  <c r="J191" i="12"/>
  <c r="G192" i="12"/>
  <c r="D193" i="12"/>
  <c r="T193" i="12"/>
  <c r="N195" i="12"/>
  <c r="K196" i="12"/>
  <c r="H197" i="12"/>
  <c r="F169" i="12"/>
  <c r="F206" i="13"/>
  <c r="K188" i="13"/>
  <c r="D211" i="13"/>
  <c r="D272" i="13"/>
  <c r="D288" i="13"/>
  <c r="H42" i="14"/>
  <c r="E81" i="14"/>
  <c r="E120" i="14" s="1"/>
  <c r="U81" i="14"/>
  <c r="G81" i="12"/>
  <c r="G120" i="12" s="1"/>
  <c r="G185" i="12"/>
  <c r="N236" i="12"/>
  <c r="N276" i="12" s="1"/>
  <c r="M247" i="12"/>
  <c r="F98" i="13"/>
  <c r="F100" i="13"/>
  <c r="F102" i="13"/>
  <c r="F104" i="13"/>
  <c r="F106" i="13"/>
  <c r="F108" i="13"/>
  <c r="F112" i="13"/>
  <c r="F114" i="13"/>
  <c r="F116" i="13"/>
  <c r="F118" i="13"/>
  <c r="F120" i="13"/>
  <c r="F122" i="13"/>
  <c r="F124" i="13"/>
  <c r="F126" i="13"/>
  <c r="F128" i="13"/>
  <c r="E104" i="13"/>
  <c r="G182" i="13"/>
  <c r="G184" i="13"/>
  <c r="G186" i="13"/>
  <c r="G188" i="13"/>
  <c r="G190" i="13"/>
  <c r="G196" i="13"/>
  <c r="G198" i="13"/>
  <c r="G200" i="13"/>
  <c r="G202" i="13"/>
  <c r="G208" i="13"/>
  <c r="G212" i="13"/>
  <c r="E266" i="13"/>
  <c r="E268" i="13"/>
  <c r="E272" i="13"/>
  <c r="E274" i="13"/>
  <c r="E276" i="13"/>
  <c r="E278" i="13"/>
  <c r="E280" i="13"/>
  <c r="E282" i="13"/>
  <c r="E284" i="13"/>
  <c r="E288" i="13"/>
  <c r="E290" i="13"/>
  <c r="E292" i="13"/>
  <c r="E294" i="13"/>
  <c r="G296" i="13"/>
  <c r="G255" i="13"/>
  <c r="V81" i="14"/>
  <c r="V120" i="14" s="1"/>
  <c r="F88" i="15"/>
  <c r="I159" i="12"/>
  <c r="F183" i="12"/>
  <c r="H185" i="12"/>
  <c r="O196" i="12"/>
  <c r="Q197" i="12"/>
  <c r="K260" i="12"/>
  <c r="H261" i="12"/>
  <c r="E262" i="12"/>
  <c r="U262" i="12"/>
  <c r="R263" i="12"/>
  <c r="O264" i="12"/>
  <c r="L265" i="12"/>
  <c r="I266" i="12"/>
  <c r="F267" i="12"/>
  <c r="V267" i="12"/>
  <c r="S268" i="12"/>
  <c r="P269" i="12"/>
  <c r="M270" i="12"/>
  <c r="J271" i="12"/>
  <c r="D273" i="12"/>
  <c r="T273" i="12"/>
  <c r="Q274" i="12"/>
  <c r="N275" i="12"/>
  <c r="N247" i="12"/>
  <c r="G98" i="13"/>
  <c r="G100" i="13"/>
  <c r="G102" i="13"/>
  <c r="G104" i="13"/>
  <c r="G106" i="13"/>
  <c r="G108" i="13"/>
  <c r="G112" i="13"/>
  <c r="G114" i="13"/>
  <c r="G116" i="13"/>
  <c r="G118" i="13"/>
  <c r="G120" i="13"/>
  <c r="G122" i="13"/>
  <c r="G124" i="13"/>
  <c r="G126" i="13"/>
  <c r="G128" i="13"/>
  <c r="D98" i="13"/>
  <c r="H182" i="13"/>
  <c r="H171" i="13"/>
  <c r="J205" i="13"/>
  <c r="E212" i="13"/>
  <c r="F266" i="13"/>
  <c r="F268" i="13"/>
  <c r="F272" i="13"/>
  <c r="F274" i="13"/>
  <c r="F276" i="13"/>
  <c r="F278" i="13"/>
  <c r="F282" i="13"/>
  <c r="F284" i="13"/>
  <c r="M245" i="14"/>
  <c r="M42" i="14"/>
  <c r="K251" i="14"/>
  <c r="K97" i="14"/>
  <c r="F182" i="14"/>
  <c r="F259" i="14"/>
  <c r="V182" i="14"/>
  <c r="V259" i="14"/>
  <c r="M262" i="14"/>
  <c r="M185" i="14"/>
  <c r="J263" i="14"/>
  <c r="J186" i="14"/>
  <c r="G264" i="14"/>
  <c r="G187" i="14"/>
  <c r="T188" i="14"/>
  <c r="T265" i="14"/>
  <c r="N267" i="14"/>
  <c r="N190" i="14"/>
  <c r="H269" i="14"/>
  <c r="H192" i="14"/>
  <c r="O195" i="14"/>
  <c r="O272" i="14"/>
  <c r="G81" i="14"/>
  <c r="G120" i="14" s="1"/>
  <c r="D92" i="14"/>
  <c r="E97" i="14"/>
  <c r="U97" i="14"/>
  <c r="O99" i="14"/>
  <c r="L100" i="14"/>
  <c r="I101" i="14"/>
  <c r="F102" i="14"/>
  <c r="V102" i="14"/>
  <c r="M174" i="12"/>
  <c r="J175" i="12"/>
  <c r="G176" i="12"/>
  <c r="D177" i="12"/>
  <c r="T177" i="12"/>
  <c r="Q178" i="12"/>
  <c r="N179" i="12"/>
  <c r="K180" i="12"/>
  <c r="J159" i="12"/>
  <c r="L189" i="12"/>
  <c r="L260" i="12"/>
  <c r="I261" i="12"/>
  <c r="F262" i="12"/>
  <c r="V262" i="12"/>
  <c r="S263" i="12"/>
  <c r="P264" i="12"/>
  <c r="M265" i="12"/>
  <c r="J266" i="12"/>
  <c r="G267" i="12"/>
  <c r="D268" i="12"/>
  <c r="T268" i="12"/>
  <c r="Q269" i="12"/>
  <c r="N270" i="12"/>
  <c r="K271" i="12"/>
  <c r="E273" i="12"/>
  <c r="U273" i="12"/>
  <c r="R274" i="12"/>
  <c r="O275" i="12"/>
  <c r="O236" i="12"/>
  <c r="O276" i="12" s="1"/>
  <c r="Q248" i="12"/>
  <c r="K194" i="13"/>
  <c r="K277" i="13"/>
  <c r="K196" i="13"/>
  <c r="K279" i="13"/>
  <c r="K198" i="13"/>
  <c r="K281" i="13"/>
  <c r="E98" i="13"/>
  <c r="E114" i="13"/>
  <c r="E124" i="13"/>
  <c r="I182" i="13"/>
  <c r="I171" i="13"/>
  <c r="G266" i="13"/>
  <c r="G268" i="13"/>
  <c r="G270" i="13"/>
  <c r="G274" i="13"/>
  <c r="G276" i="13"/>
  <c r="G278" i="13"/>
  <c r="G280" i="13"/>
  <c r="G282" i="13"/>
  <c r="G284" i="13"/>
  <c r="G286" i="13"/>
  <c r="K283" i="13"/>
  <c r="Q42" i="12"/>
  <c r="K159" i="12"/>
  <c r="K198" i="12" s="1"/>
  <c r="P236" i="12"/>
  <c r="P276" i="12" s="1"/>
  <c r="D197" i="13"/>
  <c r="D280" i="13"/>
  <c r="D199" i="13"/>
  <c r="D282" i="13"/>
  <c r="D292" i="13"/>
  <c r="D209" i="13"/>
  <c r="J213" i="13"/>
  <c r="J192" i="13"/>
  <c r="J194" i="13"/>
  <c r="J196" i="13"/>
  <c r="J200" i="13"/>
  <c r="J202" i="13"/>
  <c r="J204" i="13"/>
  <c r="J206" i="13"/>
  <c r="J210" i="13"/>
  <c r="H268" i="13"/>
  <c r="H270" i="13"/>
  <c r="H276" i="13"/>
  <c r="H284" i="13"/>
  <c r="H286" i="13"/>
  <c r="G265" i="13"/>
  <c r="D284" i="13"/>
  <c r="F81" i="14"/>
  <c r="F120" i="14" s="1"/>
  <c r="K100" i="14"/>
  <c r="K182" i="15"/>
  <c r="K170" i="15"/>
  <c r="K106" i="12"/>
  <c r="S114" i="12"/>
  <c r="T119" i="12"/>
  <c r="R247" i="12"/>
  <c r="O248" i="12"/>
  <c r="L249" i="12"/>
  <c r="I250" i="12"/>
  <c r="F251" i="12"/>
  <c r="V251" i="12"/>
  <c r="S252" i="12"/>
  <c r="P253" i="12"/>
  <c r="M254" i="12"/>
  <c r="J255" i="12"/>
  <c r="G256" i="12"/>
  <c r="D257" i="12"/>
  <c r="T257" i="12"/>
  <c r="Q258" i="12"/>
  <c r="E46" i="13"/>
  <c r="E108" i="13"/>
  <c r="E128" i="13"/>
  <c r="G201" i="13"/>
  <c r="J91" i="14"/>
  <c r="J81" i="14"/>
  <c r="J120" i="14" s="1"/>
  <c r="R120" i="14"/>
  <c r="S247" i="12"/>
  <c r="P248" i="12"/>
  <c r="M249" i="12"/>
  <c r="J250" i="12"/>
  <c r="G251" i="12"/>
  <c r="D252" i="12"/>
  <c r="T252" i="12"/>
  <c r="Q253" i="12"/>
  <c r="N254" i="12"/>
  <c r="K255" i="12"/>
  <c r="H256" i="12"/>
  <c r="E257" i="12"/>
  <c r="U257" i="12"/>
  <c r="R258" i="12"/>
  <c r="L182" i="12"/>
  <c r="I183" i="12"/>
  <c r="F184" i="12"/>
  <c r="V184" i="12"/>
  <c r="S185" i="12"/>
  <c r="P186" i="12"/>
  <c r="M187" i="12"/>
  <c r="J188" i="12"/>
  <c r="G189" i="12"/>
  <c r="D190" i="12"/>
  <c r="T190" i="12"/>
  <c r="Q191" i="12"/>
  <c r="N192" i="12"/>
  <c r="K193" i="12"/>
  <c r="E195" i="12"/>
  <c r="U195" i="12"/>
  <c r="R196" i="12"/>
  <c r="O197" i="12"/>
  <c r="S236" i="12"/>
  <c r="S276" i="12" s="1"/>
  <c r="E102" i="13"/>
  <c r="E183" i="13"/>
  <c r="E185" i="13"/>
  <c r="E187" i="13"/>
  <c r="E189" i="13"/>
  <c r="E191" i="13"/>
  <c r="E193" i="13"/>
  <c r="E207" i="13"/>
  <c r="E209" i="13"/>
  <c r="K171" i="13"/>
  <c r="F286" i="13"/>
  <c r="Q245" i="14"/>
  <c r="Q235" i="14"/>
  <c r="N246" i="14"/>
  <c r="N235" i="14"/>
  <c r="K235" i="14"/>
  <c r="K274" i="14" s="1"/>
  <c r="K247" i="14"/>
  <c r="S97" i="14"/>
  <c r="M99" i="14"/>
  <c r="J100" i="14"/>
  <c r="G101" i="14"/>
  <c r="D102" i="14"/>
  <c r="T102" i="14"/>
  <c r="V91" i="14"/>
  <c r="I94" i="14"/>
  <c r="P97" i="14"/>
  <c r="L109" i="14"/>
  <c r="H111" i="14"/>
  <c r="F117" i="14"/>
  <c r="G168" i="14"/>
  <c r="D169" i="14"/>
  <c r="T169" i="14"/>
  <c r="N171" i="14"/>
  <c r="H173" i="14"/>
  <c r="E174" i="14"/>
  <c r="U174" i="14"/>
  <c r="O176" i="14"/>
  <c r="L177" i="14"/>
  <c r="I178" i="14"/>
  <c r="F179" i="14"/>
  <c r="V179" i="14"/>
  <c r="I174" i="14"/>
  <c r="M191" i="14"/>
  <c r="R235" i="14"/>
  <c r="R274" i="14" s="1"/>
  <c r="O246" i="14"/>
  <c r="L247" i="14"/>
  <c r="I248" i="14"/>
  <c r="M252" i="14"/>
  <c r="J253" i="14"/>
  <c r="G254" i="14"/>
  <c r="D255" i="14"/>
  <c r="T255" i="14"/>
  <c r="Q256" i="14"/>
  <c r="M258" i="14"/>
  <c r="J259" i="14"/>
  <c r="G260" i="14"/>
  <c r="D261" i="14"/>
  <c r="Q262" i="14"/>
  <c r="N263" i="14"/>
  <c r="K264" i="14"/>
  <c r="H265" i="14"/>
  <c r="R267" i="14"/>
  <c r="L269" i="14"/>
  <c r="F271" i="14"/>
  <c r="V271" i="14"/>
  <c r="S272" i="14"/>
  <c r="I98" i="15"/>
  <c r="D212" i="15"/>
  <c r="I202" i="15"/>
  <c r="Q104" i="14"/>
  <c r="N105" i="14"/>
  <c r="K106" i="14"/>
  <c r="H107" i="14"/>
  <c r="E108" i="14"/>
  <c r="U108" i="14"/>
  <c r="R109" i="14"/>
  <c r="O110" i="14"/>
  <c r="F113" i="14"/>
  <c r="V113" i="14"/>
  <c r="S114" i="14"/>
  <c r="P115" i="14"/>
  <c r="J117" i="14"/>
  <c r="G118" i="14"/>
  <c r="D119" i="14"/>
  <c r="J115" i="14"/>
  <c r="H168" i="14"/>
  <c r="H159" i="14"/>
  <c r="H197" i="14" s="1"/>
  <c r="S181" i="14"/>
  <c r="P182" i="14"/>
  <c r="M183" i="14"/>
  <c r="J184" i="14"/>
  <c r="G185" i="14"/>
  <c r="D186" i="14"/>
  <c r="T186" i="14"/>
  <c r="Q187" i="14"/>
  <c r="H190" i="14"/>
  <c r="E191" i="14"/>
  <c r="U191" i="14"/>
  <c r="R192" i="14"/>
  <c r="L194" i="14"/>
  <c r="I195" i="14"/>
  <c r="F196" i="14"/>
  <c r="O169" i="14"/>
  <c r="G177" i="14"/>
  <c r="R184" i="14"/>
  <c r="S245" i="14"/>
  <c r="M247" i="14"/>
  <c r="J248" i="14"/>
  <c r="D250" i="14"/>
  <c r="T250" i="14"/>
  <c r="K253" i="14"/>
  <c r="E255" i="14"/>
  <c r="U255" i="14"/>
  <c r="R256" i="14"/>
  <c r="K87" i="15"/>
  <c r="K98" i="15"/>
  <c r="R104" i="14"/>
  <c r="O105" i="14"/>
  <c r="L106" i="14"/>
  <c r="I107" i="14"/>
  <c r="F108" i="14"/>
  <c r="V108" i="14"/>
  <c r="S109" i="14"/>
  <c r="P110" i="14"/>
  <c r="G113" i="14"/>
  <c r="D114" i="14"/>
  <c r="T114" i="14"/>
  <c r="Q115" i="14"/>
  <c r="K117" i="14"/>
  <c r="H118" i="14"/>
  <c r="E119" i="14"/>
  <c r="H99" i="14"/>
  <c r="R107" i="14"/>
  <c r="N109" i="14"/>
  <c r="I159" i="14"/>
  <c r="I197" i="14" s="1"/>
  <c r="E159" i="14"/>
  <c r="E197" i="14" s="1"/>
  <c r="D245" i="14"/>
  <c r="Q246" i="14"/>
  <c r="K248" i="14"/>
  <c r="E250" i="14"/>
  <c r="U250" i="14"/>
  <c r="R251" i="14"/>
  <c r="I254" i="14"/>
  <c r="V255" i="14"/>
  <c r="S256" i="14"/>
  <c r="I260" i="14"/>
  <c r="F261" i="14"/>
  <c r="S262" i="14"/>
  <c r="P263" i="14"/>
  <c r="M264" i="14"/>
  <c r="D267" i="14"/>
  <c r="T267" i="14"/>
  <c r="N269" i="14"/>
  <c r="H271" i="14"/>
  <c r="T261" i="14"/>
  <c r="D128" i="15"/>
  <c r="D88" i="15"/>
  <c r="E171" i="13"/>
  <c r="I42" i="14"/>
  <c r="S104" i="14"/>
  <c r="P105" i="14"/>
  <c r="M106" i="14"/>
  <c r="J107" i="14"/>
  <c r="G108" i="14"/>
  <c r="D109" i="14"/>
  <c r="T109" i="14"/>
  <c r="Q110" i="14"/>
  <c r="H113" i="14"/>
  <c r="E114" i="14"/>
  <c r="U114" i="14"/>
  <c r="R115" i="14"/>
  <c r="L117" i="14"/>
  <c r="I118" i="14"/>
  <c r="F119" i="14"/>
  <c r="E91" i="14"/>
  <c r="J93" i="14"/>
  <c r="J99" i="14"/>
  <c r="K104" i="14"/>
  <c r="P113" i="14"/>
  <c r="L115" i="14"/>
  <c r="J168" i="14"/>
  <c r="J159" i="14"/>
  <c r="J197" i="14" s="1"/>
  <c r="G169" i="14"/>
  <c r="D170" i="14"/>
  <c r="Q171" i="14"/>
  <c r="K173" i="14"/>
  <c r="H174" i="14"/>
  <c r="E175" i="14"/>
  <c r="R176" i="14"/>
  <c r="O177" i="14"/>
  <c r="L178" i="14"/>
  <c r="I179" i="14"/>
  <c r="G159" i="14"/>
  <c r="G197" i="14" s="1"/>
  <c r="G261" i="14"/>
  <c r="D262" i="14"/>
  <c r="N264" i="14"/>
  <c r="U267" i="14"/>
  <c r="I271" i="14"/>
  <c r="D198" i="16"/>
  <c r="L93" i="14"/>
  <c r="Q96" i="14"/>
  <c r="U100" i="14"/>
  <c r="E106" i="14"/>
  <c r="T107" i="14"/>
  <c r="K159" i="14"/>
  <c r="K197" i="14" s="1"/>
  <c r="F181" i="14"/>
  <c r="V181" i="14"/>
  <c r="S182" i="14"/>
  <c r="P183" i="14"/>
  <c r="M184" i="14"/>
  <c r="J185" i="14"/>
  <c r="G186" i="14"/>
  <c r="D187" i="14"/>
  <c r="T187" i="14"/>
  <c r="Q188" i="14"/>
  <c r="K190" i="14"/>
  <c r="H191" i="14"/>
  <c r="E192" i="14"/>
  <c r="U192" i="14"/>
  <c r="O194" i="14"/>
  <c r="L195" i="14"/>
  <c r="I196" i="14"/>
  <c r="E170" i="14"/>
  <c r="O185" i="14"/>
  <c r="F245" i="14"/>
  <c r="V245" i="14"/>
  <c r="S246" i="14"/>
  <c r="G250" i="14"/>
  <c r="D251" i="14"/>
  <c r="T251" i="14"/>
  <c r="H255" i="14"/>
  <c r="E256" i="14"/>
  <c r="U256" i="14"/>
  <c r="N256" i="14"/>
  <c r="L42" i="14"/>
  <c r="K81" i="14"/>
  <c r="K120" i="14" s="1"/>
  <c r="K91" i="14"/>
  <c r="O102" i="14"/>
  <c r="G106" i="14"/>
  <c r="V117" i="14"/>
  <c r="M159" i="14"/>
  <c r="M197" i="14" s="1"/>
  <c r="J169" i="14"/>
  <c r="G170" i="14"/>
  <c r="D171" i="14"/>
  <c r="T171" i="14"/>
  <c r="N173" i="14"/>
  <c r="K174" i="14"/>
  <c r="H175" i="14"/>
  <c r="E176" i="14"/>
  <c r="U176" i="14"/>
  <c r="R177" i="14"/>
  <c r="O178" i="14"/>
  <c r="L179" i="14"/>
  <c r="H181" i="14"/>
  <c r="E182" i="14"/>
  <c r="U182" i="14"/>
  <c r="R183" i="14"/>
  <c r="O184" i="14"/>
  <c r="L185" i="14"/>
  <c r="I186" i="14"/>
  <c r="F187" i="14"/>
  <c r="V187" i="14"/>
  <c r="S188" i="14"/>
  <c r="M190" i="14"/>
  <c r="J191" i="14"/>
  <c r="G192" i="14"/>
  <c r="Q194" i="14"/>
  <c r="N195" i="14"/>
  <c r="K196" i="14"/>
  <c r="O159" i="14"/>
  <c r="O197" i="14" s="1"/>
  <c r="H182" i="14"/>
  <c r="H235" i="14"/>
  <c r="H274" i="14" s="1"/>
  <c r="H245" i="14"/>
  <c r="E246" i="14"/>
  <c r="E235" i="14"/>
  <c r="E274" i="14" s="1"/>
  <c r="S258" i="14"/>
  <c r="P259" i="14"/>
  <c r="M260" i="14"/>
  <c r="J261" i="14"/>
  <c r="G262" i="14"/>
  <c r="D263" i="14"/>
  <c r="Q264" i="14"/>
  <c r="H267" i="14"/>
  <c r="E268" i="14"/>
  <c r="U268" i="14"/>
  <c r="R269" i="14"/>
  <c r="L271" i="14"/>
  <c r="I272" i="14"/>
  <c r="F273" i="14"/>
  <c r="F248" i="14"/>
  <c r="H88" i="15"/>
  <c r="L81" i="14"/>
  <c r="L120" i="14" s="1"/>
  <c r="Q100" i="14"/>
  <c r="N101" i="14"/>
  <c r="K102" i="14"/>
  <c r="H81" i="14"/>
  <c r="H120" i="14" s="1"/>
  <c r="L91" i="14"/>
  <c r="M92" i="14"/>
  <c r="I110" i="14"/>
  <c r="N168" i="14"/>
  <c r="K169" i="14"/>
  <c r="H170" i="14"/>
  <c r="E171" i="14"/>
  <c r="U171" i="14"/>
  <c r="O173" i="14"/>
  <c r="L174" i="14"/>
  <c r="I175" i="14"/>
  <c r="F176" i="14"/>
  <c r="V176" i="14"/>
  <c r="S177" i="14"/>
  <c r="P178" i="14"/>
  <c r="M179" i="14"/>
  <c r="U159" i="14"/>
  <c r="U197" i="14" s="1"/>
  <c r="M175" i="14"/>
  <c r="I235" i="14"/>
  <c r="M235" i="14"/>
  <c r="M274" i="14" s="1"/>
  <c r="D46" i="15"/>
  <c r="G264" i="15"/>
  <c r="G253" i="15"/>
  <c r="L91" i="16"/>
  <c r="L81" i="16"/>
  <c r="I92" i="16"/>
  <c r="I81" i="16"/>
  <c r="I120" i="16" s="1"/>
  <c r="N251" i="14"/>
  <c r="N174" i="14"/>
  <c r="R255" i="14"/>
  <c r="R178" i="14"/>
  <c r="N42" i="14"/>
  <c r="M81" i="14"/>
  <c r="M120" i="14" s="1"/>
  <c r="H104" i="14"/>
  <c r="E105" i="14"/>
  <c r="U105" i="14"/>
  <c r="R106" i="14"/>
  <c r="O107" i="14"/>
  <c r="L108" i="14"/>
  <c r="I109" i="14"/>
  <c r="F110" i="14"/>
  <c r="V110" i="14"/>
  <c r="S111" i="14"/>
  <c r="M113" i="14"/>
  <c r="J114" i="14"/>
  <c r="G115" i="14"/>
  <c r="Q117" i="14"/>
  <c r="N118" i="14"/>
  <c r="K119" i="14"/>
  <c r="I81" i="14"/>
  <c r="M91" i="14"/>
  <c r="J245" i="14"/>
  <c r="G246" i="14"/>
  <c r="D247" i="14"/>
  <c r="Q248" i="14"/>
  <c r="K250" i="14"/>
  <c r="H251" i="14"/>
  <c r="R253" i="14"/>
  <c r="O254" i="14"/>
  <c r="L255" i="14"/>
  <c r="I256" i="14"/>
  <c r="V248" i="14"/>
  <c r="J87" i="15"/>
  <c r="J97" i="15"/>
  <c r="J103" i="15"/>
  <c r="J107" i="15"/>
  <c r="J109" i="15"/>
  <c r="J113" i="15"/>
  <c r="J117" i="15"/>
  <c r="J121" i="15"/>
  <c r="J125" i="15"/>
  <c r="E170" i="15"/>
  <c r="O42" i="14"/>
  <c r="P107" i="14"/>
  <c r="M108" i="14"/>
  <c r="J109" i="14"/>
  <c r="G110" i="14"/>
  <c r="D111" i="14"/>
  <c r="T111" i="14"/>
  <c r="N113" i="14"/>
  <c r="K114" i="14"/>
  <c r="H115" i="14"/>
  <c r="R117" i="14"/>
  <c r="O118" i="14"/>
  <c r="N91" i="14"/>
  <c r="K98" i="14"/>
  <c r="K110" i="14"/>
  <c r="H246" i="14"/>
  <c r="R248" i="14"/>
  <c r="L250" i="14"/>
  <c r="F252" i="14"/>
  <c r="S253" i="14"/>
  <c r="P254" i="14"/>
  <c r="M255" i="14"/>
  <c r="J256" i="14"/>
  <c r="V258" i="14"/>
  <c r="S259" i="14"/>
  <c r="P260" i="14"/>
  <c r="G263" i="14"/>
  <c r="D264" i="14"/>
  <c r="Q265" i="14"/>
  <c r="K267" i="14"/>
  <c r="L272" i="14"/>
  <c r="I273" i="14"/>
  <c r="T235" i="14"/>
  <c r="F212" i="15"/>
  <c r="S42" i="16"/>
  <c r="J265" i="13"/>
  <c r="J254" i="13"/>
  <c r="J267" i="13"/>
  <c r="J269" i="13"/>
  <c r="J271" i="13"/>
  <c r="J273" i="13"/>
  <c r="J275" i="13"/>
  <c r="J277" i="13"/>
  <c r="J279" i="13"/>
  <c r="J281" i="13"/>
  <c r="J283" i="13"/>
  <c r="J285" i="13"/>
  <c r="J287" i="13"/>
  <c r="J289" i="13"/>
  <c r="J291" i="13"/>
  <c r="J293" i="13"/>
  <c r="J295" i="13"/>
  <c r="P42" i="14"/>
  <c r="P96" i="14"/>
  <c r="M97" i="14"/>
  <c r="J98" i="14"/>
  <c r="G99" i="14"/>
  <c r="D100" i="14"/>
  <c r="T100" i="14"/>
  <c r="Q101" i="14"/>
  <c r="N102" i="14"/>
  <c r="J104" i="14"/>
  <c r="G105" i="14"/>
  <c r="D106" i="14"/>
  <c r="Q107" i="14"/>
  <c r="N108" i="14"/>
  <c r="K109" i="14"/>
  <c r="H110" i="14"/>
  <c r="U111" i="14"/>
  <c r="O113" i="14"/>
  <c r="L114" i="14"/>
  <c r="I115" i="14"/>
  <c r="S117" i="14"/>
  <c r="P118" i="14"/>
  <c r="O91" i="14"/>
  <c r="M114" i="14"/>
  <c r="Q168" i="14"/>
  <c r="Q159" i="14"/>
  <c r="Q197" i="14" s="1"/>
  <c r="N169" i="14"/>
  <c r="K170" i="14"/>
  <c r="H171" i="14"/>
  <c r="R173" i="14"/>
  <c r="O174" i="14"/>
  <c r="L175" i="14"/>
  <c r="I176" i="14"/>
  <c r="F177" i="14"/>
  <c r="V177" i="14"/>
  <c r="S178" i="14"/>
  <c r="P179" i="14"/>
  <c r="L181" i="14"/>
  <c r="I182" i="14"/>
  <c r="F183" i="14"/>
  <c r="S184" i="14"/>
  <c r="P185" i="14"/>
  <c r="M186" i="14"/>
  <c r="J187" i="14"/>
  <c r="Q190" i="14"/>
  <c r="N191" i="14"/>
  <c r="K192" i="14"/>
  <c r="E194" i="14"/>
  <c r="U194" i="14"/>
  <c r="R195" i="14"/>
  <c r="K168" i="14"/>
  <c r="L235" i="14"/>
  <c r="L274" i="14" s="1"/>
  <c r="F247" i="14"/>
  <c r="S248" i="14"/>
  <c r="M250" i="14"/>
  <c r="J251" i="14"/>
  <c r="D253" i="14"/>
  <c r="Q254" i="14"/>
  <c r="K256" i="14"/>
  <c r="G258" i="14"/>
  <c r="Q260" i="14"/>
  <c r="N261" i="14"/>
  <c r="K262" i="14"/>
  <c r="E264" i="14"/>
  <c r="U264" i="14"/>
  <c r="L267" i="14"/>
  <c r="I268" i="14"/>
  <c r="F269" i="14"/>
  <c r="P271" i="14"/>
  <c r="H264" i="14"/>
  <c r="P267" i="14"/>
  <c r="G88" i="13"/>
  <c r="D265" i="13"/>
  <c r="Q42" i="14"/>
  <c r="Q108" i="14"/>
  <c r="R159" i="14"/>
  <c r="R197" i="14" s="1"/>
  <c r="N250" i="14"/>
  <c r="R260" i="14"/>
  <c r="G171" i="15"/>
  <c r="D42" i="14"/>
  <c r="T42" i="14"/>
  <c r="T245" i="14"/>
  <c r="R42" i="14"/>
  <c r="R91" i="14"/>
  <c r="O114" i="14"/>
  <c r="S118" i="14"/>
  <c r="S168" i="14"/>
  <c r="S159" i="14"/>
  <c r="S197" i="14" s="1"/>
  <c r="P169" i="14"/>
  <c r="P159" i="14"/>
  <c r="M170" i="14"/>
  <c r="J171" i="14"/>
  <c r="D173" i="14"/>
  <c r="T173" i="14"/>
  <c r="Q174" i="14"/>
  <c r="N175" i="14"/>
  <c r="K176" i="14"/>
  <c r="H177" i="14"/>
  <c r="E178" i="14"/>
  <c r="U178" i="14"/>
  <c r="R179" i="14"/>
  <c r="N181" i="14"/>
  <c r="K182" i="14"/>
  <c r="H183" i="14"/>
  <c r="E184" i="14"/>
  <c r="U184" i="14"/>
  <c r="R185" i="14"/>
  <c r="O186" i="14"/>
  <c r="L187" i="14"/>
  <c r="I188" i="14"/>
  <c r="S190" i="14"/>
  <c r="P191" i="14"/>
  <c r="M192" i="14"/>
  <c r="G194" i="14"/>
  <c r="D195" i="14"/>
  <c r="T195" i="14"/>
  <c r="O250" i="14"/>
  <c r="L251" i="14"/>
  <c r="I258" i="14"/>
  <c r="P261" i="14"/>
  <c r="D265" i="14"/>
  <c r="K268" i="14"/>
  <c r="R271" i="14"/>
  <c r="R245" i="14"/>
  <c r="D260" i="14"/>
  <c r="I45" i="15"/>
  <c r="I128" i="15" s="1"/>
  <c r="D97" i="15"/>
  <c r="I200" i="15"/>
  <c r="E253" i="15"/>
  <c r="I287" i="15"/>
  <c r="E42" i="14"/>
  <c r="U42" i="14"/>
  <c r="D159" i="14"/>
  <c r="T159" i="14"/>
  <c r="T168" i="14"/>
  <c r="O245" i="14"/>
  <c r="L246" i="14"/>
  <c r="I247" i="14"/>
  <c r="P250" i="14"/>
  <c r="M251" i="14"/>
  <c r="J252" i="14"/>
  <c r="G253" i="14"/>
  <c r="D254" i="14"/>
  <c r="T254" i="14"/>
  <c r="Q255" i="14"/>
  <c r="J258" i="14"/>
  <c r="G259" i="14"/>
  <c r="Q261" i="14"/>
  <c r="N262" i="14"/>
  <c r="K263" i="14"/>
  <c r="U265" i="14"/>
  <c r="O267" i="14"/>
  <c r="L268" i="14"/>
  <c r="I269" i="14"/>
  <c r="S271" i="14"/>
  <c r="P272" i="14"/>
  <c r="O268" i="14"/>
  <c r="M168" i="14"/>
  <c r="N258" i="14"/>
  <c r="K259" i="14"/>
  <c r="H260" i="14"/>
  <c r="E261" i="14"/>
  <c r="U261" i="14"/>
  <c r="R262" i="14"/>
  <c r="O263" i="14"/>
  <c r="L264" i="14"/>
  <c r="I265" i="14"/>
  <c r="S267" i="14"/>
  <c r="P268" i="14"/>
  <c r="M269" i="14"/>
  <c r="G271" i="14"/>
  <c r="D272" i="14"/>
  <c r="T272" i="14"/>
  <c r="O235" i="14"/>
  <c r="O274" i="14" s="1"/>
  <c r="J98" i="15"/>
  <c r="H118" i="15"/>
  <c r="D191" i="15"/>
  <c r="H210" i="15"/>
  <c r="H274" i="15"/>
  <c r="H272" i="15"/>
  <c r="D42" i="16"/>
  <c r="T42" i="16"/>
  <c r="Q169" i="16"/>
  <c r="N170" i="16"/>
  <c r="K171" i="16"/>
  <c r="H172" i="16"/>
  <c r="E173" i="16"/>
  <c r="U173" i="16"/>
  <c r="R174" i="16"/>
  <c r="O175" i="16"/>
  <c r="L176" i="16"/>
  <c r="I177" i="16"/>
  <c r="F178" i="16"/>
  <c r="V178" i="16"/>
  <c r="S179" i="16"/>
  <c r="M182" i="16"/>
  <c r="J183" i="16"/>
  <c r="G184" i="16"/>
  <c r="D185" i="16"/>
  <c r="T185" i="16"/>
  <c r="Q186" i="16"/>
  <c r="N187" i="16"/>
  <c r="K188" i="16"/>
  <c r="H189" i="16"/>
  <c r="E190" i="16"/>
  <c r="U190" i="16"/>
  <c r="R191" i="16"/>
  <c r="O192" i="16"/>
  <c r="L193" i="16"/>
  <c r="F195" i="16"/>
  <c r="V195" i="16"/>
  <c r="S196" i="16"/>
  <c r="P197" i="16"/>
  <c r="P235" i="14"/>
  <c r="G182" i="15"/>
  <c r="G184" i="15"/>
  <c r="G186" i="15"/>
  <c r="G190" i="15"/>
  <c r="G192" i="15"/>
  <c r="G194" i="15"/>
  <c r="G198" i="15"/>
  <c r="G200" i="15"/>
  <c r="G202" i="15"/>
  <c r="G204" i="15"/>
  <c r="G206" i="15"/>
  <c r="G208" i="15"/>
  <c r="G210" i="15"/>
  <c r="I264" i="15"/>
  <c r="I270" i="15"/>
  <c r="I274" i="15"/>
  <c r="I276" i="15"/>
  <c r="I282" i="15"/>
  <c r="U42" i="16"/>
  <c r="R169" i="16"/>
  <c r="R159" i="16"/>
  <c r="E245" i="14"/>
  <c r="U245" i="14"/>
  <c r="R246" i="14"/>
  <c r="L248" i="14"/>
  <c r="F250" i="14"/>
  <c r="V250" i="14"/>
  <c r="S251" i="14"/>
  <c r="M253" i="14"/>
  <c r="J254" i="14"/>
  <c r="G255" i="14"/>
  <c r="D256" i="14"/>
  <c r="T256" i="14"/>
  <c r="G45" i="15"/>
  <c r="G128" i="15" s="1"/>
  <c r="J118" i="15"/>
  <c r="J264" i="15"/>
  <c r="J276" i="15"/>
  <c r="J282" i="15"/>
  <c r="J284" i="15"/>
  <c r="J292" i="15"/>
  <c r="J281" i="15"/>
  <c r="V42" i="16"/>
  <c r="Q258" i="14"/>
  <c r="N259" i="14"/>
  <c r="K260" i="14"/>
  <c r="H261" i="14"/>
  <c r="E262" i="14"/>
  <c r="U262" i="14"/>
  <c r="R263" i="14"/>
  <c r="O264" i="14"/>
  <c r="F267" i="14"/>
  <c r="V267" i="14"/>
  <c r="S268" i="14"/>
  <c r="P269" i="14"/>
  <c r="J271" i="14"/>
  <c r="G272" i="14"/>
  <c r="D273" i="14"/>
  <c r="H45" i="15"/>
  <c r="H212" i="15" s="1"/>
  <c r="H116" i="15"/>
  <c r="K264" i="15"/>
  <c r="K253" i="15"/>
  <c r="G42" i="16"/>
  <c r="P108" i="16"/>
  <c r="K115" i="16"/>
  <c r="T198" i="16"/>
  <c r="S235" i="14"/>
  <c r="S274" i="14" s="1"/>
  <c r="I97" i="15"/>
  <c r="I103" i="15"/>
  <c r="I105" i="15"/>
  <c r="I107" i="15"/>
  <c r="I109" i="15"/>
  <c r="I111" i="15"/>
  <c r="I113" i="15"/>
  <c r="I115" i="15"/>
  <c r="I117" i="15"/>
  <c r="I121" i="15"/>
  <c r="I125" i="15"/>
  <c r="J106" i="15"/>
  <c r="J182" i="15"/>
  <c r="J184" i="15"/>
  <c r="J186" i="15"/>
  <c r="J190" i="15"/>
  <c r="J192" i="15"/>
  <c r="J194" i="15"/>
  <c r="J198" i="15"/>
  <c r="J200" i="15"/>
  <c r="J202" i="15"/>
  <c r="J204" i="15"/>
  <c r="J206" i="15"/>
  <c r="J208" i="15"/>
  <c r="J210" i="15"/>
  <c r="D171" i="15"/>
  <c r="D265" i="15"/>
  <c r="D267" i="15"/>
  <c r="D269" i="15"/>
  <c r="D273" i="15"/>
  <c r="D281" i="15"/>
  <c r="D285" i="15"/>
  <c r="D287" i="15"/>
  <c r="D289" i="15"/>
  <c r="D293" i="15"/>
  <c r="D253" i="15"/>
  <c r="E42" i="16"/>
  <c r="N92" i="16"/>
  <c r="K93" i="16"/>
  <c r="R96" i="16"/>
  <c r="I99" i="16"/>
  <c r="F100" i="16"/>
  <c r="D236" i="16"/>
  <c r="T236" i="16"/>
  <c r="T275" i="16" s="1"/>
  <c r="F159" i="14"/>
  <c r="F197" i="14" s="1"/>
  <c r="V159" i="14"/>
  <c r="V197" i="14" s="1"/>
  <c r="D235" i="14"/>
  <c r="D274" i="14" s="1"/>
  <c r="U235" i="14"/>
  <c r="U274" i="14" s="1"/>
  <c r="J126" i="15"/>
  <c r="D199" i="15"/>
  <c r="D201" i="15"/>
  <c r="D205" i="15"/>
  <c r="D209" i="15"/>
  <c r="O42" i="16"/>
  <c r="P81" i="16"/>
  <c r="I47" i="17"/>
  <c r="V235" i="14"/>
  <c r="V274" i="14" s="1"/>
  <c r="G265" i="15"/>
  <c r="G267" i="15"/>
  <c r="G269" i="15"/>
  <c r="G273" i="15"/>
  <c r="G275" i="15"/>
  <c r="G277" i="15"/>
  <c r="G281" i="15"/>
  <c r="D91" i="16"/>
  <c r="D81" i="16"/>
  <c r="T91" i="16"/>
  <c r="T81" i="16"/>
  <c r="H159" i="16"/>
  <c r="H198" i="16" s="1"/>
  <c r="F235" i="14"/>
  <c r="F274" i="14" s="1"/>
  <c r="E98" i="15"/>
  <c r="E100" i="15"/>
  <c r="E102" i="15"/>
  <c r="E106" i="15"/>
  <c r="E108" i="15"/>
  <c r="E110" i="15"/>
  <c r="E114" i="15"/>
  <c r="E116" i="15"/>
  <c r="E118" i="15"/>
  <c r="E120" i="15"/>
  <c r="E122" i="15"/>
  <c r="E124" i="15"/>
  <c r="E126" i="15"/>
  <c r="E87" i="15"/>
  <c r="G97" i="15"/>
  <c r="H201" i="15"/>
  <c r="H253" i="15"/>
  <c r="H265" i="15"/>
  <c r="H267" i="15"/>
  <c r="H273" i="15"/>
  <c r="H275" i="15"/>
  <c r="H277" i="15"/>
  <c r="H281" i="15"/>
  <c r="H283" i="15"/>
  <c r="H285" i="15"/>
  <c r="H287" i="15"/>
  <c r="H289" i="15"/>
  <c r="H291" i="15"/>
  <c r="H293" i="15"/>
  <c r="I169" i="16"/>
  <c r="F170" i="16"/>
  <c r="S171" i="16"/>
  <c r="P172" i="16"/>
  <c r="M173" i="16"/>
  <c r="P159" i="16"/>
  <c r="P198" i="16" s="1"/>
  <c r="G235" i="14"/>
  <c r="H97" i="15"/>
  <c r="G201" i="15"/>
  <c r="G205" i="15"/>
  <c r="G209" i="15"/>
  <c r="D181" i="15"/>
  <c r="I275" i="15"/>
  <c r="I291" i="15"/>
  <c r="Q159" i="16"/>
  <c r="Q198" i="16" s="1"/>
  <c r="J102" i="15"/>
  <c r="H195" i="15"/>
  <c r="H205" i="15"/>
  <c r="J275" i="15"/>
  <c r="J291" i="15"/>
  <c r="K159" i="16"/>
  <c r="K198" i="16" s="1"/>
  <c r="J235" i="14"/>
  <c r="J274" i="14" s="1"/>
  <c r="I181" i="15"/>
  <c r="I187" i="15"/>
  <c r="I189" i="15"/>
  <c r="I191" i="15"/>
  <c r="I193" i="15"/>
  <c r="I195" i="15"/>
  <c r="I197" i="15"/>
  <c r="I199" i="15"/>
  <c r="I201" i="15"/>
  <c r="I205" i="15"/>
  <c r="I209" i="15"/>
  <c r="K265" i="15"/>
  <c r="K267" i="15"/>
  <c r="K269" i="15"/>
  <c r="L42" i="16"/>
  <c r="H81" i="16"/>
  <c r="H120" i="16" s="1"/>
  <c r="L159" i="16"/>
  <c r="H236" i="16"/>
  <c r="J181" i="15"/>
  <c r="J170" i="15"/>
  <c r="J187" i="15"/>
  <c r="J189" i="15"/>
  <c r="J191" i="15"/>
  <c r="J193" i="15"/>
  <c r="J195" i="15"/>
  <c r="J197" i="15"/>
  <c r="J199" i="15"/>
  <c r="J201" i="15"/>
  <c r="J205" i="15"/>
  <c r="J209" i="15"/>
  <c r="H209" i="15"/>
  <c r="D270" i="15"/>
  <c r="D272" i="15"/>
  <c r="D278" i="15"/>
  <c r="D280" i="15"/>
  <c r="D288" i="15"/>
  <c r="D292" i="15"/>
  <c r="P42" i="16"/>
  <c r="I91" i="16"/>
  <c r="V92" i="16"/>
  <c r="S93" i="16"/>
  <c r="P94" i="16"/>
  <c r="M95" i="16"/>
  <c r="J96" i="16"/>
  <c r="G97" i="16"/>
  <c r="D98" i="16"/>
  <c r="Q99" i="16"/>
  <c r="N100" i="16"/>
  <c r="K101" i="16"/>
  <c r="H102" i="16"/>
  <c r="U104" i="16"/>
  <c r="R105" i="16"/>
  <c r="O106" i="16"/>
  <c r="F109" i="16"/>
  <c r="V109" i="16"/>
  <c r="P111" i="16"/>
  <c r="M112" i="16"/>
  <c r="J113" i="16"/>
  <c r="T115" i="16"/>
  <c r="K118" i="16"/>
  <c r="H119" i="16"/>
  <c r="G198" i="16"/>
  <c r="L246" i="16"/>
  <c r="L236" i="16"/>
  <c r="J100" i="15"/>
  <c r="H181" i="15"/>
  <c r="E270" i="15"/>
  <c r="E272" i="15"/>
  <c r="E274" i="15"/>
  <c r="E278" i="15"/>
  <c r="E280" i="15"/>
  <c r="E282" i="15"/>
  <c r="E288" i="15"/>
  <c r="E292" i="15"/>
  <c r="Q42" i="16"/>
  <c r="Q81" i="16"/>
  <c r="Q120" i="16" s="1"/>
  <c r="N159" i="16"/>
  <c r="N198" i="16" s="1"/>
  <c r="I214" i="17"/>
  <c r="I173" i="17"/>
  <c r="J42" i="16"/>
  <c r="F42" i="16"/>
  <c r="R81" i="16"/>
  <c r="R120" i="16" s="1"/>
  <c r="G182" i="16"/>
  <c r="D183" i="16"/>
  <c r="T183" i="16"/>
  <c r="Q184" i="16"/>
  <c r="N185" i="16"/>
  <c r="K186" i="16"/>
  <c r="H187" i="16"/>
  <c r="E188" i="16"/>
  <c r="U188" i="16"/>
  <c r="R189" i="16"/>
  <c r="O190" i="16"/>
  <c r="L191" i="16"/>
  <c r="I192" i="16"/>
  <c r="F193" i="16"/>
  <c r="V193" i="16"/>
  <c r="P195" i="16"/>
  <c r="M196" i="16"/>
  <c r="J197" i="16"/>
  <c r="I159" i="16"/>
  <c r="I198" i="16" s="1"/>
  <c r="K169" i="16"/>
  <c r="U246" i="16"/>
  <c r="J197" i="17"/>
  <c r="J113" i="17"/>
  <c r="J209" i="17"/>
  <c r="J292" i="17"/>
  <c r="J294" i="17"/>
  <c r="J211" i="17"/>
  <c r="K268" i="17"/>
  <c r="K270" i="17"/>
  <c r="K272" i="17"/>
  <c r="K274" i="17"/>
  <c r="K276" i="17"/>
  <c r="K278" i="17"/>
  <c r="K280" i="17"/>
  <c r="K282" i="17"/>
  <c r="K284" i="17"/>
  <c r="K288" i="17"/>
  <c r="K294" i="17"/>
  <c r="R93" i="16"/>
  <c r="M100" i="16"/>
  <c r="R115" i="16"/>
  <c r="H182" i="16"/>
  <c r="E183" i="16"/>
  <c r="U183" i="16"/>
  <c r="R184" i="16"/>
  <c r="O185" i="16"/>
  <c r="L186" i="16"/>
  <c r="I187" i="16"/>
  <c r="F188" i="16"/>
  <c r="V188" i="16"/>
  <c r="S189" i="16"/>
  <c r="P190" i="16"/>
  <c r="M191" i="16"/>
  <c r="J192" i="16"/>
  <c r="G193" i="16"/>
  <c r="Q195" i="16"/>
  <c r="N196" i="16"/>
  <c r="K197" i="16"/>
  <c r="L169" i="16"/>
  <c r="M178" i="16"/>
  <c r="N184" i="16"/>
  <c r="G186" i="16"/>
  <c r="K46" i="17"/>
  <c r="K47" i="17" s="1"/>
  <c r="K99" i="17"/>
  <c r="K107" i="17"/>
  <c r="K191" i="17"/>
  <c r="K209" i="17"/>
  <c r="K125" i="17"/>
  <c r="M43" i="18"/>
  <c r="M199" i="18" s="1"/>
  <c r="J43" i="18"/>
  <c r="H42" i="16"/>
  <c r="G81" i="16"/>
  <c r="G120" i="16" s="1"/>
  <c r="U81" i="16"/>
  <c r="U120" i="16" s="1"/>
  <c r="Q95" i="16"/>
  <c r="L102" i="16"/>
  <c r="E109" i="16"/>
  <c r="S115" i="16"/>
  <c r="J159" i="16"/>
  <c r="J198" i="16" s="1"/>
  <c r="F183" i="16"/>
  <c r="V183" i="16"/>
  <c r="S184" i="16"/>
  <c r="P185" i="16"/>
  <c r="M186" i="16"/>
  <c r="J187" i="16"/>
  <c r="G188" i="16"/>
  <c r="D189" i="16"/>
  <c r="T189" i="16"/>
  <c r="Q190" i="16"/>
  <c r="N191" i="16"/>
  <c r="K192" i="16"/>
  <c r="H193" i="16"/>
  <c r="U194" i="16"/>
  <c r="R195" i="16"/>
  <c r="O196" i="16"/>
  <c r="L197" i="16"/>
  <c r="M169" i="16"/>
  <c r="H186" i="16"/>
  <c r="I196" i="16"/>
  <c r="O246" i="16"/>
  <c r="L247" i="16"/>
  <c r="I248" i="16"/>
  <c r="F249" i="16"/>
  <c r="V249" i="16"/>
  <c r="S250" i="16"/>
  <c r="P251" i="16"/>
  <c r="M252" i="16"/>
  <c r="J253" i="16"/>
  <c r="G254" i="16"/>
  <c r="D255" i="16"/>
  <c r="T255" i="16"/>
  <c r="Q256" i="16"/>
  <c r="N257" i="16"/>
  <c r="K259" i="16"/>
  <c r="H260" i="16"/>
  <c r="E261" i="16"/>
  <c r="U261" i="16"/>
  <c r="R262" i="16"/>
  <c r="O263" i="16"/>
  <c r="L264" i="16"/>
  <c r="I265" i="16"/>
  <c r="F266" i="16"/>
  <c r="V266" i="16"/>
  <c r="S267" i="16"/>
  <c r="P268" i="16"/>
  <c r="M269" i="16"/>
  <c r="J270" i="16"/>
  <c r="D272" i="16"/>
  <c r="T272" i="16"/>
  <c r="Q273" i="16"/>
  <c r="N274" i="16"/>
  <c r="K290" i="17"/>
  <c r="N43" i="18"/>
  <c r="N199" i="18" s="1"/>
  <c r="N170" i="18"/>
  <c r="H94" i="18"/>
  <c r="H172" i="18"/>
  <c r="E173" i="18"/>
  <c r="E95" i="18"/>
  <c r="U95" i="18"/>
  <c r="U173" i="18"/>
  <c r="O175" i="18"/>
  <c r="O43" i="18"/>
  <c r="O97" i="18"/>
  <c r="S179" i="18"/>
  <c r="S256" i="18"/>
  <c r="M103" i="18"/>
  <c r="M181" i="18"/>
  <c r="M258" i="18"/>
  <c r="V81" i="16"/>
  <c r="N169" i="16"/>
  <c r="O178" i="16"/>
  <c r="G190" i="16"/>
  <c r="F192" i="16"/>
  <c r="J196" i="16"/>
  <c r="P246" i="16"/>
  <c r="P236" i="16"/>
  <c r="M247" i="16"/>
  <c r="M236" i="16"/>
  <c r="J248" i="16"/>
  <c r="G249" i="16"/>
  <c r="D250" i="16"/>
  <c r="T250" i="16"/>
  <c r="Q251" i="16"/>
  <c r="N252" i="16"/>
  <c r="K253" i="16"/>
  <c r="H254" i="16"/>
  <c r="E255" i="16"/>
  <c r="U255" i="16"/>
  <c r="R256" i="16"/>
  <c r="O257" i="16"/>
  <c r="L259" i="16"/>
  <c r="I260" i="16"/>
  <c r="F261" i="16"/>
  <c r="V261" i="16"/>
  <c r="S262" i="16"/>
  <c r="P263" i="16"/>
  <c r="M264" i="16"/>
  <c r="J265" i="16"/>
  <c r="G266" i="16"/>
  <c r="D267" i="16"/>
  <c r="T267" i="16"/>
  <c r="Q268" i="16"/>
  <c r="N269" i="16"/>
  <c r="K270" i="16"/>
  <c r="E272" i="16"/>
  <c r="U272" i="16"/>
  <c r="R273" i="16"/>
  <c r="O274" i="16"/>
  <c r="E266" i="17"/>
  <c r="N42" i="16"/>
  <c r="K42" i="16"/>
  <c r="E81" i="16"/>
  <c r="E120" i="16" s="1"/>
  <c r="H108" i="16"/>
  <c r="V114" i="16"/>
  <c r="O169" i="16"/>
  <c r="L170" i="16"/>
  <c r="I171" i="16"/>
  <c r="F172" i="16"/>
  <c r="V172" i="16"/>
  <c r="S173" i="16"/>
  <c r="P174" i="16"/>
  <c r="M175" i="16"/>
  <c r="J176" i="16"/>
  <c r="G177" i="16"/>
  <c r="D178" i="16"/>
  <c r="T178" i="16"/>
  <c r="Q179" i="16"/>
  <c r="N180" i="16"/>
  <c r="K182" i="16"/>
  <c r="H183" i="16"/>
  <c r="E184" i="16"/>
  <c r="U184" i="16"/>
  <c r="R185" i="16"/>
  <c r="O186" i="16"/>
  <c r="L187" i="16"/>
  <c r="I188" i="16"/>
  <c r="F189" i="16"/>
  <c r="V189" i="16"/>
  <c r="S190" i="16"/>
  <c r="P191" i="16"/>
  <c r="M192" i="16"/>
  <c r="J193" i="16"/>
  <c r="D195" i="16"/>
  <c r="T195" i="16"/>
  <c r="Q196" i="16"/>
  <c r="N197" i="16"/>
  <c r="K190" i="16"/>
  <c r="Q246" i="16"/>
  <c r="Q236" i="16"/>
  <c r="N247" i="16"/>
  <c r="K248" i="16"/>
  <c r="H249" i="16"/>
  <c r="E250" i="16"/>
  <c r="U250" i="16"/>
  <c r="R251" i="16"/>
  <c r="O252" i="16"/>
  <c r="L253" i="16"/>
  <c r="I254" i="16"/>
  <c r="F255" i="16"/>
  <c r="V255" i="16"/>
  <c r="S256" i="16"/>
  <c r="P257" i="16"/>
  <c r="G214" i="17"/>
  <c r="G173" i="17"/>
  <c r="F81" i="16"/>
  <c r="F120" i="16" s="1"/>
  <c r="E92" i="16"/>
  <c r="S98" i="16"/>
  <c r="J107" i="16"/>
  <c r="L182" i="16"/>
  <c r="I183" i="16"/>
  <c r="F184" i="16"/>
  <c r="V184" i="16"/>
  <c r="S185" i="16"/>
  <c r="P186" i="16"/>
  <c r="M187" i="16"/>
  <c r="J188" i="16"/>
  <c r="G189" i="16"/>
  <c r="D190" i="16"/>
  <c r="T190" i="16"/>
  <c r="Q191" i="16"/>
  <c r="N192" i="16"/>
  <c r="K193" i="16"/>
  <c r="E195" i="16"/>
  <c r="U195" i="16"/>
  <c r="R196" i="16"/>
  <c r="O197" i="16"/>
  <c r="O159" i="16"/>
  <c r="U170" i="16"/>
  <c r="I174" i="16"/>
  <c r="P177" i="16"/>
  <c r="D182" i="16"/>
  <c r="L190" i="16"/>
  <c r="R246" i="16"/>
  <c r="R236" i="16"/>
  <c r="R275" i="16" s="1"/>
  <c r="H214" i="17"/>
  <c r="K296" i="17"/>
  <c r="N121" i="18"/>
  <c r="F253" i="15"/>
  <c r="I104" i="16"/>
  <c r="F105" i="16"/>
  <c r="V105" i="16"/>
  <c r="S106" i="16"/>
  <c r="P107" i="16"/>
  <c r="M108" i="16"/>
  <c r="J109" i="16"/>
  <c r="G110" i="16"/>
  <c r="D111" i="16"/>
  <c r="T111" i="16"/>
  <c r="Q112" i="16"/>
  <c r="N113" i="16"/>
  <c r="K114" i="16"/>
  <c r="H115" i="16"/>
  <c r="U116" i="16"/>
  <c r="R117" i="16"/>
  <c r="O118" i="16"/>
  <c r="L119" i="16"/>
  <c r="J81" i="16"/>
  <c r="J120" i="16" s="1"/>
  <c r="S169" i="16"/>
  <c r="P170" i="16"/>
  <c r="M171" i="16"/>
  <c r="J172" i="16"/>
  <c r="G173" i="16"/>
  <c r="D174" i="16"/>
  <c r="T174" i="16"/>
  <c r="Q175" i="16"/>
  <c r="N176" i="16"/>
  <c r="K177" i="16"/>
  <c r="H178" i="16"/>
  <c r="E179" i="16"/>
  <c r="U179" i="16"/>
  <c r="R180" i="16"/>
  <c r="S159" i="16"/>
  <c r="S198" i="16" s="1"/>
  <c r="V169" i="16"/>
  <c r="K214" i="17"/>
  <c r="K173" i="17"/>
  <c r="K187" i="17"/>
  <c r="K189" i="17"/>
  <c r="K193" i="17"/>
  <c r="K197" i="17"/>
  <c r="K199" i="17"/>
  <c r="K201" i="17"/>
  <c r="K203" i="17"/>
  <c r="K205" i="17"/>
  <c r="K207" i="17"/>
  <c r="K211" i="17"/>
  <c r="G283" i="15"/>
  <c r="G285" i="15"/>
  <c r="G287" i="15"/>
  <c r="G289" i="15"/>
  <c r="G291" i="15"/>
  <c r="G293" i="15"/>
  <c r="K81" i="16"/>
  <c r="K120" i="16" s="1"/>
  <c r="F97" i="16"/>
  <c r="F179" i="16"/>
  <c r="V179" i="16"/>
  <c r="S180" i="16"/>
  <c r="P182" i="16"/>
  <c r="M183" i="16"/>
  <c r="J184" i="16"/>
  <c r="G185" i="16"/>
  <c r="D186" i="16"/>
  <c r="T186" i="16"/>
  <c r="Q187" i="16"/>
  <c r="N188" i="16"/>
  <c r="K189" i="16"/>
  <c r="H190" i="16"/>
  <c r="E191" i="16"/>
  <c r="U191" i="16"/>
  <c r="R192" i="16"/>
  <c r="O193" i="16"/>
  <c r="I195" i="16"/>
  <c r="F196" i="16"/>
  <c r="V196" i="16"/>
  <c r="S197" i="16"/>
  <c r="I180" i="16"/>
  <c r="E187" i="16"/>
  <c r="V192" i="16"/>
  <c r="G197" i="16"/>
  <c r="F236" i="16"/>
  <c r="F275" i="16" s="1"/>
  <c r="V236" i="16"/>
  <c r="S247" i="16"/>
  <c r="P248" i="16"/>
  <c r="M249" i="16"/>
  <c r="J250" i="16"/>
  <c r="G251" i="16"/>
  <c r="D252" i="16"/>
  <c r="T252" i="16"/>
  <c r="Q253" i="16"/>
  <c r="N254" i="16"/>
  <c r="K255" i="16"/>
  <c r="H256" i="16"/>
  <c r="E257" i="16"/>
  <c r="U257" i="16"/>
  <c r="R259" i="16"/>
  <c r="O260" i="16"/>
  <c r="L261" i="16"/>
  <c r="I262" i="16"/>
  <c r="F263" i="16"/>
  <c r="V263" i="16"/>
  <c r="S264" i="16"/>
  <c r="P265" i="16"/>
  <c r="M266" i="16"/>
  <c r="J267" i="16"/>
  <c r="G268" i="16"/>
  <c r="D269" i="16"/>
  <c r="T269" i="16"/>
  <c r="Q270" i="16"/>
  <c r="K272" i="16"/>
  <c r="H273" i="16"/>
  <c r="E274" i="16"/>
  <c r="U274" i="16"/>
  <c r="H89" i="17"/>
  <c r="H130" i="17"/>
  <c r="J103" i="17"/>
  <c r="D172" i="17"/>
  <c r="K195" i="17"/>
  <c r="R42" i="16"/>
  <c r="J92" i="16"/>
  <c r="E99" i="16"/>
  <c r="Q105" i="16"/>
  <c r="L112" i="16"/>
  <c r="G119" i="16"/>
  <c r="E159" i="16"/>
  <c r="E198" i="16" s="1"/>
  <c r="U159" i="16"/>
  <c r="U198" i="16" s="1"/>
  <c r="U186" i="16"/>
  <c r="R187" i="16"/>
  <c r="O188" i="16"/>
  <c r="L189" i="16"/>
  <c r="I190" i="16"/>
  <c r="F191" i="16"/>
  <c r="V191" i="16"/>
  <c r="S192" i="16"/>
  <c r="P193" i="16"/>
  <c r="J195" i="16"/>
  <c r="G196" i="16"/>
  <c r="D197" i="16"/>
  <c r="T197" i="16"/>
  <c r="D169" i="16"/>
  <c r="G171" i="16"/>
  <c r="K185" i="16"/>
  <c r="G246" i="16"/>
  <c r="D247" i="16"/>
  <c r="T247" i="16"/>
  <c r="Q248" i="16"/>
  <c r="N249" i="16"/>
  <c r="K250" i="16"/>
  <c r="H251" i="16"/>
  <c r="E252" i="16"/>
  <c r="U252" i="16"/>
  <c r="R253" i="16"/>
  <c r="O254" i="16"/>
  <c r="L255" i="16"/>
  <c r="I256" i="16"/>
  <c r="F257" i="16"/>
  <c r="V257" i="16"/>
  <c r="S259" i="16"/>
  <c r="P260" i="16"/>
  <c r="M261" i="16"/>
  <c r="J262" i="16"/>
  <c r="G263" i="16"/>
  <c r="D264" i="16"/>
  <c r="T264" i="16"/>
  <c r="Q265" i="16"/>
  <c r="N266" i="16"/>
  <c r="K267" i="16"/>
  <c r="H268" i="16"/>
  <c r="E269" i="16"/>
  <c r="U269" i="16"/>
  <c r="R270" i="16"/>
  <c r="L272" i="16"/>
  <c r="I273" i="16"/>
  <c r="F274" i="16"/>
  <c r="V274" i="16"/>
  <c r="E297" i="17"/>
  <c r="I253" i="15"/>
  <c r="P91" i="16"/>
  <c r="M92" i="16"/>
  <c r="J93" i="16"/>
  <c r="G94" i="16"/>
  <c r="D95" i="16"/>
  <c r="T95" i="16"/>
  <c r="Q96" i="16"/>
  <c r="N97" i="16"/>
  <c r="K98" i="16"/>
  <c r="H99" i="16"/>
  <c r="E100" i="16"/>
  <c r="U100" i="16"/>
  <c r="R101" i="16"/>
  <c r="O102" i="16"/>
  <c r="M81" i="16"/>
  <c r="S104" i="16"/>
  <c r="N111" i="16"/>
  <c r="E169" i="16"/>
  <c r="E236" i="16"/>
  <c r="U236" i="16"/>
  <c r="G236" i="16"/>
  <c r="G275" i="16" s="1"/>
  <c r="J99" i="17"/>
  <c r="J105" i="17"/>
  <c r="J107" i="17"/>
  <c r="J109" i="17"/>
  <c r="J111" i="17"/>
  <c r="J115" i="17"/>
  <c r="J119" i="17"/>
  <c r="J121" i="17"/>
  <c r="J123" i="17"/>
  <c r="J125" i="17"/>
  <c r="J127" i="17"/>
  <c r="J129" i="17"/>
  <c r="J253" i="15"/>
  <c r="M104" i="16"/>
  <c r="J105" i="16"/>
  <c r="G106" i="16"/>
  <c r="D107" i="16"/>
  <c r="T107" i="16"/>
  <c r="Q108" i="16"/>
  <c r="N109" i="16"/>
  <c r="K110" i="16"/>
  <c r="H111" i="16"/>
  <c r="E112" i="16"/>
  <c r="U112" i="16"/>
  <c r="R113" i="16"/>
  <c r="O114" i="16"/>
  <c r="L115" i="16"/>
  <c r="F117" i="16"/>
  <c r="V117" i="16"/>
  <c r="S118" i="16"/>
  <c r="P119" i="16"/>
  <c r="N81" i="16"/>
  <c r="N120" i="16" s="1"/>
  <c r="G169" i="16"/>
  <c r="D170" i="16"/>
  <c r="T170" i="16"/>
  <c r="Q171" i="16"/>
  <c r="N172" i="16"/>
  <c r="K173" i="16"/>
  <c r="H174" i="16"/>
  <c r="E175" i="16"/>
  <c r="U175" i="16"/>
  <c r="R176" i="16"/>
  <c r="O177" i="16"/>
  <c r="L178" i="16"/>
  <c r="I179" i="16"/>
  <c r="F180" i="16"/>
  <c r="V180" i="16"/>
  <c r="I236" i="16"/>
  <c r="I275" i="16" s="1"/>
  <c r="K273" i="15"/>
  <c r="K275" i="15"/>
  <c r="K277" i="15"/>
  <c r="K281" i="15"/>
  <c r="K283" i="15"/>
  <c r="K285" i="15"/>
  <c r="K287" i="15"/>
  <c r="K289" i="15"/>
  <c r="K291" i="15"/>
  <c r="K293" i="15"/>
  <c r="O81" i="16"/>
  <c r="O120" i="16" s="1"/>
  <c r="J246" i="16"/>
  <c r="G247" i="16"/>
  <c r="D248" i="16"/>
  <c r="T248" i="16"/>
  <c r="Q249" i="16"/>
  <c r="N250" i="16"/>
  <c r="K251" i="16"/>
  <c r="H252" i="16"/>
  <c r="E253" i="16"/>
  <c r="U253" i="16"/>
  <c r="F259" i="16"/>
  <c r="V259" i="16"/>
  <c r="S260" i="16"/>
  <c r="P261" i="16"/>
  <c r="M262" i="16"/>
  <c r="J263" i="16"/>
  <c r="G264" i="16"/>
  <c r="D265" i="16"/>
  <c r="T265" i="16"/>
  <c r="Q266" i="16"/>
  <c r="N267" i="16"/>
  <c r="K268" i="16"/>
  <c r="H269" i="16"/>
  <c r="E270" i="16"/>
  <c r="U270" i="16"/>
  <c r="O272" i="16"/>
  <c r="L273" i="16"/>
  <c r="I274" i="16"/>
  <c r="D246" i="16"/>
  <c r="I88" i="17"/>
  <c r="H297" i="17"/>
  <c r="S81" i="16"/>
  <c r="D104" i="16"/>
  <c r="R110" i="16"/>
  <c r="M117" i="16"/>
  <c r="F159" i="16"/>
  <c r="F198" i="16" s="1"/>
  <c r="V159" i="16"/>
  <c r="V198" i="16" s="1"/>
  <c r="J170" i="16"/>
  <c r="L179" i="16"/>
  <c r="O189" i="16"/>
  <c r="K246" i="16"/>
  <c r="K236" i="16"/>
  <c r="K275" i="16" s="1"/>
  <c r="H247" i="16"/>
  <c r="E248" i="16"/>
  <c r="U248" i="16"/>
  <c r="R249" i="16"/>
  <c r="O250" i="16"/>
  <c r="L251" i="16"/>
  <c r="I252" i="16"/>
  <c r="F253" i="16"/>
  <c r="V253" i="16"/>
  <c r="S254" i="16"/>
  <c r="P255" i="16"/>
  <c r="M256" i="16"/>
  <c r="J257" i="16"/>
  <c r="G259" i="16"/>
  <c r="D260" i="16"/>
  <c r="T260" i="16"/>
  <c r="Q261" i="16"/>
  <c r="N262" i="16"/>
  <c r="K263" i="16"/>
  <c r="H264" i="16"/>
  <c r="E265" i="16"/>
  <c r="U265" i="16"/>
  <c r="R266" i="16"/>
  <c r="O267" i="16"/>
  <c r="L268" i="16"/>
  <c r="I269" i="16"/>
  <c r="F270" i="16"/>
  <c r="V270" i="16"/>
  <c r="P272" i="16"/>
  <c r="M273" i="16"/>
  <c r="J274" i="16"/>
  <c r="E130" i="17"/>
  <c r="J88" i="17"/>
  <c r="K129" i="17"/>
  <c r="K185" i="17"/>
  <c r="F246" i="16"/>
  <c r="V246" i="16"/>
  <c r="D46" i="17"/>
  <c r="K88" i="17"/>
  <c r="H198" i="17"/>
  <c r="F213" i="17"/>
  <c r="G255" i="17"/>
  <c r="G288" i="17"/>
  <c r="G294" i="17"/>
  <c r="H266" i="17"/>
  <c r="K291" i="17"/>
  <c r="J236" i="16"/>
  <c r="J275" i="16" s="1"/>
  <c r="F106" i="17"/>
  <c r="K183" i="17"/>
  <c r="F191" i="17"/>
  <c r="H276" i="17"/>
  <c r="H278" i="17"/>
  <c r="H280" i="17"/>
  <c r="H282" i="17"/>
  <c r="H284" i="17"/>
  <c r="H286" i="17"/>
  <c r="H288" i="17"/>
  <c r="H294" i="17"/>
  <c r="H296" i="17"/>
  <c r="K266" i="17"/>
  <c r="O82" i="18"/>
  <c r="O121" i="18" s="1"/>
  <c r="F46" i="17"/>
  <c r="J172" i="17"/>
  <c r="H186" i="17"/>
  <c r="F201" i="17"/>
  <c r="I266" i="17"/>
  <c r="I268" i="17"/>
  <c r="I270" i="17"/>
  <c r="I272" i="17"/>
  <c r="I274" i="17"/>
  <c r="I276" i="17"/>
  <c r="I278" i="17"/>
  <c r="I280" i="17"/>
  <c r="I282" i="17"/>
  <c r="I284" i="17"/>
  <c r="I290" i="17"/>
  <c r="I296" i="17"/>
  <c r="F287" i="17"/>
  <c r="J183" i="18"/>
  <c r="G184" i="18"/>
  <c r="D185" i="18"/>
  <c r="T185" i="18"/>
  <c r="Q186" i="18"/>
  <c r="N187" i="18"/>
  <c r="K188" i="18"/>
  <c r="H189" i="18"/>
  <c r="E190" i="18"/>
  <c r="U190" i="18"/>
  <c r="R191" i="18"/>
  <c r="O192" i="18"/>
  <c r="L193" i="18"/>
  <c r="I194" i="18"/>
  <c r="V195" i="18"/>
  <c r="S196" i="18"/>
  <c r="P197" i="18"/>
  <c r="M198" i="18"/>
  <c r="E100" i="17"/>
  <c r="G104" i="17"/>
  <c r="K120" i="17"/>
  <c r="F211" i="17"/>
  <c r="J266" i="17"/>
  <c r="J255" i="17"/>
  <c r="J268" i="17"/>
  <c r="J270" i="17"/>
  <c r="J272" i="17"/>
  <c r="J274" i="17"/>
  <c r="J276" i="17"/>
  <c r="J278" i="17"/>
  <c r="J280" i="17"/>
  <c r="J282" i="17"/>
  <c r="J284" i="17"/>
  <c r="J286" i="17"/>
  <c r="J288" i="17"/>
  <c r="J290" i="17"/>
  <c r="J296" i="17"/>
  <c r="R43" i="18"/>
  <c r="H46" i="17"/>
  <c r="H47" i="17" s="1"/>
  <c r="H118" i="17"/>
  <c r="F189" i="17"/>
  <c r="K297" i="17"/>
  <c r="K256" i="17"/>
  <c r="K286" i="17"/>
  <c r="K292" i="17"/>
  <c r="H267" i="17"/>
  <c r="L82" i="18"/>
  <c r="L121" i="18" s="1"/>
  <c r="L92" i="18"/>
  <c r="I82" i="18"/>
  <c r="I93" i="18"/>
  <c r="N236" i="16"/>
  <c r="N275" i="16" s="1"/>
  <c r="H128" i="17"/>
  <c r="F199" i="17"/>
  <c r="G283" i="17"/>
  <c r="D43" i="18"/>
  <c r="D199" i="18" s="1"/>
  <c r="T43" i="18"/>
  <c r="T199" i="18" s="1"/>
  <c r="P260" i="18"/>
  <c r="P105" i="18"/>
  <c r="J107" i="18"/>
  <c r="J262" i="18"/>
  <c r="G263" i="18"/>
  <c r="G108" i="18"/>
  <c r="D264" i="18"/>
  <c r="D109" i="18"/>
  <c r="N266" i="18"/>
  <c r="N111" i="18"/>
  <c r="E269" i="18"/>
  <c r="E114" i="18"/>
  <c r="U114" i="18"/>
  <c r="U269" i="18"/>
  <c r="R270" i="18"/>
  <c r="R115" i="18"/>
  <c r="I273" i="18"/>
  <c r="I118" i="18"/>
  <c r="S275" i="18"/>
  <c r="S120" i="18"/>
  <c r="M92" i="18"/>
  <c r="M82" i="18"/>
  <c r="J93" i="18"/>
  <c r="G94" i="18"/>
  <c r="D95" i="18"/>
  <c r="T95" i="18"/>
  <c r="Q96" i="18"/>
  <c r="N97" i="18"/>
  <c r="K98" i="18"/>
  <c r="H99" i="18"/>
  <c r="O236" i="16"/>
  <c r="F209" i="17"/>
  <c r="E267" i="17"/>
  <c r="E269" i="17"/>
  <c r="E271" i="17"/>
  <c r="E273" i="17"/>
  <c r="E275" i="17"/>
  <c r="E277" i="17"/>
  <c r="E279" i="17"/>
  <c r="E281" i="17"/>
  <c r="E283" i="17"/>
  <c r="F288" i="17"/>
  <c r="E43" i="18"/>
  <c r="E276" i="18" s="1"/>
  <c r="N92" i="18"/>
  <c r="K93" i="18"/>
  <c r="H82" i="18"/>
  <c r="H121" i="18" s="1"/>
  <c r="R96" i="18"/>
  <c r="L98" i="18"/>
  <c r="I99" i="18"/>
  <c r="F100" i="18"/>
  <c r="V100" i="18"/>
  <c r="S101" i="18"/>
  <c r="P102" i="18"/>
  <c r="K128" i="17"/>
  <c r="E214" i="17"/>
  <c r="F187" i="17"/>
  <c r="F267" i="17"/>
  <c r="F269" i="17"/>
  <c r="F271" i="17"/>
  <c r="F273" i="17"/>
  <c r="F275" i="17"/>
  <c r="F277" i="17"/>
  <c r="F279" i="17"/>
  <c r="F281" i="17"/>
  <c r="F283" i="17"/>
  <c r="F285" i="17"/>
  <c r="F289" i="17"/>
  <c r="F295" i="17"/>
  <c r="I255" i="17"/>
  <c r="Q171" i="18"/>
  <c r="N172" i="18"/>
  <c r="H174" i="18"/>
  <c r="E175" i="18"/>
  <c r="U175" i="18"/>
  <c r="O177" i="18"/>
  <c r="L178" i="18"/>
  <c r="I179" i="18"/>
  <c r="V180" i="18"/>
  <c r="S181" i="18"/>
  <c r="H173" i="17"/>
  <c r="F197" i="17"/>
  <c r="G285" i="17"/>
  <c r="G287" i="17"/>
  <c r="G289" i="17"/>
  <c r="G291" i="17"/>
  <c r="G293" i="17"/>
  <c r="G295" i="17"/>
  <c r="G183" i="17"/>
  <c r="G185" i="17"/>
  <c r="G187" i="17"/>
  <c r="G189" i="17"/>
  <c r="G191" i="17"/>
  <c r="G193" i="17"/>
  <c r="G197" i="17"/>
  <c r="G199" i="17"/>
  <c r="G201" i="17"/>
  <c r="G203" i="17"/>
  <c r="G205" i="17"/>
  <c r="G207" i="17"/>
  <c r="G209" i="17"/>
  <c r="G211" i="17"/>
  <c r="G213" i="17"/>
  <c r="F207" i="17"/>
  <c r="H287" i="17"/>
  <c r="H291" i="17"/>
  <c r="H247" i="18"/>
  <c r="H170" i="18"/>
  <c r="H43" i="18"/>
  <c r="E248" i="18"/>
  <c r="E171" i="18"/>
  <c r="U248" i="18"/>
  <c r="U171" i="18"/>
  <c r="R249" i="18"/>
  <c r="R172" i="18"/>
  <c r="O250" i="18"/>
  <c r="O173" i="18"/>
  <c r="L251" i="18"/>
  <c r="L174" i="18"/>
  <c r="I252" i="18"/>
  <c r="I175" i="18"/>
  <c r="F253" i="18"/>
  <c r="F176" i="18"/>
  <c r="V253" i="18"/>
  <c r="V176" i="18"/>
  <c r="Q82" i="18"/>
  <c r="D276" i="18"/>
  <c r="T276" i="18"/>
  <c r="U276" i="18"/>
  <c r="S236" i="16"/>
  <c r="F103" i="17"/>
  <c r="F129" i="17"/>
  <c r="F185" i="17"/>
  <c r="I287" i="17"/>
  <c r="I289" i="17"/>
  <c r="I291" i="17"/>
  <c r="I293" i="17"/>
  <c r="I295" i="17"/>
  <c r="R92" i="18"/>
  <c r="R82" i="18"/>
  <c r="R121" i="18" s="1"/>
  <c r="M261" i="18"/>
  <c r="T264" i="18"/>
  <c r="Q265" i="18"/>
  <c r="K267" i="18"/>
  <c r="H268" i="18"/>
  <c r="O271" i="18"/>
  <c r="F274" i="18"/>
  <c r="V274" i="18"/>
  <c r="F110" i="17"/>
  <c r="F112" i="17"/>
  <c r="F114" i="17"/>
  <c r="F116" i="17"/>
  <c r="F118" i="17"/>
  <c r="F120" i="17"/>
  <c r="F122" i="17"/>
  <c r="F124" i="17"/>
  <c r="F126" i="17"/>
  <c r="F128" i="17"/>
  <c r="F88" i="17"/>
  <c r="J285" i="17"/>
  <c r="J287" i="17"/>
  <c r="J289" i="17"/>
  <c r="U43" i="18"/>
  <c r="S82" i="18"/>
  <c r="G46" i="19"/>
  <c r="G88" i="17"/>
  <c r="E183" i="17"/>
  <c r="K267" i="17"/>
  <c r="K269" i="17"/>
  <c r="K271" i="17"/>
  <c r="K273" i="17"/>
  <c r="K275" i="17"/>
  <c r="K277" i="17"/>
  <c r="K279" i="17"/>
  <c r="K281" i="17"/>
  <c r="K283" i="17"/>
  <c r="K289" i="17"/>
  <c r="D170" i="18"/>
  <c r="F183" i="17"/>
  <c r="D266" i="17"/>
  <c r="D255" i="17"/>
  <c r="D268" i="17"/>
  <c r="D270" i="17"/>
  <c r="D272" i="17"/>
  <c r="D274" i="17"/>
  <c r="D276" i="17"/>
  <c r="L43" i="18"/>
  <c r="L247" i="18"/>
  <c r="L170" i="18"/>
  <c r="P43" i="18"/>
  <c r="J105" i="18"/>
  <c r="G106" i="18"/>
  <c r="D107" i="18"/>
  <c r="T107" i="18"/>
  <c r="Q108" i="18"/>
  <c r="N109" i="18"/>
  <c r="K110" i="18"/>
  <c r="H111" i="18"/>
  <c r="E112" i="18"/>
  <c r="U112" i="18"/>
  <c r="R113" i="18"/>
  <c r="O114" i="18"/>
  <c r="L115" i="18"/>
  <c r="I116" i="18"/>
  <c r="V117" i="18"/>
  <c r="S118" i="18"/>
  <c r="P119" i="18"/>
  <c r="M120" i="18"/>
  <c r="Q100" i="18"/>
  <c r="G247" i="18"/>
  <c r="D248" i="18"/>
  <c r="T248" i="18"/>
  <c r="Q249" i="18"/>
  <c r="N250" i="18"/>
  <c r="K251" i="18"/>
  <c r="H252" i="18"/>
  <c r="E253" i="18"/>
  <c r="U253" i="18"/>
  <c r="R254" i="18"/>
  <c r="O255" i="18"/>
  <c r="L256" i="18"/>
  <c r="I257" i="18"/>
  <c r="F258" i="18"/>
  <c r="V258" i="18"/>
  <c r="O261" i="18"/>
  <c r="L262" i="18"/>
  <c r="V264" i="18"/>
  <c r="S265" i="18"/>
  <c r="P266" i="18"/>
  <c r="J268" i="18"/>
  <c r="G269" i="18"/>
  <c r="F275" i="18"/>
  <c r="E285" i="17"/>
  <c r="E287" i="17"/>
  <c r="E289" i="17"/>
  <c r="E291" i="17"/>
  <c r="E293" i="17"/>
  <c r="E295" i="17"/>
  <c r="Q43" i="18"/>
  <c r="S94" i="18"/>
  <c r="F110" i="18"/>
  <c r="Q170" i="18"/>
  <c r="N171" i="18"/>
  <c r="K172" i="18"/>
  <c r="H173" i="18"/>
  <c r="E174" i="18"/>
  <c r="U174" i="18"/>
  <c r="R175" i="18"/>
  <c r="O176" i="18"/>
  <c r="L177" i="18"/>
  <c r="I178" i="18"/>
  <c r="F179" i="18"/>
  <c r="V179" i="18"/>
  <c r="S180" i="18"/>
  <c r="P181" i="18"/>
  <c r="R184" i="18"/>
  <c r="M191" i="18"/>
  <c r="T194" i="18"/>
  <c r="D265" i="18"/>
  <c r="R271" i="18"/>
  <c r="T249" i="18"/>
  <c r="G98" i="19"/>
  <c r="G87" i="19"/>
  <c r="D171" i="19"/>
  <c r="M42" i="20"/>
  <c r="I105" i="20"/>
  <c r="I183" i="20"/>
  <c r="F184" i="20"/>
  <c r="F106" i="20"/>
  <c r="V184" i="20"/>
  <c r="V106" i="20"/>
  <c r="P186" i="20"/>
  <c r="P108" i="20"/>
  <c r="M187" i="20"/>
  <c r="M109" i="20"/>
  <c r="J110" i="20"/>
  <c r="J188" i="20"/>
  <c r="G189" i="20"/>
  <c r="G111" i="20"/>
  <c r="N192" i="20"/>
  <c r="N114" i="20"/>
  <c r="K193" i="20"/>
  <c r="K115" i="20"/>
  <c r="H194" i="20"/>
  <c r="H116" i="20"/>
  <c r="R196" i="20"/>
  <c r="R118" i="20"/>
  <c r="O197" i="20"/>
  <c r="O119" i="20"/>
  <c r="S43" i="18"/>
  <c r="P82" i="18"/>
  <c r="K102" i="18"/>
  <c r="D116" i="18"/>
  <c r="R170" i="18"/>
  <c r="R160" i="18"/>
  <c r="R199" i="18" s="1"/>
  <c r="T170" i="18"/>
  <c r="I247" i="18"/>
  <c r="I237" i="18"/>
  <c r="I276" i="18" s="1"/>
  <c r="F248" i="18"/>
  <c r="F237" i="18"/>
  <c r="V248" i="18"/>
  <c r="V237" i="18"/>
  <c r="V276" i="18" s="1"/>
  <c r="S249" i="18"/>
  <c r="P250" i="18"/>
  <c r="M251" i="18"/>
  <c r="J252" i="18"/>
  <c r="G253" i="18"/>
  <c r="D254" i="18"/>
  <c r="T254" i="18"/>
  <c r="Q255" i="18"/>
  <c r="N256" i="18"/>
  <c r="K257" i="18"/>
  <c r="H258" i="18"/>
  <c r="D260" i="18"/>
  <c r="T260" i="18"/>
  <c r="Q261" i="18"/>
  <c r="N262" i="18"/>
  <c r="K263" i="18"/>
  <c r="U265" i="18"/>
  <c r="R266" i="18"/>
  <c r="O267" i="18"/>
  <c r="L268" i="18"/>
  <c r="I269" i="18"/>
  <c r="F270" i="18"/>
  <c r="V270" i="18"/>
  <c r="M273" i="18"/>
  <c r="J274" i="18"/>
  <c r="G275" i="18"/>
  <c r="V249" i="18"/>
  <c r="E172" i="19"/>
  <c r="E185" i="19"/>
  <c r="E187" i="19"/>
  <c r="E189" i="19"/>
  <c r="E191" i="19"/>
  <c r="E193" i="19"/>
  <c r="E195" i="19"/>
  <c r="E197" i="19"/>
  <c r="E199" i="19"/>
  <c r="E201" i="19"/>
  <c r="E205" i="19"/>
  <c r="E207" i="19"/>
  <c r="E209" i="19"/>
  <c r="E211" i="19"/>
  <c r="K42" i="20"/>
  <c r="K199" i="20" s="1"/>
  <c r="Q92" i="18"/>
  <c r="N93" i="18"/>
  <c r="K94" i="18"/>
  <c r="H95" i="18"/>
  <c r="E96" i="18"/>
  <c r="U96" i="18"/>
  <c r="R97" i="18"/>
  <c r="O98" i="18"/>
  <c r="L99" i="18"/>
  <c r="I100" i="18"/>
  <c r="F101" i="18"/>
  <c r="V101" i="18"/>
  <c r="S102" i="18"/>
  <c r="P103" i="18"/>
  <c r="M105" i="18"/>
  <c r="J106" i="18"/>
  <c r="G107" i="18"/>
  <c r="D108" i="18"/>
  <c r="T108" i="18"/>
  <c r="Q109" i="18"/>
  <c r="N110" i="18"/>
  <c r="K111" i="18"/>
  <c r="H112" i="18"/>
  <c r="E113" i="18"/>
  <c r="U113" i="18"/>
  <c r="R114" i="18"/>
  <c r="O115" i="18"/>
  <c r="L116" i="18"/>
  <c r="F118" i="18"/>
  <c r="V118" i="18"/>
  <c r="S119" i="18"/>
  <c r="P120" i="18"/>
  <c r="M96" i="18"/>
  <c r="L108" i="18"/>
  <c r="S160" i="18"/>
  <c r="S199" i="18" s="1"/>
  <c r="J237" i="18"/>
  <c r="J276" i="18" s="1"/>
  <c r="O256" i="18"/>
  <c r="L257" i="18"/>
  <c r="I258" i="18"/>
  <c r="E260" i="18"/>
  <c r="U260" i="18"/>
  <c r="R261" i="18"/>
  <c r="L263" i="18"/>
  <c r="I264" i="18"/>
  <c r="F265" i="18"/>
  <c r="V265" i="18"/>
  <c r="S266" i="18"/>
  <c r="P267" i="18"/>
  <c r="M268" i="18"/>
  <c r="G270" i="18"/>
  <c r="D271" i="18"/>
  <c r="T271" i="18"/>
  <c r="N273" i="18"/>
  <c r="K274" i="18"/>
  <c r="H275" i="18"/>
  <c r="T270" i="18"/>
  <c r="D287" i="19"/>
  <c r="J114" i="18"/>
  <c r="O183" i="18"/>
  <c r="L184" i="18"/>
  <c r="I185" i="18"/>
  <c r="F186" i="18"/>
  <c r="V186" i="18"/>
  <c r="S187" i="18"/>
  <c r="P188" i="18"/>
  <c r="M189" i="18"/>
  <c r="J190" i="18"/>
  <c r="G191" i="18"/>
  <c r="D192" i="18"/>
  <c r="T192" i="18"/>
  <c r="Q193" i="18"/>
  <c r="N194" i="18"/>
  <c r="H196" i="18"/>
  <c r="E197" i="18"/>
  <c r="U197" i="18"/>
  <c r="R198" i="18"/>
  <c r="N188" i="18"/>
  <c r="H198" i="18"/>
  <c r="K237" i="18"/>
  <c r="K276" i="18" s="1"/>
  <c r="H237" i="18"/>
  <c r="H276" i="18" s="1"/>
  <c r="F260" i="18"/>
  <c r="V260" i="18"/>
  <c r="S261" i="18"/>
  <c r="M263" i="18"/>
  <c r="J264" i="18"/>
  <c r="T266" i="18"/>
  <c r="Q267" i="18"/>
  <c r="N268" i="18"/>
  <c r="H270" i="18"/>
  <c r="E271" i="18"/>
  <c r="O273" i="18"/>
  <c r="L274" i="18"/>
  <c r="I275" i="18"/>
  <c r="M237" i="18"/>
  <c r="M276" i="18" s="1"/>
  <c r="Q250" i="18"/>
  <c r="R260" i="18"/>
  <c r="D45" i="19"/>
  <c r="D46" i="19" s="1"/>
  <c r="D265" i="19"/>
  <c r="D186" i="19"/>
  <c r="D269" i="19"/>
  <c r="D273" i="19"/>
  <c r="D190" i="19"/>
  <c r="D281" i="19"/>
  <c r="D198" i="19"/>
  <c r="D283" i="19"/>
  <c r="D200" i="19"/>
  <c r="D285" i="19"/>
  <c r="D202" i="19"/>
  <c r="D293" i="19"/>
  <c r="D210" i="19"/>
  <c r="D184" i="19"/>
  <c r="V43" i="18"/>
  <c r="S92" i="18"/>
  <c r="P93" i="18"/>
  <c r="M94" i="18"/>
  <c r="J95" i="18"/>
  <c r="G96" i="18"/>
  <c r="D97" i="18"/>
  <c r="T97" i="18"/>
  <c r="Q98" i="18"/>
  <c r="N99" i="18"/>
  <c r="K100" i="18"/>
  <c r="H101" i="18"/>
  <c r="E102" i="18"/>
  <c r="U102" i="18"/>
  <c r="R103" i="18"/>
  <c r="G98" i="18"/>
  <c r="E170" i="18"/>
  <c r="U170" i="18"/>
  <c r="R171" i="18"/>
  <c r="O172" i="18"/>
  <c r="L173" i="18"/>
  <c r="I174" i="18"/>
  <c r="F175" i="18"/>
  <c r="V175" i="18"/>
  <c r="S176" i="18"/>
  <c r="P177" i="18"/>
  <c r="M178" i="18"/>
  <c r="J179" i="18"/>
  <c r="G180" i="18"/>
  <c r="D181" i="18"/>
  <c r="T181" i="18"/>
  <c r="P183" i="18"/>
  <c r="M184" i="18"/>
  <c r="J185" i="18"/>
  <c r="G186" i="18"/>
  <c r="D187" i="18"/>
  <c r="T187" i="18"/>
  <c r="Q188" i="18"/>
  <c r="N189" i="18"/>
  <c r="K190" i="18"/>
  <c r="H191" i="18"/>
  <c r="E192" i="18"/>
  <c r="U192" i="18"/>
  <c r="R193" i="18"/>
  <c r="O194" i="18"/>
  <c r="I196" i="18"/>
  <c r="F197" i="18"/>
  <c r="V197" i="18"/>
  <c r="S198" i="18"/>
  <c r="O185" i="18"/>
  <c r="V188" i="18"/>
  <c r="L237" i="18"/>
  <c r="L276" i="18" s="1"/>
  <c r="O237" i="18"/>
  <c r="O276" i="18" s="1"/>
  <c r="H213" i="19"/>
  <c r="H172" i="19"/>
  <c r="J291" i="17"/>
  <c r="J293" i="17"/>
  <c r="J295" i="17"/>
  <c r="M190" i="18"/>
  <c r="M267" i="18"/>
  <c r="D193" i="18"/>
  <c r="D270" i="18"/>
  <c r="D92" i="18"/>
  <c r="T92" i="18"/>
  <c r="Q93" i="18"/>
  <c r="N94" i="18"/>
  <c r="K95" i="18"/>
  <c r="H96" i="18"/>
  <c r="E97" i="18"/>
  <c r="U97" i="18"/>
  <c r="R98" i="18"/>
  <c r="O99" i="18"/>
  <c r="L100" i="18"/>
  <c r="I101" i="18"/>
  <c r="F102" i="18"/>
  <c r="V102" i="18"/>
  <c r="S103" i="18"/>
  <c r="I92" i="18"/>
  <c r="P112" i="18"/>
  <c r="F170" i="18"/>
  <c r="V170" i="18"/>
  <c r="S171" i="18"/>
  <c r="P172" i="18"/>
  <c r="M173" i="18"/>
  <c r="J174" i="18"/>
  <c r="G175" i="18"/>
  <c r="D176" i="18"/>
  <c r="T176" i="18"/>
  <c r="Q177" i="18"/>
  <c r="N178" i="18"/>
  <c r="K179" i="18"/>
  <c r="H180" i="18"/>
  <c r="E181" i="18"/>
  <c r="U181" i="18"/>
  <c r="Q183" i="18"/>
  <c r="N184" i="18"/>
  <c r="K185" i="18"/>
  <c r="H186" i="18"/>
  <c r="E187" i="18"/>
  <c r="U187" i="18"/>
  <c r="R188" i="18"/>
  <c r="O189" i="18"/>
  <c r="L190" i="18"/>
  <c r="I191" i="18"/>
  <c r="F192" i="18"/>
  <c r="V192" i="18"/>
  <c r="S193" i="18"/>
  <c r="P194" i="18"/>
  <c r="J196" i="18"/>
  <c r="G197" i="18"/>
  <c r="D198" i="18"/>
  <c r="T198" i="18"/>
  <c r="M247" i="18"/>
  <c r="J248" i="18"/>
  <c r="G249" i="18"/>
  <c r="D250" i="18"/>
  <c r="T250" i="18"/>
  <c r="Q251" i="18"/>
  <c r="N252" i="18"/>
  <c r="K253" i="18"/>
  <c r="H254" i="18"/>
  <c r="E255" i="18"/>
  <c r="R256" i="18"/>
  <c r="L258" i="18"/>
  <c r="F46" i="19"/>
  <c r="I129" i="19"/>
  <c r="I88" i="19"/>
  <c r="E266" i="19"/>
  <c r="E270" i="19"/>
  <c r="E272" i="19"/>
  <c r="G43" i="18"/>
  <c r="G170" i="18"/>
  <c r="S183" i="18"/>
  <c r="S260" i="18"/>
  <c r="M185" i="18"/>
  <c r="M262" i="18"/>
  <c r="J186" i="18"/>
  <c r="J263" i="18"/>
  <c r="G187" i="18"/>
  <c r="G264" i="18"/>
  <c r="T188" i="18"/>
  <c r="T265" i="18"/>
  <c r="Q189" i="18"/>
  <c r="Q266" i="18"/>
  <c r="N190" i="18"/>
  <c r="N267" i="18"/>
  <c r="H192" i="18"/>
  <c r="H269" i="18"/>
  <c r="E193" i="18"/>
  <c r="E270" i="18"/>
  <c r="U193" i="18"/>
  <c r="U270" i="18"/>
  <c r="L196" i="18"/>
  <c r="L273" i="18"/>
  <c r="I197" i="18"/>
  <c r="I274" i="18"/>
  <c r="V198" i="18"/>
  <c r="V275" i="18"/>
  <c r="E82" i="18"/>
  <c r="U82" i="18"/>
  <c r="U121" i="18" s="1"/>
  <c r="Q105" i="18"/>
  <c r="N106" i="18"/>
  <c r="K107" i="18"/>
  <c r="H108" i="18"/>
  <c r="E109" i="18"/>
  <c r="U109" i="18"/>
  <c r="R110" i="18"/>
  <c r="O111" i="18"/>
  <c r="L112" i="18"/>
  <c r="I113" i="18"/>
  <c r="F114" i="18"/>
  <c r="V114" i="18"/>
  <c r="S115" i="18"/>
  <c r="P116" i="18"/>
  <c r="J118" i="18"/>
  <c r="G119" i="18"/>
  <c r="D120" i="18"/>
  <c r="T120" i="18"/>
  <c r="T99" i="18"/>
  <c r="E105" i="18"/>
  <c r="N118" i="18"/>
  <c r="N247" i="18"/>
  <c r="K248" i="18"/>
  <c r="H249" i="18"/>
  <c r="E250" i="18"/>
  <c r="U250" i="18"/>
  <c r="R251" i="18"/>
  <c r="O252" i="18"/>
  <c r="L253" i="18"/>
  <c r="I254" i="18"/>
  <c r="F255" i="18"/>
  <c r="V255" i="18"/>
  <c r="P257" i="18"/>
  <c r="I260" i="18"/>
  <c r="F261" i="18"/>
  <c r="V261" i="18"/>
  <c r="S262" i="18"/>
  <c r="M264" i="18"/>
  <c r="J265" i="18"/>
  <c r="T267" i="18"/>
  <c r="Q268" i="18"/>
  <c r="N269" i="18"/>
  <c r="H271" i="18"/>
  <c r="O274" i="18"/>
  <c r="L275" i="18"/>
  <c r="P261" i="18"/>
  <c r="S254" i="18"/>
  <c r="S177" i="18"/>
  <c r="P255" i="18"/>
  <c r="P178" i="18"/>
  <c r="M256" i="18"/>
  <c r="M179" i="18"/>
  <c r="J257" i="18"/>
  <c r="J180" i="18"/>
  <c r="G181" i="18"/>
  <c r="G258" i="18"/>
  <c r="F82" i="18"/>
  <c r="V82" i="18"/>
  <c r="V121" i="18" s="1"/>
  <c r="R105" i="18"/>
  <c r="O106" i="18"/>
  <c r="L107" i="18"/>
  <c r="I108" i="18"/>
  <c r="F109" i="18"/>
  <c r="V109" i="18"/>
  <c r="S110" i="18"/>
  <c r="P111" i="18"/>
  <c r="M112" i="18"/>
  <c r="J113" i="18"/>
  <c r="G114" i="18"/>
  <c r="D115" i="18"/>
  <c r="T115" i="18"/>
  <c r="V93" i="18"/>
  <c r="D103" i="18"/>
  <c r="J260" i="18"/>
  <c r="G261" i="18"/>
  <c r="J247" i="18"/>
  <c r="V102" i="20"/>
  <c r="V42" i="20"/>
  <c r="V276" i="20" s="1"/>
  <c r="Q110" i="20"/>
  <c r="Q188" i="20"/>
  <c r="V119" i="20"/>
  <c r="V197" i="20"/>
  <c r="H181" i="18"/>
  <c r="H103" i="18"/>
  <c r="G82" i="18"/>
  <c r="G121" i="18" s="1"/>
  <c r="S105" i="18"/>
  <c r="P106" i="18"/>
  <c r="M107" i="18"/>
  <c r="J108" i="18"/>
  <c r="G109" i="18"/>
  <c r="D110" i="18"/>
  <c r="T110" i="18"/>
  <c r="Q111" i="18"/>
  <c r="N112" i="18"/>
  <c r="K113" i="18"/>
  <c r="H114" i="18"/>
  <c r="E115" i="18"/>
  <c r="U115" i="18"/>
  <c r="R116" i="18"/>
  <c r="L118" i="18"/>
  <c r="I119" i="18"/>
  <c r="F120" i="18"/>
  <c r="V120" i="18"/>
  <c r="N101" i="18"/>
  <c r="I160" i="18"/>
  <c r="D183" i="18"/>
  <c r="T183" i="18"/>
  <c r="Q184" i="18"/>
  <c r="N185" i="18"/>
  <c r="K186" i="18"/>
  <c r="H187" i="18"/>
  <c r="E188" i="18"/>
  <c r="U188" i="18"/>
  <c r="R189" i="18"/>
  <c r="O190" i="18"/>
  <c r="L191" i="18"/>
  <c r="I192" i="18"/>
  <c r="F193" i="18"/>
  <c r="V193" i="18"/>
  <c r="S194" i="18"/>
  <c r="M196" i="18"/>
  <c r="J197" i="18"/>
  <c r="G198" i="18"/>
  <c r="F160" i="18"/>
  <c r="F199" i="18" s="1"/>
  <c r="H179" i="18"/>
  <c r="H296" i="19"/>
  <c r="H255" i="19"/>
  <c r="E268" i="19"/>
  <c r="F43" i="18"/>
  <c r="H92" i="18"/>
  <c r="E93" i="18"/>
  <c r="U93" i="18"/>
  <c r="R94" i="18"/>
  <c r="O95" i="18"/>
  <c r="L96" i="18"/>
  <c r="I97" i="18"/>
  <c r="F98" i="18"/>
  <c r="V98" i="18"/>
  <c r="S99" i="18"/>
  <c r="P100" i="18"/>
  <c r="M101" i="18"/>
  <c r="J102" i="18"/>
  <c r="G103" i="18"/>
  <c r="P95" i="18"/>
  <c r="I109" i="18"/>
  <c r="G160" i="18"/>
  <c r="G199" i="18" s="1"/>
  <c r="Q237" i="18"/>
  <c r="Q276" i="18" s="1"/>
  <c r="F256" i="18"/>
  <c r="S257" i="18"/>
  <c r="K43" i="18"/>
  <c r="P92" i="18"/>
  <c r="K170" i="18"/>
  <c r="K160" i="18"/>
  <c r="H171" i="18"/>
  <c r="H160" i="18"/>
  <c r="H199" i="18" s="1"/>
  <c r="O160" i="18"/>
  <c r="O199" i="18" s="1"/>
  <c r="R247" i="18"/>
  <c r="R237" i="18"/>
  <c r="R276" i="18" s="1"/>
  <c r="J261" i="18"/>
  <c r="G262" i="18"/>
  <c r="D263" i="18"/>
  <c r="T263" i="18"/>
  <c r="Q264" i="18"/>
  <c r="K266" i="18"/>
  <c r="H267" i="18"/>
  <c r="E268" i="18"/>
  <c r="U268" i="18"/>
  <c r="R269" i="18"/>
  <c r="O270" i="18"/>
  <c r="L271" i="18"/>
  <c r="F273" i="18"/>
  <c r="V273" i="18"/>
  <c r="S274" i="18"/>
  <c r="P275" i="18"/>
  <c r="E257" i="18"/>
  <c r="K46" i="19"/>
  <c r="F172" i="19"/>
  <c r="J255" i="19"/>
  <c r="D271" i="19"/>
  <c r="I43" i="18"/>
  <c r="J82" i="18"/>
  <c r="J121" i="18" s="1"/>
  <c r="U92" i="18"/>
  <c r="J97" i="18"/>
  <c r="L160" i="18"/>
  <c r="L199" i="18" s="1"/>
  <c r="Q160" i="18"/>
  <c r="S247" i="18"/>
  <c r="P248" i="18"/>
  <c r="M249" i="18"/>
  <c r="J250" i="18"/>
  <c r="G251" i="18"/>
  <c r="D252" i="18"/>
  <c r="T252" i="18"/>
  <c r="Q253" i="18"/>
  <c r="N254" i="18"/>
  <c r="K255" i="18"/>
  <c r="U257" i="18"/>
  <c r="R258" i="18"/>
  <c r="I263" i="18"/>
  <c r="E45" i="19"/>
  <c r="E46" i="19" s="1"/>
  <c r="G213" i="19"/>
  <c r="K82" i="18"/>
  <c r="V92" i="18"/>
  <c r="J199" i="18"/>
  <c r="G172" i="18"/>
  <c r="D173" i="18"/>
  <c r="T173" i="18"/>
  <c r="Q174" i="18"/>
  <c r="N175" i="18"/>
  <c r="K176" i="18"/>
  <c r="H177" i="18"/>
  <c r="E178" i="18"/>
  <c r="U178" i="18"/>
  <c r="R179" i="18"/>
  <c r="O180" i="18"/>
  <c r="L181" i="18"/>
  <c r="H183" i="18"/>
  <c r="E184" i="18"/>
  <c r="U184" i="18"/>
  <c r="R185" i="18"/>
  <c r="O186" i="18"/>
  <c r="L187" i="18"/>
  <c r="I188" i="18"/>
  <c r="F189" i="18"/>
  <c r="V189" i="18"/>
  <c r="S190" i="18"/>
  <c r="P191" i="18"/>
  <c r="M192" i="18"/>
  <c r="J193" i="18"/>
  <c r="G194" i="18"/>
  <c r="Q196" i="18"/>
  <c r="N197" i="18"/>
  <c r="K198" i="18"/>
  <c r="V160" i="18"/>
  <c r="V199" i="18" s="1"/>
  <c r="D247" i="18"/>
  <c r="T247" i="18"/>
  <c r="Q248" i="18"/>
  <c r="N249" i="18"/>
  <c r="K250" i="18"/>
  <c r="H251" i="18"/>
  <c r="E252" i="18"/>
  <c r="U252" i="18"/>
  <c r="R253" i="18"/>
  <c r="O254" i="18"/>
  <c r="L255" i="18"/>
  <c r="I256" i="18"/>
  <c r="F257" i="18"/>
  <c r="S258" i="18"/>
  <c r="O260" i="18"/>
  <c r="L261" i="18"/>
  <c r="I262" i="18"/>
  <c r="F263" i="18"/>
  <c r="V263" i="18"/>
  <c r="S264" i="18"/>
  <c r="P265" i="18"/>
  <c r="J267" i="18"/>
  <c r="G268" i="18"/>
  <c r="D269" i="18"/>
  <c r="T269" i="18"/>
  <c r="Q270" i="18"/>
  <c r="N271" i="18"/>
  <c r="E274" i="18"/>
  <c r="U274" i="18"/>
  <c r="R275" i="18"/>
  <c r="P160" i="18"/>
  <c r="M170" i="18"/>
  <c r="J171" i="18"/>
  <c r="N237" i="18"/>
  <c r="N276" i="18" s="1"/>
  <c r="K247" i="18"/>
  <c r="H248" i="18"/>
  <c r="F182" i="19"/>
  <c r="I211" i="19"/>
  <c r="D276" i="19"/>
  <c r="D278" i="19"/>
  <c r="D280" i="19"/>
  <c r="D284" i="19"/>
  <c r="D288" i="19"/>
  <c r="D290" i="19"/>
  <c r="D294" i="19"/>
  <c r="D254" i="19"/>
  <c r="K268" i="19"/>
  <c r="N170" i="20"/>
  <c r="N42" i="20"/>
  <c r="H94" i="20"/>
  <c r="H172" i="20"/>
  <c r="E173" i="20"/>
  <c r="E95" i="20"/>
  <c r="U95" i="20"/>
  <c r="U173" i="20"/>
  <c r="O175" i="20"/>
  <c r="O97" i="20"/>
  <c r="L176" i="20"/>
  <c r="L98" i="20"/>
  <c r="I99" i="20"/>
  <c r="I177" i="20"/>
  <c r="V178" i="20"/>
  <c r="V100" i="20"/>
  <c r="S179" i="20"/>
  <c r="S101" i="20"/>
  <c r="P102" i="20"/>
  <c r="P180" i="20"/>
  <c r="T274" i="18"/>
  <c r="G182" i="19"/>
  <c r="E274" i="19"/>
  <c r="E276" i="19"/>
  <c r="E278" i="19"/>
  <c r="E280" i="19"/>
  <c r="E282" i="19"/>
  <c r="E284" i="19"/>
  <c r="E286" i="19"/>
  <c r="E288" i="19"/>
  <c r="E290" i="19"/>
  <c r="E292" i="19"/>
  <c r="E294" i="19"/>
  <c r="E254" i="19"/>
  <c r="N189" i="20"/>
  <c r="M247" i="20"/>
  <c r="M237" i="20"/>
  <c r="M276" i="20" s="1"/>
  <c r="J248" i="20"/>
  <c r="J237" i="20"/>
  <c r="J276" i="20" s="1"/>
  <c r="G249" i="20"/>
  <c r="D250" i="20"/>
  <c r="T250" i="20"/>
  <c r="N252" i="20"/>
  <c r="K253" i="20"/>
  <c r="H254" i="20"/>
  <c r="E255" i="20"/>
  <c r="D82" i="18"/>
  <c r="T82" i="18"/>
  <c r="T121" i="18" s="1"/>
  <c r="P237" i="18"/>
  <c r="H45" i="19"/>
  <c r="H46" i="19" s="1"/>
  <c r="J98" i="19"/>
  <c r="J87" i="19"/>
  <c r="J100" i="19"/>
  <c r="J102" i="19"/>
  <c r="J104" i="19"/>
  <c r="J106" i="19"/>
  <c r="J108" i="19"/>
  <c r="J110" i="19"/>
  <c r="J112" i="19"/>
  <c r="J114" i="19"/>
  <c r="J116" i="19"/>
  <c r="J118" i="19"/>
  <c r="J120" i="19"/>
  <c r="J122" i="19"/>
  <c r="J124" i="19"/>
  <c r="J126" i="19"/>
  <c r="J128" i="19"/>
  <c r="F99" i="19"/>
  <c r="F107" i="19"/>
  <c r="F111" i="19"/>
  <c r="F115" i="19"/>
  <c r="F123" i="19"/>
  <c r="H182" i="19"/>
  <c r="H184" i="19"/>
  <c r="H186" i="19"/>
  <c r="H188" i="19"/>
  <c r="H190" i="19"/>
  <c r="H192" i="19"/>
  <c r="H194" i="19"/>
  <c r="H196" i="19"/>
  <c r="H198" i="19"/>
  <c r="H200" i="19"/>
  <c r="H202" i="19"/>
  <c r="H204" i="19"/>
  <c r="H206" i="19"/>
  <c r="H208" i="19"/>
  <c r="H210" i="19"/>
  <c r="H212" i="19"/>
  <c r="E183" i="19"/>
  <c r="I201" i="19"/>
  <c r="F266" i="19"/>
  <c r="F268" i="19"/>
  <c r="F270" i="19"/>
  <c r="F272" i="19"/>
  <c r="F284" i="19"/>
  <c r="F286" i="19"/>
  <c r="F288" i="19"/>
  <c r="F294" i="19"/>
  <c r="F276" i="19"/>
  <c r="J294" i="19"/>
  <c r="U82" i="20"/>
  <c r="U121" i="20" s="1"/>
  <c r="F178" i="20"/>
  <c r="N237" i="20"/>
  <c r="H237" i="20"/>
  <c r="I45" i="19"/>
  <c r="I46" i="19" s="1"/>
  <c r="K87" i="19"/>
  <c r="I182" i="19"/>
  <c r="I184" i="19"/>
  <c r="I186" i="19"/>
  <c r="I188" i="19"/>
  <c r="I190" i="19"/>
  <c r="I192" i="19"/>
  <c r="I194" i="19"/>
  <c r="I196" i="19"/>
  <c r="I198" i="19"/>
  <c r="I200" i="19"/>
  <c r="I202" i="19"/>
  <c r="I204" i="19"/>
  <c r="I206" i="19"/>
  <c r="I208" i="19"/>
  <c r="I210" i="19"/>
  <c r="I212" i="19"/>
  <c r="K187" i="19"/>
  <c r="F207" i="19"/>
  <c r="G266" i="19"/>
  <c r="G268" i="19"/>
  <c r="G270" i="19"/>
  <c r="G272" i="19"/>
  <c r="G274" i="19"/>
  <c r="G286" i="19"/>
  <c r="G294" i="19"/>
  <c r="N82" i="20"/>
  <c r="N121" i="20" s="1"/>
  <c r="J45" i="19"/>
  <c r="J46" i="19" s="1"/>
  <c r="J182" i="19"/>
  <c r="J171" i="19"/>
  <c r="J184" i="19"/>
  <c r="J186" i="19"/>
  <c r="J188" i="19"/>
  <c r="J190" i="19"/>
  <c r="J192" i="19"/>
  <c r="J194" i="19"/>
  <c r="J196" i="19"/>
  <c r="J198" i="19"/>
  <c r="J200" i="19"/>
  <c r="J202" i="19"/>
  <c r="J204" i="19"/>
  <c r="J206" i="19"/>
  <c r="J208" i="19"/>
  <c r="J210" i="19"/>
  <c r="J212" i="19"/>
  <c r="F197" i="19"/>
  <c r="H266" i="19"/>
  <c r="H268" i="19"/>
  <c r="H270" i="19"/>
  <c r="H272" i="19"/>
  <c r="H274" i="19"/>
  <c r="H276" i="19"/>
  <c r="H280" i="19"/>
  <c r="H282" i="19"/>
  <c r="H286" i="19"/>
  <c r="H290" i="19"/>
  <c r="H292" i="19"/>
  <c r="H294" i="19"/>
  <c r="R42" i="20"/>
  <c r="R199" i="20" s="1"/>
  <c r="O42" i="20"/>
  <c r="O82" i="20"/>
  <c r="E160" i="18"/>
  <c r="U160" i="18"/>
  <c r="U199" i="18" s="1"/>
  <c r="S237" i="18"/>
  <c r="S276" i="18" s="1"/>
  <c r="H87" i="19"/>
  <c r="K182" i="19"/>
  <c r="K171" i="19"/>
  <c r="K184" i="19"/>
  <c r="K186" i="19"/>
  <c r="K188" i="19"/>
  <c r="K190" i="19"/>
  <c r="K192" i="19"/>
  <c r="K194" i="19"/>
  <c r="K196" i="19"/>
  <c r="K198" i="19"/>
  <c r="K200" i="19"/>
  <c r="K202" i="19"/>
  <c r="K204" i="19"/>
  <c r="K206" i="19"/>
  <c r="K208" i="19"/>
  <c r="K210" i="19"/>
  <c r="K212" i="19"/>
  <c r="K183" i="19"/>
  <c r="F213" i="19"/>
  <c r="I255" i="19"/>
  <c r="I268" i="19"/>
  <c r="I270" i="19"/>
  <c r="I272" i="19"/>
  <c r="I274" i="19"/>
  <c r="I276" i="19"/>
  <c r="I280" i="19"/>
  <c r="I286" i="19"/>
  <c r="I288" i="19"/>
  <c r="I290" i="19"/>
  <c r="K286" i="19"/>
  <c r="H274" i="18"/>
  <c r="K296" i="19"/>
  <c r="D125" i="19"/>
  <c r="F189" i="19"/>
  <c r="D279" i="19"/>
  <c r="D289" i="19"/>
  <c r="D291" i="19"/>
  <c r="D295" i="19"/>
  <c r="I278" i="19"/>
  <c r="F42" i="20"/>
  <c r="F276" i="20" s="1"/>
  <c r="D247" i="20"/>
  <c r="T247" i="20"/>
  <c r="Q248" i="20"/>
  <c r="K250" i="20"/>
  <c r="E252" i="20"/>
  <c r="U252" i="20"/>
  <c r="R253" i="20"/>
  <c r="O254" i="20"/>
  <c r="L255" i="20"/>
  <c r="I256" i="20"/>
  <c r="F257" i="20"/>
  <c r="V257" i="20"/>
  <c r="S258" i="20"/>
  <c r="T255" i="18"/>
  <c r="Q256" i="18"/>
  <c r="N257" i="18"/>
  <c r="K258" i="18"/>
  <c r="G237" i="18"/>
  <c r="G276" i="18" s="1"/>
  <c r="G183" i="19"/>
  <c r="G185" i="19"/>
  <c r="G187" i="19"/>
  <c r="G189" i="19"/>
  <c r="G191" i="19"/>
  <c r="G193" i="19"/>
  <c r="G195" i="19"/>
  <c r="G197" i="19"/>
  <c r="G199" i="19"/>
  <c r="G201" i="19"/>
  <c r="G203" i="19"/>
  <c r="G205" i="19"/>
  <c r="G207" i="19"/>
  <c r="G209" i="19"/>
  <c r="G211" i="19"/>
  <c r="F209" i="19"/>
  <c r="M103" i="20"/>
  <c r="H260" i="18"/>
  <c r="E261" i="18"/>
  <c r="U261" i="18"/>
  <c r="R262" i="18"/>
  <c r="O263" i="18"/>
  <c r="L264" i="18"/>
  <c r="I265" i="18"/>
  <c r="F266" i="18"/>
  <c r="V266" i="18"/>
  <c r="S267" i="18"/>
  <c r="P268" i="18"/>
  <c r="M269" i="18"/>
  <c r="J270" i="18"/>
  <c r="G271" i="18"/>
  <c r="Q273" i="18"/>
  <c r="N274" i="18"/>
  <c r="K275" i="18"/>
  <c r="J99" i="19"/>
  <c r="J101" i="19"/>
  <c r="J103" i="19"/>
  <c r="J105" i="19"/>
  <c r="J107" i="19"/>
  <c r="J109" i="19"/>
  <c r="J111" i="19"/>
  <c r="J113" i="19"/>
  <c r="J115" i="19"/>
  <c r="J117" i="19"/>
  <c r="J119" i="19"/>
  <c r="J121" i="19"/>
  <c r="J123" i="19"/>
  <c r="J125" i="19"/>
  <c r="J127" i="19"/>
  <c r="F101" i="19"/>
  <c r="F113" i="19"/>
  <c r="F121" i="19"/>
  <c r="F125" i="19"/>
  <c r="H183" i="19"/>
  <c r="H185" i="19"/>
  <c r="H187" i="19"/>
  <c r="H189" i="19"/>
  <c r="H191" i="19"/>
  <c r="H193" i="19"/>
  <c r="H195" i="19"/>
  <c r="H197" i="19"/>
  <c r="H199" i="19"/>
  <c r="H201" i="19"/>
  <c r="H203" i="19"/>
  <c r="H205" i="19"/>
  <c r="H207" i="19"/>
  <c r="H209" i="19"/>
  <c r="H211" i="19"/>
  <c r="K189" i="19"/>
  <c r="I209" i="19"/>
  <c r="F265" i="19"/>
  <c r="F254" i="19"/>
  <c r="F267" i="19"/>
  <c r="F269" i="19"/>
  <c r="F271" i="19"/>
  <c r="F273" i="19"/>
  <c r="F275" i="19"/>
  <c r="F279" i="19"/>
  <c r="F281" i="19"/>
  <c r="F283" i="19"/>
  <c r="F285" i="19"/>
  <c r="F287" i="19"/>
  <c r="F289" i="19"/>
  <c r="E42" i="20"/>
  <c r="K99" i="19"/>
  <c r="K101" i="19"/>
  <c r="K103" i="19"/>
  <c r="K105" i="19"/>
  <c r="K107" i="19"/>
  <c r="K109" i="19"/>
  <c r="K111" i="19"/>
  <c r="K113" i="19"/>
  <c r="K115" i="19"/>
  <c r="K117" i="19"/>
  <c r="K119" i="19"/>
  <c r="K121" i="19"/>
  <c r="K123" i="19"/>
  <c r="K125" i="19"/>
  <c r="K127" i="19"/>
  <c r="F199" i="19"/>
  <c r="G255" i="19"/>
  <c r="G296" i="19"/>
  <c r="J290" i="19"/>
  <c r="I42" i="20"/>
  <c r="D262" i="18"/>
  <c r="T262" i="18"/>
  <c r="Q263" i="18"/>
  <c r="N264" i="18"/>
  <c r="K265" i="18"/>
  <c r="H266" i="18"/>
  <c r="E267" i="18"/>
  <c r="U267" i="18"/>
  <c r="R268" i="18"/>
  <c r="O269" i="18"/>
  <c r="L270" i="18"/>
  <c r="I271" i="18"/>
  <c r="V272" i="18"/>
  <c r="S273" i="18"/>
  <c r="P274" i="18"/>
  <c r="M275" i="18"/>
  <c r="D98" i="19"/>
  <c r="D87" i="19"/>
  <c r="D100" i="19"/>
  <c r="D102" i="19"/>
  <c r="D104" i="19"/>
  <c r="D106" i="19"/>
  <c r="D108" i="19"/>
  <c r="D112" i="19"/>
  <c r="D114" i="19"/>
  <c r="D116" i="19"/>
  <c r="D118" i="19"/>
  <c r="D120" i="19"/>
  <c r="D122" i="19"/>
  <c r="D124" i="19"/>
  <c r="D126" i="19"/>
  <c r="D128" i="19"/>
  <c r="G42" i="20"/>
  <c r="R92" i="20"/>
  <c r="R82" i="20"/>
  <c r="E98" i="19"/>
  <c r="E87" i="19"/>
  <c r="F195" i="19"/>
  <c r="I277" i="19"/>
  <c r="I281" i="19"/>
  <c r="S92" i="20"/>
  <c r="S82" i="20"/>
  <c r="S121" i="20" s="1"/>
  <c r="M94" i="20"/>
  <c r="M82" i="20"/>
  <c r="M121" i="20" s="1"/>
  <c r="F98" i="19"/>
  <c r="F87" i="19"/>
  <c r="F100" i="19"/>
  <c r="F102" i="19"/>
  <c r="F104" i="19"/>
  <c r="F106" i="19"/>
  <c r="F108" i="19"/>
  <c r="F112" i="19"/>
  <c r="F114" i="19"/>
  <c r="F116" i="19"/>
  <c r="F118" i="19"/>
  <c r="F120" i="19"/>
  <c r="F122" i="19"/>
  <c r="J281" i="19"/>
  <c r="J283" i="19"/>
  <c r="J291" i="19"/>
  <c r="J293" i="19"/>
  <c r="D82" i="20"/>
  <c r="D121" i="20" s="1"/>
  <c r="T92" i="20"/>
  <c r="Q93" i="20"/>
  <c r="E97" i="20"/>
  <c r="R98" i="20"/>
  <c r="I171" i="19"/>
  <c r="L42" i="20"/>
  <c r="M92" i="20"/>
  <c r="G94" i="20"/>
  <c r="D95" i="20"/>
  <c r="T95" i="20"/>
  <c r="N97" i="20"/>
  <c r="Q82" i="20"/>
  <c r="Q121" i="20" s="1"/>
  <c r="N118" i="20"/>
  <c r="M160" i="20"/>
  <c r="M199" i="20" s="1"/>
  <c r="G172" i="20"/>
  <c r="D173" i="20"/>
  <c r="T173" i="20"/>
  <c r="N175" i="20"/>
  <c r="K176" i="20"/>
  <c r="H177" i="20"/>
  <c r="E178" i="20"/>
  <c r="U178" i="20"/>
  <c r="R179" i="20"/>
  <c r="O180" i="20"/>
  <c r="L181" i="20"/>
  <c r="H277" i="19"/>
  <c r="H279" i="19"/>
  <c r="H281" i="19"/>
  <c r="H283" i="19"/>
  <c r="H285" i="19"/>
  <c r="H287" i="19"/>
  <c r="H289" i="19"/>
  <c r="H291" i="19"/>
  <c r="H293" i="19"/>
  <c r="H295" i="19"/>
  <c r="P42" i="20"/>
  <c r="J172" i="20"/>
  <c r="J94" i="20"/>
  <c r="E179" i="20"/>
  <c r="E101" i="20"/>
  <c r="I170" i="20"/>
  <c r="I291" i="19"/>
  <c r="Q42" i="20"/>
  <c r="Q247" i="20"/>
  <c r="Q108" i="20"/>
  <c r="N109" i="20"/>
  <c r="H111" i="20"/>
  <c r="O114" i="20"/>
  <c r="L115" i="20"/>
  <c r="S118" i="20"/>
  <c r="T82" i="20"/>
  <c r="T121" i="20" s="1"/>
  <c r="O160" i="20"/>
  <c r="N186" i="20"/>
  <c r="I266" i="19"/>
  <c r="P82" i="20"/>
  <c r="P121" i="20" s="1"/>
  <c r="P160" i="20"/>
  <c r="P199" i="20" s="1"/>
  <c r="G173" i="20"/>
  <c r="N176" i="20"/>
  <c r="K177" i="20"/>
  <c r="U179" i="20"/>
  <c r="R180" i="20"/>
  <c r="U170" i="20"/>
  <c r="J266" i="19"/>
  <c r="S42" i="20"/>
  <c r="S170" i="20"/>
  <c r="K94" i="20"/>
  <c r="H95" i="20"/>
  <c r="O98" i="20"/>
  <c r="L99" i="20"/>
  <c r="I100" i="20"/>
  <c r="D92" i="20"/>
  <c r="Q97" i="20"/>
  <c r="L183" i="20"/>
  <c r="I184" i="20"/>
  <c r="F185" i="20"/>
  <c r="O181" i="20"/>
  <c r="N260" i="20"/>
  <c r="K261" i="20"/>
  <c r="H262" i="20"/>
  <c r="E263" i="20"/>
  <c r="U263" i="20"/>
  <c r="R264" i="20"/>
  <c r="O265" i="20"/>
  <c r="L266" i="20"/>
  <c r="S269" i="20"/>
  <c r="P270" i="20"/>
  <c r="M271" i="20"/>
  <c r="G273" i="20"/>
  <c r="D274" i="20"/>
  <c r="T274" i="20"/>
  <c r="K95" i="20"/>
  <c r="U97" i="20"/>
  <c r="O99" i="20"/>
  <c r="L100" i="20"/>
  <c r="I101" i="20"/>
  <c r="S103" i="20"/>
  <c r="O105" i="20"/>
  <c r="L106" i="20"/>
  <c r="I107" i="20"/>
  <c r="T194" i="20"/>
  <c r="S248" i="20"/>
  <c r="M250" i="20"/>
  <c r="G252" i="20"/>
  <c r="D253" i="20"/>
  <c r="T253" i="20"/>
  <c r="N255" i="20"/>
  <c r="K256" i="20"/>
  <c r="H257" i="20"/>
  <c r="E258" i="20"/>
  <c r="U258" i="20"/>
  <c r="E160" i="20"/>
  <c r="E170" i="20"/>
  <c r="U199" i="20"/>
  <c r="P183" i="20"/>
  <c r="M184" i="20"/>
  <c r="J185" i="20"/>
  <c r="G186" i="20"/>
  <c r="D187" i="20"/>
  <c r="T187" i="20"/>
  <c r="E192" i="20"/>
  <c r="U192" i="20"/>
  <c r="R193" i="20"/>
  <c r="O194" i="20"/>
  <c r="I196" i="20"/>
  <c r="F197" i="20"/>
  <c r="V194" i="20"/>
  <c r="I100" i="21"/>
  <c r="I89" i="21"/>
  <c r="H42" i="20"/>
  <c r="H247" i="20"/>
  <c r="F92" i="20"/>
  <c r="F82" i="20"/>
  <c r="V92" i="20"/>
  <c r="V82" i="20"/>
  <c r="V121" i="20" s="1"/>
  <c r="V110" i="20"/>
  <c r="G115" i="20"/>
  <c r="F170" i="20"/>
  <c r="V170" i="20"/>
  <c r="S171" i="20"/>
  <c r="S160" i="20"/>
  <c r="S199" i="20" s="1"/>
  <c r="M173" i="20"/>
  <c r="G175" i="20"/>
  <c r="D176" i="20"/>
  <c r="T176" i="20"/>
  <c r="N178" i="20"/>
  <c r="K179" i="20"/>
  <c r="H180" i="20"/>
  <c r="E181" i="20"/>
  <c r="U181" i="20"/>
  <c r="G82" i="20"/>
  <c r="G121" i="20" s="1"/>
  <c r="G92" i="20"/>
  <c r="R105" i="20"/>
  <c r="O106" i="20"/>
  <c r="I108" i="20"/>
  <c r="S110" i="20"/>
  <c r="P111" i="20"/>
  <c r="G114" i="20"/>
  <c r="D115" i="20"/>
  <c r="K118" i="20"/>
  <c r="I98" i="20"/>
  <c r="R183" i="20"/>
  <c r="L185" i="20"/>
  <c r="I186" i="20"/>
  <c r="P189" i="20"/>
  <c r="G192" i="20"/>
  <c r="T193" i="20"/>
  <c r="H197" i="20"/>
  <c r="H92" i="20"/>
  <c r="H82" i="20"/>
  <c r="H121" i="20" s="1"/>
  <c r="E93" i="20"/>
  <c r="E82" i="20"/>
  <c r="U93" i="20"/>
  <c r="O95" i="20"/>
  <c r="I97" i="20"/>
  <c r="F98" i="20"/>
  <c r="V98" i="20"/>
  <c r="P100" i="20"/>
  <c r="M101" i="20"/>
  <c r="J102" i="20"/>
  <c r="G103" i="20"/>
  <c r="S100" i="20"/>
  <c r="L108" i="20"/>
  <c r="E120" i="20"/>
  <c r="H160" i="20"/>
  <c r="H170" i="20"/>
  <c r="U171" i="20"/>
  <c r="O173" i="20"/>
  <c r="I175" i="20"/>
  <c r="F176" i="20"/>
  <c r="V176" i="20"/>
  <c r="P178" i="20"/>
  <c r="M179" i="20"/>
  <c r="J180" i="20"/>
  <c r="G181" i="20"/>
  <c r="K247" i="20"/>
  <c r="K92" i="20"/>
  <c r="E94" i="20"/>
  <c r="E249" i="20"/>
  <c r="L252" i="20"/>
  <c r="L97" i="20"/>
  <c r="F254" i="20"/>
  <c r="F99" i="20"/>
  <c r="P256" i="20"/>
  <c r="P101" i="20"/>
  <c r="M257" i="20"/>
  <c r="M102" i="20"/>
  <c r="G260" i="20"/>
  <c r="G105" i="20"/>
  <c r="G183" i="20"/>
  <c r="D261" i="20"/>
  <c r="D184" i="20"/>
  <c r="T261" i="20"/>
  <c r="T184" i="20"/>
  <c r="Q262" i="20"/>
  <c r="Q185" i="20"/>
  <c r="K264" i="20"/>
  <c r="K187" i="20"/>
  <c r="H265" i="20"/>
  <c r="H188" i="20"/>
  <c r="E266" i="20"/>
  <c r="E111" i="20"/>
  <c r="E189" i="20"/>
  <c r="U266" i="20"/>
  <c r="U189" i="20"/>
  <c r="U111" i="20"/>
  <c r="L269" i="20"/>
  <c r="L192" i="20"/>
  <c r="I270" i="20"/>
  <c r="I115" i="20"/>
  <c r="F271" i="20"/>
  <c r="F194" i="20"/>
  <c r="P273" i="20"/>
  <c r="P118" i="20"/>
  <c r="P196" i="20"/>
  <c r="M274" i="20"/>
  <c r="M197" i="20"/>
  <c r="J275" i="20"/>
  <c r="J198" i="20"/>
  <c r="I82" i="20"/>
  <c r="I121" i="20" s="1"/>
  <c r="I92" i="20"/>
  <c r="J97" i="20"/>
  <c r="D99" i="20"/>
  <c r="Q100" i="20"/>
  <c r="N101" i="20"/>
  <c r="K102" i="20"/>
  <c r="D105" i="20"/>
  <c r="T105" i="20"/>
  <c r="Q106" i="20"/>
  <c r="N107" i="20"/>
  <c r="K108" i="20"/>
  <c r="U110" i="20"/>
  <c r="R111" i="20"/>
  <c r="F115" i="20"/>
  <c r="V115" i="20"/>
  <c r="M118" i="20"/>
  <c r="J119" i="20"/>
  <c r="T106" i="20"/>
  <c r="F160" i="20"/>
  <c r="J82" i="20"/>
  <c r="J121" i="20" s="1"/>
  <c r="J92" i="20"/>
  <c r="K97" i="20"/>
  <c r="H98" i="20"/>
  <c r="R100" i="20"/>
  <c r="O101" i="20"/>
  <c r="I103" i="20"/>
  <c r="R106" i="20"/>
  <c r="O107" i="20"/>
  <c r="I109" i="20"/>
  <c r="S111" i="20"/>
  <c r="J114" i="20"/>
  <c r="D116" i="20"/>
  <c r="T116" i="20"/>
  <c r="K119" i="20"/>
  <c r="H120" i="20"/>
  <c r="J120" i="20"/>
  <c r="J170" i="20"/>
  <c r="Q173" i="20"/>
  <c r="H176" i="20"/>
  <c r="E177" i="20"/>
  <c r="O179" i="20"/>
  <c r="L180" i="20"/>
  <c r="I181" i="20"/>
  <c r="U183" i="20"/>
  <c r="R184" i="20"/>
  <c r="O185" i="20"/>
  <c r="L186" i="20"/>
  <c r="I187" i="20"/>
  <c r="F188" i="20"/>
  <c r="V188" i="20"/>
  <c r="S189" i="20"/>
  <c r="J192" i="20"/>
  <c r="D194" i="20"/>
  <c r="N196" i="20"/>
  <c r="J160" i="20"/>
  <c r="J199" i="20" s="1"/>
  <c r="K105" i="20"/>
  <c r="M170" i="20"/>
  <c r="G237" i="20"/>
  <c r="G276" i="20" s="1"/>
  <c r="R260" i="20"/>
  <c r="O261" i="20"/>
  <c r="L262" i="20"/>
  <c r="I263" i="20"/>
  <c r="F264" i="20"/>
  <c r="V264" i="20"/>
  <c r="S265" i="20"/>
  <c r="P266" i="20"/>
  <c r="G269" i="20"/>
  <c r="D270" i="20"/>
  <c r="T270" i="20"/>
  <c r="Q271" i="20"/>
  <c r="K273" i="20"/>
  <c r="H274" i="20"/>
  <c r="E275" i="20"/>
  <c r="K82" i="20"/>
  <c r="F105" i="20"/>
  <c r="V105" i="20"/>
  <c r="S106" i="20"/>
  <c r="P107" i="20"/>
  <c r="M108" i="20"/>
  <c r="J109" i="20"/>
  <c r="G110" i="20"/>
  <c r="D111" i="20"/>
  <c r="T111" i="20"/>
  <c r="K114" i="20"/>
  <c r="H115" i="20"/>
  <c r="E116" i="20"/>
  <c r="U116" i="20"/>
  <c r="O118" i="20"/>
  <c r="L119" i="20"/>
  <c r="I120" i="20"/>
  <c r="N160" i="20"/>
  <c r="L160" i="20"/>
  <c r="K90" i="21"/>
  <c r="J183" i="20"/>
  <c r="G184" i="20"/>
  <c r="D185" i="20"/>
  <c r="Q186" i="20"/>
  <c r="N187" i="20"/>
  <c r="K188" i="20"/>
  <c r="H189" i="20"/>
  <c r="O192" i="20"/>
  <c r="L193" i="20"/>
  <c r="I194" i="20"/>
  <c r="S196" i="20"/>
  <c r="P197" i="20"/>
  <c r="O170" i="20"/>
  <c r="I247" i="20"/>
  <c r="V248" i="20"/>
  <c r="P250" i="20"/>
  <c r="J252" i="20"/>
  <c r="G253" i="20"/>
  <c r="D254" i="20"/>
  <c r="Q255" i="20"/>
  <c r="N256" i="20"/>
  <c r="K257" i="20"/>
  <c r="H258" i="20"/>
  <c r="F90" i="21"/>
  <c r="K98" i="20"/>
  <c r="H99" i="20"/>
  <c r="E100" i="20"/>
  <c r="U100" i="20"/>
  <c r="R101" i="20"/>
  <c r="O102" i="20"/>
  <c r="L103" i="20"/>
  <c r="P192" i="20"/>
  <c r="M193" i="20"/>
  <c r="J194" i="20"/>
  <c r="D196" i="20"/>
  <c r="T196" i="20"/>
  <c r="Q197" i="20"/>
  <c r="P170" i="20"/>
  <c r="K237" i="20"/>
  <c r="G298" i="21"/>
  <c r="G47" i="21"/>
  <c r="H90" i="21"/>
  <c r="Q170" i="20"/>
  <c r="K172" i="20"/>
  <c r="H173" i="20"/>
  <c r="R175" i="20"/>
  <c r="O176" i="20"/>
  <c r="L177" i="20"/>
  <c r="I178" i="20"/>
  <c r="F179" i="20"/>
  <c r="V179" i="20"/>
  <c r="S180" i="20"/>
  <c r="P181" i="20"/>
  <c r="S186" i="20"/>
  <c r="P187" i="20"/>
  <c r="M188" i="20"/>
  <c r="J189" i="20"/>
  <c r="Q192" i="20"/>
  <c r="N193" i="20"/>
  <c r="K194" i="20"/>
  <c r="E196" i="20"/>
  <c r="U196" i="20"/>
  <c r="R197" i="20"/>
  <c r="F260" i="20"/>
  <c r="V260" i="20"/>
  <c r="S261" i="20"/>
  <c r="P262" i="20"/>
  <c r="M263" i="20"/>
  <c r="J264" i="20"/>
  <c r="G265" i="20"/>
  <c r="D266" i="20"/>
  <c r="T266" i="20"/>
  <c r="K269" i="20"/>
  <c r="H270" i="20"/>
  <c r="E271" i="20"/>
  <c r="U271" i="20"/>
  <c r="O273" i="20"/>
  <c r="L274" i="20"/>
  <c r="I275" i="20"/>
  <c r="G215" i="21"/>
  <c r="G174" i="21"/>
  <c r="E47" i="27"/>
  <c r="L82" i="20"/>
  <c r="M183" i="20"/>
  <c r="J184" i="20"/>
  <c r="G185" i="20"/>
  <c r="D186" i="20"/>
  <c r="T186" i="20"/>
  <c r="Q187" i="20"/>
  <c r="N188" i="20"/>
  <c r="K189" i="20"/>
  <c r="R192" i="20"/>
  <c r="O193" i="20"/>
  <c r="L194" i="20"/>
  <c r="F196" i="20"/>
  <c r="V196" i="20"/>
  <c r="S197" i="20"/>
  <c r="Q160" i="20"/>
  <c r="L237" i="20"/>
  <c r="E256" i="21"/>
  <c r="U255" i="20"/>
  <c r="R256" i="20"/>
  <c r="O257" i="20"/>
  <c r="L258" i="20"/>
  <c r="D170" i="20"/>
  <c r="D160" i="20"/>
  <c r="D199" i="20" s="1"/>
  <c r="T170" i="20"/>
  <c r="T160" i="20"/>
  <c r="T199" i="20" s="1"/>
  <c r="Q171" i="20"/>
  <c r="K173" i="20"/>
  <c r="E175" i="20"/>
  <c r="U175" i="20"/>
  <c r="R176" i="20"/>
  <c r="O177" i="20"/>
  <c r="L178" i="20"/>
  <c r="I179" i="20"/>
  <c r="F180" i="20"/>
  <c r="V180" i="20"/>
  <c r="S181" i="20"/>
  <c r="O183" i="20"/>
  <c r="L184" i="20"/>
  <c r="I185" i="20"/>
  <c r="F186" i="20"/>
  <c r="V186" i="20"/>
  <c r="S187" i="20"/>
  <c r="P188" i="20"/>
  <c r="M189" i="20"/>
  <c r="D192" i="20"/>
  <c r="T192" i="20"/>
  <c r="Q193" i="20"/>
  <c r="N194" i="20"/>
  <c r="H196" i="20"/>
  <c r="E197" i="20"/>
  <c r="U197" i="20"/>
  <c r="N247" i="20"/>
  <c r="H249" i="20"/>
  <c r="E250" i="20"/>
  <c r="U250" i="20"/>
  <c r="O252" i="20"/>
  <c r="L253" i="20"/>
  <c r="I254" i="20"/>
  <c r="F255" i="20"/>
  <c r="V255" i="20"/>
  <c r="S256" i="20"/>
  <c r="P257" i="20"/>
  <c r="M258" i="20"/>
  <c r="I260" i="20"/>
  <c r="F261" i="20"/>
  <c r="V261" i="20"/>
  <c r="P263" i="20"/>
  <c r="M264" i="20"/>
  <c r="J265" i="20"/>
  <c r="G266" i="20"/>
  <c r="N269" i="20"/>
  <c r="K270" i="20"/>
  <c r="H271" i="20"/>
  <c r="R273" i="20"/>
  <c r="O274" i="20"/>
  <c r="K184" i="21"/>
  <c r="K267" i="21"/>
  <c r="K46" i="21"/>
  <c r="K215" i="21" s="1"/>
  <c r="K100" i="21"/>
  <c r="K273" i="21"/>
  <c r="K190" i="21"/>
  <c r="K275" i="21"/>
  <c r="K192" i="21"/>
  <c r="K277" i="21"/>
  <c r="K194" i="21"/>
  <c r="K279" i="21"/>
  <c r="K112" i="21"/>
  <c r="K283" i="21"/>
  <c r="K116" i="21"/>
  <c r="K287" i="21"/>
  <c r="K204" i="21"/>
  <c r="K124" i="21"/>
  <c r="K208" i="21"/>
  <c r="K291" i="21"/>
  <c r="K295" i="21"/>
  <c r="K212" i="21"/>
  <c r="K128" i="21"/>
  <c r="O247" i="20"/>
  <c r="O237" i="20"/>
  <c r="I249" i="20"/>
  <c r="F250" i="20"/>
  <c r="V250" i="20"/>
  <c r="P252" i="20"/>
  <c r="M253" i="20"/>
  <c r="J254" i="20"/>
  <c r="G255" i="20"/>
  <c r="D256" i="20"/>
  <c r="T256" i="20"/>
  <c r="Q257" i="20"/>
  <c r="N258" i="20"/>
  <c r="J260" i="20"/>
  <c r="G261" i="20"/>
  <c r="D262" i="20"/>
  <c r="Q263" i="20"/>
  <c r="N264" i="20"/>
  <c r="K265" i="20"/>
  <c r="H266" i="20"/>
  <c r="O269" i="20"/>
  <c r="L270" i="20"/>
  <c r="I271" i="20"/>
  <c r="S273" i="20"/>
  <c r="P274" i="20"/>
  <c r="H46" i="21"/>
  <c r="K118" i="21"/>
  <c r="K198" i="21"/>
  <c r="P247" i="20"/>
  <c r="P237" i="20"/>
  <c r="J249" i="20"/>
  <c r="G250" i="20"/>
  <c r="Q252" i="20"/>
  <c r="N253" i="20"/>
  <c r="K254" i="20"/>
  <c r="H255" i="20"/>
  <c r="E256" i="20"/>
  <c r="U256" i="20"/>
  <c r="R257" i="20"/>
  <c r="O258" i="20"/>
  <c r="K260" i="20"/>
  <c r="H261" i="20"/>
  <c r="E262" i="20"/>
  <c r="R263" i="20"/>
  <c r="O264" i="20"/>
  <c r="L265" i="20"/>
  <c r="I266" i="20"/>
  <c r="P269" i="20"/>
  <c r="M270" i="20"/>
  <c r="J271" i="20"/>
  <c r="D273" i="20"/>
  <c r="T273" i="20"/>
  <c r="Q274" i="20"/>
  <c r="E47" i="21"/>
  <c r="H257" i="21"/>
  <c r="H270" i="21"/>
  <c r="H278" i="21"/>
  <c r="H294" i="21"/>
  <c r="F108" i="20"/>
  <c r="V108" i="20"/>
  <c r="S109" i="20"/>
  <c r="P110" i="20"/>
  <c r="M111" i="20"/>
  <c r="D114" i="20"/>
  <c r="T114" i="20"/>
  <c r="Q115" i="20"/>
  <c r="N116" i="20"/>
  <c r="H118" i="20"/>
  <c r="E119" i="20"/>
  <c r="U119" i="20"/>
  <c r="G160" i="20"/>
  <c r="D89" i="21"/>
  <c r="D100" i="21"/>
  <c r="R247" i="20"/>
  <c r="R237" i="20"/>
  <c r="R276" i="20" s="1"/>
  <c r="L249" i="20"/>
  <c r="I250" i="20"/>
  <c r="S252" i="20"/>
  <c r="P253" i="20"/>
  <c r="M254" i="20"/>
  <c r="J255" i="20"/>
  <c r="G256" i="20"/>
  <c r="D257" i="20"/>
  <c r="T257" i="20"/>
  <c r="Q258" i="20"/>
  <c r="M260" i="20"/>
  <c r="J261" i="20"/>
  <c r="G262" i="20"/>
  <c r="D263" i="20"/>
  <c r="T263" i="20"/>
  <c r="Q264" i="20"/>
  <c r="N265" i="20"/>
  <c r="K266" i="20"/>
  <c r="R269" i="20"/>
  <c r="O270" i="20"/>
  <c r="L271" i="20"/>
  <c r="F273" i="20"/>
  <c r="V273" i="20"/>
  <c r="S274" i="20"/>
  <c r="E90" i="21"/>
  <c r="I160" i="20"/>
  <c r="I199" i="20" s="1"/>
  <c r="D183" i="20"/>
  <c r="T183" i="20"/>
  <c r="Q184" i="20"/>
  <c r="N185" i="20"/>
  <c r="K186" i="20"/>
  <c r="H187" i="20"/>
  <c r="E188" i="20"/>
  <c r="U188" i="20"/>
  <c r="R189" i="20"/>
  <c r="I192" i="20"/>
  <c r="F193" i="20"/>
  <c r="V193" i="20"/>
  <c r="S194" i="20"/>
  <c r="M196" i="20"/>
  <c r="J197" i="20"/>
  <c r="G198" i="20"/>
  <c r="L188" i="20"/>
  <c r="S247" i="20"/>
  <c r="S237" i="20"/>
  <c r="S276" i="20" s="1"/>
  <c r="P248" i="20"/>
  <c r="M249" i="20"/>
  <c r="J250" i="20"/>
  <c r="D252" i="20"/>
  <c r="T252" i="20"/>
  <c r="Q253" i="20"/>
  <c r="N254" i="20"/>
  <c r="K255" i="20"/>
  <c r="H256" i="20"/>
  <c r="E257" i="20"/>
  <c r="U257" i="20"/>
  <c r="R258" i="20"/>
  <c r="N169" i="22"/>
  <c r="N159" i="22"/>
  <c r="H171" i="22"/>
  <c r="H159" i="22"/>
  <c r="H198" i="22" s="1"/>
  <c r="E172" i="22"/>
  <c r="E159" i="22"/>
  <c r="D298" i="21"/>
  <c r="D257" i="21"/>
  <c r="K170" i="20"/>
  <c r="E172" i="20"/>
  <c r="R173" i="20"/>
  <c r="L175" i="20"/>
  <c r="I176" i="20"/>
  <c r="F177" i="20"/>
  <c r="S178" i="20"/>
  <c r="P179" i="20"/>
  <c r="M180" i="20"/>
  <c r="J181" i="20"/>
  <c r="E237" i="20"/>
  <c r="U237" i="20"/>
  <c r="U276" i="20" s="1"/>
  <c r="P260" i="20"/>
  <c r="M261" i="20"/>
  <c r="J262" i="20"/>
  <c r="G263" i="20"/>
  <c r="D264" i="20"/>
  <c r="T264" i="20"/>
  <c r="Q265" i="20"/>
  <c r="N266" i="20"/>
  <c r="E269" i="20"/>
  <c r="U269" i="20"/>
  <c r="R270" i="20"/>
  <c r="O271" i="20"/>
  <c r="I273" i="20"/>
  <c r="F274" i="20"/>
  <c r="V274" i="20"/>
  <c r="J47" i="21"/>
  <c r="I173" i="21"/>
  <c r="I185" i="21"/>
  <c r="I237" i="20"/>
  <c r="I276" i="20" s="1"/>
  <c r="F247" i="20"/>
  <c r="V247" i="20"/>
  <c r="D46" i="21"/>
  <c r="D47" i="21" s="1"/>
  <c r="K174" i="21"/>
  <c r="F189" i="21"/>
  <c r="K284" i="21"/>
  <c r="N42" i="22"/>
  <c r="N246" i="22"/>
  <c r="K247" i="22"/>
  <c r="K92" i="22"/>
  <c r="H248" i="22"/>
  <c r="H93" i="22"/>
  <c r="U249" i="22"/>
  <c r="U94" i="22"/>
  <c r="L252" i="22"/>
  <c r="L97" i="22"/>
  <c r="G91" i="22"/>
  <c r="G81" i="22"/>
  <c r="H46" i="23"/>
  <c r="H47" i="23" s="1"/>
  <c r="H267" i="23"/>
  <c r="H100" i="23"/>
  <c r="H104" i="23"/>
  <c r="H271" i="23"/>
  <c r="H275" i="23"/>
  <c r="H108" i="23"/>
  <c r="H110" i="23"/>
  <c r="H277" i="23"/>
  <c r="H114" i="23"/>
  <c r="H281" i="23"/>
  <c r="H283" i="23"/>
  <c r="H116" i="23"/>
  <c r="H285" i="23"/>
  <c r="H118" i="23"/>
  <c r="H120" i="23"/>
  <c r="H287" i="23"/>
  <c r="H291" i="23"/>
  <c r="H124" i="23"/>
  <c r="H126" i="23"/>
  <c r="H293" i="23"/>
  <c r="H295" i="23"/>
  <c r="H128" i="23"/>
  <c r="H130" i="23"/>
  <c r="H297" i="23"/>
  <c r="F100" i="21"/>
  <c r="F119" i="21"/>
  <c r="E129" i="21"/>
  <c r="K185" i="21"/>
  <c r="K193" i="21"/>
  <c r="K201" i="21"/>
  <c r="K211" i="21"/>
  <c r="F193" i="21"/>
  <c r="J298" i="21"/>
  <c r="J257" i="21"/>
  <c r="I280" i="21"/>
  <c r="H81" i="22"/>
  <c r="H120" i="22" s="1"/>
  <c r="E92" i="22"/>
  <c r="R93" i="22"/>
  <c r="O94" i="22"/>
  <c r="F97" i="22"/>
  <c r="P99" i="22"/>
  <c r="M100" i="22"/>
  <c r="G102" i="22"/>
  <c r="D104" i="22"/>
  <c r="T104" i="22"/>
  <c r="Q105" i="22"/>
  <c r="N106" i="22"/>
  <c r="K107" i="22"/>
  <c r="R110" i="22"/>
  <c r="F114" i="22"/>
  <c r="G119" i="22"/>
  <c r="E81" i="22"/>
  <c r="E120" i="22" s="1"/>
  <c r="J119" i="22"/>
  <c r="F280" i="21"/>
  <c r="F197" i="21"/>
  <c r="F46" i="21"/>
  <c r="G131" i="21"/>
  <c r="G90" i="21"/>
  <c r="F113" i="21"/>
  <c r="F129" i="21"/>
  <c r="F201" i="21"/>
  <c r="H268" i="21"/>
  <c r="H272" i="21"/>
  <c r="H276" i="21"/>
  <c r="H280" i="21"/>
  <c r="H284" i="21"/>
  <c r="H288" i="21"/>
  <c r="H290" i="21"/>
  <c r="H292" i="21"/>
  <c r="H296" i="21"/>
  <c r="K270" i="21"/>
  <c r="I275" i="21"/>
  <c r="F286" i="21"/>
  <c r="I81" i="22"/>
  <c r="I120" i="22" s="1"/>
  <c r="I91" i="22"/>
  <c r="K81" i="22"/>
  <c r="K120" i="22" s="1"/>
  <c r="P236" i="22"/>
  <c r="P275" i="22" s="1"/>
  <c r="P246" i="22"/>
  <c r="G236" i="22"/>
  <c r="G249" i="22"/>
  <c r="G290" i="21"/>
  <c r="G123" i="21"/>
  <c r="E100" i="21"/>
  <c r="G129" i="21"/>
  <c r="I268" i="21"/>
  <c r="I270" i="21"/>
  <c r="I276" i="21"/>
  <c r="I278" i="21"/>
  <c r="I284" i="21"/>
  <c r="I286" i="21"/>
  <c r="I290" i="21"/>
  <c r="I292" i="21"/>
  <c r="I294" i="21"/>
  <c r="I296" i="21"/>
  <c r="F292" i="21"/>
  <c r="L81" i="22"/>
  <c r="H113" i="22"/>
  <c r="O159" i="22"/>
  <c r="I46" i="21"/>
  <c r="I47" i="21" s="1"/>
  <c r="J100" i="21"/>
  <c r="J89" i="21"/>
  <c r="I212" i="21"/>
  <c r="I281" i="21"/>
  <c r="K286" i="21"/>
  <c r="K292" i="21"/>
  <c r="Q97" i="22"/>
  <c r="Q175" i="22"/>
  <c r="U256" i="22"/>
  <c r="U101" i="22"/>
  <c r="V107" i="22"/>
  <c r="V185" i="22"/>
  <c r="M110" i="22"/>
  <c r="M265" i="22"/>
  <c r="Q192" i="22"/>
  <c r="Q114" i="22"/>
  <c r="H195" i="22"/>
  <c r="H117" i="22"/>
  <c r="K101" i="23"/>
  <c r="K89" i="23"/>
  <c r="H102" i="23"/>
  <c r="K106" i="21"/>
  <c r="K120" i="21"/>
  <c r="D277" i="21"/>
  <c r="D285" i="21"/>
  <c r="I267" i="21"/>
  <c r="J102" i="22"/>
  <c r="Q106" i="22"/>
  <c r="T174" i="22"/>
  <c r="K290" i="21"/>
  <c r="K123" i="21"/>
  <c r="D111" i="21"/>
  <c r="D113" i="21"/>
  <c r="D121" i="21"/>
  <c r="D129" i="21"/>
  <c r="F111" i="21"/>
  <c r="G184" i="21"/>
  <c r="E267" i="21"/>
  <c r="E273" i="21"/>
  <c r="E275" i="21"/>
  <c r="E277" i="21"/>
  <c r="E281" i="21"/>
  <c r="E283" i="21"/>
  <c r="E285" i="21"/>
  <c r="E287" i="21"/>
  <c r="I272" i="21"/>
  <c r="I287" i="21"/>
  <c r="N91" i="22"/>
  <c r="F159" i="22"/>
  <c r="F198" i="22" s="1"/>
  <c r="V169" i="22"/>
  <c r="V159" i="22"/>
  <c r="V198" i="22" s="1"/>
  <c r="S170" i="22"/>
  <c r="S159" i="22"/>
  <c r="S198" i="22" s="1"/>
  <c r="P171" i="22"/>
  <c r="M172" i="22"/>
  <c r="J173" i="22"/>
  <c r="G174" i="22"/>
  <c r="D175" i="22"/>
  <c r="T175" i="22"/>
  <c r="Q176" i="22"/>
  <c r="N177" i="22"/>
  <c r="K178" i="22"/>
  <c r="H179" i="22"/>
  <c r="E180" i="22"/>
  <c r="U180" i="22"/>
  <c r="R182" i="22"/>
  <c r="O183" i="22"/>
  <c r="L184" i="22"/>
  <c r="I185" i="22"/>
  <c r="F186" i="22"/>
  <c r="V186" i="22"/>
  <c r="S187" i="22"/>
  <c r="P188" i="22"/>
  <c r="M189" i="22"/>
  <c r="J190" i="22"/>
  <c r="G191" i="22"/>
  <c r="D192" i="22"/>
  <c r="T192" i="22"/>
  <c r="Q193" i="22"/>
  <c r="K195" i="22"/>
  <c r="H196" i="22"/>
  <c r="E197" i="22"/>
  <c r="U197" i="22"/>
  <c r="Q237" i="20"/>
  <c r="E101" i="21"/>
  <c r="E103" i="21"/>
  <c r="F117" i="21"/>
  <c r="E195" i="21"/>
  <c r="F267" i="21"/>
  <c r="F256" i="21"/>
  <c r="F42" i="22"/>
  <c r="V42" i="22"/>
  <c r="P248" i="22"/>
  <c r="G251" i="22"/>
  <c r="F101" i="21"/>
  <c r="F109" i="21"/>
  <c r="F123" i="21"/>
  <c r="F125" i="21"/>
  <c r="K196" i="21"/>
  <c r="K200" i="21"/>
  <c r="K202" i="21"/>
  <c r="F195" i="21"/>
  <c r="G275" i="21"/>
  <c r="G287" i="21"/>
  <c r="G295" i="21"/>
  <c r="F268" i="21"/>
  <c r="G169" i="22"/>
  <c r="G42" i="22"/>
  <c r="T170" i="22"/>
  <c r="T42" i="22"/>
  <c r="D187" i="22"/>
  <c r="D264" i="22"/>
  <c r="E192" i="22"/>
  <c r="E269" i="22"/>
  <c r="U269" i="22"/>
  <c r="U192" i="22"/>
  <c r="P81" i="22"/>
  <c r="M81" i="22"/>
  <c r="M120" i="22" s="1"/>
  <c r="F169" i="22"/>
  <c r="K101" i="21"/>
  <c r="D185" i="21"/>
  <c r="D187" i="21"/>
  <c r="D189" i="21"/>
  <c r="D193" i="21"/>
  <c r="D195" i="21"/>
  <c r="D197" i="21"/>
  <c r="D201" i="21"/>
  <c r="D203" i="21"/>
  <c r="D205" i="21"/>
  <c r="D207" i="21"/>
  <c r="D209" i="21"/>
  <c r="D211" i="21"/>
  <c r="D213" i="21"/>
  <c r="D173" i="21"/>
  <c r="E42" i="22"/>
  <c r="U42" i="22"/>
  <c r="D42" i="22"/>
  <c r="Q81" i="22"/>
  <c r="H236" i="22"/>
  <c r="H275" i="22" s="1"/>
  <c r="D237" i="20"/>
  <c r="D276" i="20" s="1"/>
  <c r="T237" i="20"/>
  <c r="T276" i="20" s="1"/>
  <c r="H103" i="21"/>
  <c r="H105" i="21"/>
  <c r="H113" i="21"/>
  <c r="F105" i="21"/>
  <c r="K111" i="21"/>
  <c r="F121" i="21"/>
  <c r="E131" i="21"/>
  <c r="E187" i="21"/>
  <c r="E193" i="21"/>
  <c r="E201" i="21"/>
  <c r="E207" i="21"/>
  <c r="E209" i="21"/>
  <c r="E173" i="21"/>
  <c r="I257" i="21"/>
  <c r="I277" i="21"/>
  <c r="I285" i="21"/>
  <c r="K294" i="21"/>
  <c r="D170" i="22"/>
  <c r="H200" i="21"/>
  <c r="H283" i="21"/>
  <c r="H208" i="21"/>
  <c r="H291" i="21"/>
  <c r="I103" i="21"/>
  <c r="I111" i="21"/>
  <c r="I125" i="21"/>
  <c r="I127" i="21"/>
  <c r="F131" i="21"/>
  <c r="F215" i="21"/>
  <c r="F174" i="21"/>
  <c r="F213" i="21"/>
  <c r="J101" i="21"/>
  <c r="H174" i="21"/>
  <c r="K169" i="22"/>
  <c r="K42" i="22"/>
  <c r="R94" i="22"/>
  <c r="R172" i="22"/>
  <c r="T183" i="22"/>
  <c r="T105" i="22"/>
  <c r="N107" i="22"/>
  <c r="N185" i="22"/>
  <c r="O190" i="22"/>
  <c r="O112" i="22"/>
  <c r="L191" i="22"/>
  <c r="L113" i="22"/>
  <c r="I192" i="22"/>
  <c r="I114" i="22"/>
  <c r="D91" i="22"/>
  <c r="D81" i="22"/>
  <c r="T91" i="22"/>
  <c r="T81" i="22"/>
  <c r="T120" i="22" s="1"/>
  <c r="K108" i="22"/>
  <c r="R249" i="22"/>
  <c r="O236" i="22"/>
  <c r="I252" i="22"/>
  <c r="D260" i="22"/>
  <c r="K105" i="21"/>
  <c r="H185" i="21"/>
  <c r="H187" i="21"/>
  <c r="H189" i="21"/>
  <c r="H193" i="21"/>
  <c r="H195" i="21"/>
  <c r="H197" i="21"/>
  <c r="H201" i="21"/>
  <c r="H203" i="21"/>
  <c r="H205" i="21"/>
  <c r="H207" i="21"/>
  <c r="H209" i="21"/>
  <c r="H211" i="21"/>
  <c r="H213" i="21"/>
  <c r="F207" i="21"/>
  <c r="D270" i="21"/>
  <c r="D272" i="21"/>
  <c r="D278" i="21"/>
  <c r="D280" i="21"/>
  <c r="D286" i="21"/>
  <c r="D288" i="21"/>
  <c r="D290" i="21"/>
  <c r="D294" i="21"/>
  <c r="D296" i="21"/>
  <c r="U81" i="22"/>
  <c r="R81" i="22"/>
  <c r="R120" i="22" s="1"/>
  <c r="O267" i="22"/>
  <c r="J267" i="21"/>
  <c r="J273" i="21"/>
  <c r="J275" i="21"/>
  <c r="J277" i="21"/>
  <c r="J279" i="21"/>
  <c r="J281" i="21"/>
  <c r="J283" i="21"/>
  <c r="J285" i="21"/>
  <c r="J287" i="21"/>
  <c r="J291" i="21"/>
  <c r="J295" i="21"/>
  <c r="G267" i="21"/>
  <c r="H91" i="22"/>
  <c r="M92" i="22"/>
  <c r="I193" i="22"/>
  <c r="P196" i="22"/>
  <c r="M257" i="22"/>
  <c r="F91" i="22"/>
  <c r="F81" i="22"/>
  <c r="F120" i="22" s="1"/>
  <c r="V91" i="22"/>
  <c r="V81" i="22"/>
  <c r="V120" i="22" s="1"/>
  <c r="S92" i="22"/>
  <c r="P93" i="22"/>
  <c r="M94" i="22"/>
  <c r="G96" i="22"/>
  <c r="D97" i="22"/>
  <c r="U102" i="22"/>
  <c r="R104" i="22"/>
  <c r="O105" i="22"/>
  <c r="L106" i="22"/>
  <c r="I107" i="22"/>
  <c r="F108" i="22"/>
  <c r="V108" i="22"/>
  <c r="S109" i="22"/>
  <c r="P110" i="22"/>
  <c r="M111" i="22"/>
  <c r="J112" i="22"/>
  <c r="G113" i="22"/>
  <c r="D114" i="22"/>
  <c r="T114" i="22"/>
  <c r="Q115" i="22"/>
  <c r="K117" i="22"/>
  <c r="H118" i="22"/>
  <c r="E119" i="22"/>
  <c r="U119" i="22"/>
  <c r="I98" i="22"/>
  <c r="S107" i="22"/>
  <c r="K109" i="22"/>
  <c r="T173" i="22"/>
  <c r="Q174" i="22"/>
  <c r="E178" i="22"/>
  <c r="U178" i="22"/>
  <c r="O180" i="22"/>
  <c r="L182" i="22"/>
  <c r="J188" i="22"/>
  <c r="T190" i="22"/>
  <c r="Q191" i="22"/>
  <c r="U195" i="22"/>
  <c r="R196" i="22"/>
  <c r="K246" i="22"/>
  <c r="K236" i="22"/>
  <c r="H247" i="22"/>
  <c r="E248" i="22"/>
  <c r="U248" i="22"/>
  <c r="O250" i="22"/>
  <c r="L251" i="22"/>
  <c r="F253" i="22"/>
  <c r="V253" i="22"/>
  <c r="S254" i="22"/>
  <c r="P255" i="22"/>
  <c r="J257" i="22"/>
  <c r="G259" i="22"/>
  <c r="T260" i="22"/>
  <c r="Q261" i="22"/>
  <c r="N262" i="22"/>
  <c r="K263" i="22"/>
  <c r="H264" i="22"/>
  <c r="E265" i="22"/>
  <c r="U265" i="22"/>
  <c r="R266" i="22"/>
  <c r="L268" i="22"/>
  <c r="I269" i="22"/>
  <c r="F270" i="22"/>
  <c r="V270" i="22"/>
  <c r="P272" i="22"/>
  <c r="M273" i="22"/>
  <c r="J274" i="22"/>
  <c r="H131" i="23"/>
  <c r="H90" i="23"/>
  <c r="G108" i="22"/>
  <c r="N111" i="22"/>
  <c r="K112" i="22"/>
  <c r="E114" i="22"/>
  <c r="U114" i="22"/>
  <c r="L117" i="22"/>
  <c r="E111" i="22"/>
  <c r="Q159" i="22"/>
  <c r="Q169" i="22"/>
  <c r="O186" i="22"/>
  <c r="L236" i="22"/>
  <c r="I247" i="22"/>
  <c r="I236" i="22"/>
  <c r="I275" i="22" s="1"/>
  <c r="F248" i="22"/>
  <c r="V248" i="22"/>
  <c r="S249" i="22"/>
  <c r="P250" i="22"/>
  <c r="M251" i="22"/>
  <c r="J252" i="22"/>
  <c r="G253" i="22"/>
  <c r="D254" i="22"/>
  <c r="T254" i="22"/>
  <c r="Q255" i="22"/>
  <c r="N256" i="22"/>
  <c r="K257" i="22"/>
  <c r="H259" i="22"/>
  <c r="E260" i="22"/>
  <c r="U260" i="22"/>
  <c r="R261" i="22"/>
  <c r="O262" i="22"/>
  <c r="L263" i="22"/>
  <c r="I264" i="22"/>
  <c r="F265" i="22"/>
  <c r="V265" i="22"/>
  <c r="S266" i="22"/>
  <c r="P267" i="22"/>
  <c r="M268" i="22"/>
  <c r="J269" i="22"/>
  <c r="G270" i="22"/>
  <c r="Q272" i="22"/>
  <c r="N273" i="22"/>
  <c r="K274" i="22"/>
  <c r="L246" i="22"/>
  <c r="L95" i="22"/>
  <c r="I96" i="22"/>
  <c r="V97" i="22"/>
  <c r="S98" i="22"/>
  <c r="H108" i="22"/>
  <c r="E109" i="22"/>
  <c r="L112" i="22"/>
  <c r="I113" i="22"/>
  <c r="V114" i="22"/>
  <c r="S115" i="22"/>
  <c r="J118" i="22"/>
  <c r="G111" i="22"/>
  <c r="R169" i="22"/>
  <c r="R159" i="22"/>
  <c r="R198" i="22" s="1"/>
  <c r="L171" i="22"/>
  <c r="I172" i="22"/>
  <c r="P175" i="22"/>
  <c r="L197" i="22"/>
  <c r="J247" i="22"/>
  <c r="N251" i="22"/>
  <c r="K252" i="22"/>
  <c r="H253" i="22"/>
  <c r="E254" i="22"/>
  <c r="U254" i="22"/>
  <c r="R255" i="22"/>
  <c r="O256" i="22"/>
  <c r="L257" i="22"/>
  <c r="I259" i="22"/>
  <c r="V260" i="22"/>
  <c r="M263" i="22"/>
  <c r="Q267" i="22"/>
  <c r="N268" i="22"/>
  <c r="R272" i="22"/>
  <c r="L274" i="22"/>
  <c r="G174" i="23"/>
  <c r="G215" i="23"/>
  <c r="J81" i="22"/>
  <c r="J120" i="22" s="1"/>
  <c r="N114" i="22"/>
  <c r="T159" i="22"/>
  <c r="T198" i="22" s="1"/>
  <c r="F47" i="23"/>
  <c r="D131" i="23"/>
  <c r="J268" i="21"/>
  <c r="J270" i="21"/>
  <c r="J272" i="21"/>
  <c r="J276" i="21"/>
  <c r="J278" i="21"/>
  <c r="J280" i="21"/>
  <c r="J284" i="21"/>
  <c r="J286" i="21"/>
  <c r="J290" i="21"/>
  <c r="J292" i="21"/>
  <c r="J294" i="21"/>
  <c r="J296" i="21"/>
  <c r="J42" i="22"/>
  <c r="E99" i="22"/>
  <c r="U99" i="22"/>
  <c r="L102" i="22"/>
  <c r="I104" i="22"/>
  <c r="S106" i="22"/>
  <c r="R117" i="22"/>
  <c r="R91" i="22"/>
  <c r="V95" i="22"/>
  <c r="M119" i="22"/>
  <c r="Q171" i="22"/>
  <c r="H174" i="22"/>
  <c r="G186" i="22"/>
  <c r="V197" i="22"/>
  <c r="R246" i="22"/>
  <c r="I249" i="22"/>
  <c r="M42" i="22"/>
  <c r="V99" i="22"/>
  <c r="S100" i="22"/>
  <c r="J104" i="22"/>
  <c r="G105" i="22"/>
  <c r="Q107" i="22"/>
  <c r="S117" i="22"/>
  <c r="P118" i="22"/>
  <c r="U91" i="22"/>
  <c r="N108" i="22"/>
  <c r="V194" i="22"/>
  <c r="S236" i="22"/>
  <c r="S275" i="22" s="1"/>
  <c r="P247" i="22"/>
  <c r="M248" i="22"/>
  <c r="J249" i="22"/>
  <c r="D251" i="22"/>
  <c r="T251" i="22"/>
  <c r="E256" i="22"/>
  <c r="O259" i="22"/>
  <c r="V262" i="22"/>
  <c r="S263" i="22"/>
  <c r="P264" i="22"/>
  <c r="J266" i="22"/>
  <c r="T268" i="22"/>
  <c r="E273" i="22"/>
  <c r="U273" i="22"/>
  <c r="T261" i="22"/>
  <c r="H106" i="23"/>
  <c r="H122" i="23"/>
  <c r="O113" i="22"/>
  <c r="O268" i="22"/>
  <c r="L42" i="22"/>
  <c r="O81" i="22"/>
  <c r="P96" i="22"/>
  <c r="M97" i="22"/>
  <c r="T100" i="22"/>
  <c r="Q101" i="22"/>
  <c r="H105" i="22"/>
  <c r="E106" i="22"/>
  <c r="R107" i="22"/>
  <c r="O108" i="22"/>
  <c r="F111" i="22"/>
  <c r="M114" i="22"/>
  <c r="J115" i="22"/>
  <c r="Q118" i="22"/>
  <c r="N119" i="22"/>
  <c r="F99" i="22"/>
  <c r="I169" i="22"/>
  <c r="I159" i="22"/>
  <c r="I198" i="22" s="1"/>
  <c r="T236" i="22"/>
  <c r="T275" i="22" s="1"/>
  <c r="U261" i="22"/>
  <c r="L269" i="22"/>
  <c r="E291" i="21"/>
  <c r="E295" i="21"/>
  <c r="H183" i="22"/>
  <c r="H260" i="22"/>
  <c r="E261" i="22"/>
  <c r="E184" i="22"/>
  <c r="L264" i="22"/>
  <c r="L187" i="22"/>
  <c r="I265" i="22"/>
  <c r="I188" i="22"/>
  <c r="V266" i="22"/>
  <c r="V189" i="22"/>
  <c r="M269" i="22"/>
  <c r="M192" i="22"/>
  <c r="J193" i="22"/>
  <c r="J270" i="22"/>
  <c r="D272" i="22"/>
  <c r="D195" i="22"/>
  <c r="T195" i="22"/>
  <c r="T272" i="22"/>
  <c r="Q196" i="22"/>
  <c r="Q273" i="22"/>
  <c r="N274" i="22"/>
  <c r="N197" i="22"/>
  <c r="O42" i="22"/>
  <c r="N97" i="22"/>
  <c r="K98" i="22"/>
  <c r="R101" i="22"/>
  <c r="O102" i="22"/>
  <c r="F106" i="22"/>
  <c r="V106" i="22"/>
  <c r="P108" i="22"/>
  <c r="M109" i="22"/>
  <c r="D112" i="22"/>
  <c r="K115" i="22"/>
  <c r="O119" i="22"/>
  <c r="G159" i="22"/>
  <c r="G198" i="22" s="1"/>
  <c r="U236" i="22"/>
  <c r="D46" i="23"/>
  <c r="D47" i="23" s="1"/>
  <c r="D184" i="23"/>
  <c r="D188" i="23"/>
  <c r="D104" i="23"/>
  <c r="D192" i="23"/>
  <c r="D108" i="23"/>
  <c r="D194" i="23"/>
  <c r="D110" i="23"/>
  <c r="D198" i="23"/>
  <c r="D114" i="23"/>
  <c r="D204" i="23"/>
  <c r="D120" i="23"/>
  <c r="D124" i="23"/>
  <c r="D208" i="23"/>
  <c r="D126" i="23"/>
  <c r="D210" i="23"/>
  <c r="P42" i="22"/>
  <c r="P169" i="22"/>
  <c r="N81" i="22"/>
  <c r="N120" i="22" s="1"/>
  <c r="S81" i="22"/>
  <c r="S120" i="22" s="1"/>
  <c r="L93" i="22"/>
  <c r="O173" i="22"/>
  <c r="L174" i="22"/>
  <c r="V176" i="22"/>
  <c r="E188" i="22"/>
  <c r="R189" i="22"/>
  <c r="F236" i="22"/>
  <c r="F275" i="22" s="1"/>
  <c r="F246" i="22"/>
  <c r="V246" i="22"/>
  <c r="V236" i="22"/>
  <c r="V275" i="22" s="1"/>
  <c r="M249" i="22"/>
  <c r="J250" i="22"/>
  <c r="D252" i="22"/>
  <c r="T252" i="22"/>
  <c r="Q253" i="22"/>
  <c r="N254" i="22"/>
  <c r="K255" i="22"/>
  <c r="H256" i="22"/>
  <c r="E257" i="22"/>
  <c r="U257" i="22"/>
  <c r="R259" i="22"/>
  <c r="O260" i="22"/>
  <c r="L261" i="22"/>
  <c r="I262" i="22"/>
  <c r="F263" i="22"/>
  <c r="V263" i="22"/>
  <c r="Q42" i="22"/>
  <c r="I115" i="22"/>
  <c r="L159" i="22"/>
  <c r="I170" i="22"/>
  <c r="F171" i="22"/>
  <c r="V171" i="22"/>
  <c r="S172" i="22"/>
  <c r="M174" i="22"/>
  <c r="J175" i="22"/>
  <c r="G176" i="22"/>
  <c r="D177" i="22"/>
  <c r="T177" i="22"/>
  <c r="N179" i="22"/>
  <c r="K180" i="22"/>
  <c r="H182" i="22"/>
  <c r="R184" i="22"/>
  <c r="O185" i="22"/>
  <c r="L186" i="22"/>
  <c r="I187" i="22"/>
  <c r="V188" i="22"/>
  <c r="S189" i="22"/>
  <c r="M191" i="22"/>
  <c r="G193" i="22"/>
  <c r="Q195" i="22"/>
  <c r="N196" i="22"/>
  <c r="E189" i="22"/>
  <c r="G246" i="22"/>
  <c r="D236" i="22"/>
  <c r="T247" i="22"/>
  <c r="Q236" i="22"/>
  <c r="N236" i="22"/>
  <c r="N275" i="22" s="1"/>
  <c r="K250" i="22"/>
  <c r="H251" i="22"/>
  <c r="E252" i="22"/>
  <c r="U252" i="22"/>
  <c r="R253" i="22"/>
  <c r="O254" i="22"/>
  <c r="L255" i="22"/>
  <c r="G263" i="22"/>
  <c r="N266" i="22"/>
  <c r="K267" i="22"/>
  <c r="H268" i="22"/>
  <c r="S91" i="22"/>
  <c r="P92" i="22"/>
  <c r="M93" i="22"/>
  <c r="J94" i="22"/>
  <c r="H100" i="22"/>
  <c r="E101" i="22"/>
  <c r="O104" i="22"/>
  <c r="L105" i="22"/>
  <c r="S108" i="22"/>
  <c r="P109" i="22"/>
  <c r="J111" i="22"/>
  <c r="G112" i="22"/>
  <c r="E118" i="22"/>
  <c r="U118" i="22"/>
  <c r="D106" i="22"/>
  <c r="V116" i="22"/>
  <c r="M159" i="22"/>
  <c r="J159" i="22"/>
  <c r="J198" i="22" s="1"/>
  <c r="G171" i="22"/>
  <c r="D172" i="22"/>
  <c r="T172" i="22"/>
  <c r="Q173" i="22"/>
  <c r="K175" i="22"/>
  <c r="H176" i="22"/>
  <c r="E177" i="22"/>
  <c r="U177" i="22"/>
  <c r="R178" i="22"/>
  <c r="L180" i="22"/>
  <c r="I182" i="22"/>
  <c r="F183" i="22"/>
  <c r="P185" i="22"/>
  <c r="M186" i="22"/>
  <c r="J187" i="22"/>
  <c r="G188" i="22"/>
  <c r="D189" i="22"/>
  <c r="T189" i="22"/>
  <c r="Q190" i="22"/>
  <c r="N191" i="22"/>
  <c r="K192" i="22"/>
  <c r="R195" i="22"/>
  <c r="O196" i="22"/>
  <c r="K182" i="22"/>
  <c r="E236" i="22"/>
  <c r="E275" i="22" s="1"/>
  <c r="U247" i="22"/>
  <c r="R248" i="22"/>
  <c r="O249" i="22"/>
  <c r="L250" i="22"/>
  <c r="I251" i="22"/>
  <c r="F252" i="22"/>
  <c r="V252" i="22"/>
  <c r="S253" i="22"/>
  <c r="P254" i="22"/>
  <c r="J256" i="22"/>
  <c r="T259" i="22"/>
  <c r="E264" i="22"/>
  <c r="U264" i="22"/>
  <c r="L267" i="22"/>
  <c r="F269" i="22"/>
  <c r="V269" i="22"/>
  <c r="J273" i="22"/>
  <c r="G47" i="23"/>
  <c r="O255" i="22"/>
  <c r="E270" i="22"/>
  <c r="F101" i="23"/>
  <c r="F107" i="23"/>
  <c r="F111" i="23"/>
  <c r="F113" i="23"/>
  <c r="F117" i="23"/>
  <c r="F123" i="23"/>
  <c r="F127" i="23"/>
  <c r="F129" i="23"/>
  <c r="J90" i="23"/>
  <c r="R92" i="24"/>
  <c r="R42" i="24"/>
  <c r="L172" i="24"/>
  <c r="L249" i="24"/>
  <c r="I256" i="22"/>
  <c r="F257" i="22"/>
  <c r="V257" i="22"/>
  <c r="S259" i="22"/>
  <c r="P260" i="22"/>
  <c r="M261" i="22"/>
  <c r="J262" i="22"/>
  <c r="T264" i="22"/>
  <c r="Q265" i="22"/>
  <c r="R270" i="22"/>
  <c r="I273" i="22"/>
  <c r="F274" i="22"/>
  <c r="V274" i="22"/>
  <c r="E247" i="22"/>
  <c r="N249" i="22"/>
  <c r="G101" i="23"/>
  <c r="G109" i="23"/>
  <c r="G111" i="23"/>
  <c r="G113" i="23"/>
  <c r="G115" i="23"/>
  <c r="G117" i="23"/>
  <c r="G125" i="23"/>
  <c r="G127" i="23"/>
  <c r="G129" i="23"/>
  <c r="D206" i="23"/>
  <c r="G267" i="23"/>
  <c r="H246" i="22"/>
  <c r="M255" i="22"/>
  <c r="G257" i="22"/>
  <c r="D259" i="22"/>
  <c r="Q260" i="22"/>
  <c r="N261" i="22"/>
  <c r="K262" i="22"/>
  <c r="H263" i="22"/>
  <c r="R265" i="22"/>
  <c r="O266" i="22"/>
  <c r="M272" i="22"/>
  <c r="G274" i="22"/>
  <c r="G110" i="23"/>
  <c r="E215" i="23"/>
  <c r="E174" i="23"/>
  <c r="K268" i="23"/>
  <c r="K256" i="23"/>
  <c r="T110" i="22"/>
  <c r="I246" i="22"/>
  <c r="F247" i="22"/>
  <c r="K256" i="22"/>
  <c r="E259" i="22"/>
  <c r="U259" i="22"/>
  <c r="O261" i="22"/>
  <c r="L262" i="22"/>
  <c r="I263" i="22"/>
  <c r="F264" i="22"/>
  <c r="P266" i="22"/>
  <c r="M267" i="22"/>
  <c r="N272" i="22"/>
  <c r="K273" i="22"/>
  <c r="I101" i="23"/>
  <c r="I89" i="23"/>
  <c r="F90" i="23"/>
  <c r="F215" i="23"/>
  <c r="F174" i="23"/>
  <c r="D267" i="23"/>
  <c r="D269" i="23"/>
  <c r="D271" i="23"/>
  <c r="D273" i="23"/>
  <c r="D275" i="23"/>
  <c r="D277" i="23"/>
  <c r="D281" i="23"/>
  <c r="D283" i="23"/>
  <c r="D285" i="23"/>
  <c r="D287" i="23"/>
  <c r="D289" i="23"/>
  <c r="D291" i="23"/>
  <c r="D293" i="23"/>
  <c r="D295" i="23"/>
  <c r="Q121" i="24"/>
  <c r="H192" i="22"/>
  <c r="J236" i="22"/>
  <c r="J275" i="22" s="1"/>
  <c r="G247" i="22"/>
  <c r="D248" i="22"/>
  <c r="L256" i="22"/>
  <c r="I257" i="22"/>
  <c r="V259" i="22"/>
  <c r="S260" i="22"/>
  <c r="M262" i="22"/>
  <c r="J263" i="22"/>
  <c r="G264" i="22"/>
  <c r="D265" i="22"/>
  <c r="N267" i="22"/>
  <c r="K268" i="22"/>
  <c r="L273" i="22"/>
  <c r="I274" i="22"/>
  <c r="F100" i="23"/>
  <c r="G128" i="23"/>
  <c r="E298" i="23"/>
  <c r="E257" i="23"/>
  <c r="F42" i="24"/>
  <c r="P159" i="22"/>
  <c r="M236" i="22"/>
  <c r="G248" i="22"/>
  <c r="D249" i="22"/>
  <c r="T249" i="22"/>
  <c r="Q250" i="22"/>
  <c r="S261" i="22"/>
  <c r="P262" i="22"/>
  <c r="J264" i="22"/>
  <c r="G265" i="22"/>
  <c r="D266" i="22"/>
  <c r="T266" i="22"/>
  <c r="K269" i="22"/>
  <c r="H270" i="22"/>
  <c r="M246" i="22"/>
  <c r="O272" i="22"/>
  <c r="J215" i="23"/>
  <c r="J174" i="23"/>
  <c r="E249" i="22"/>
  <c r="R250" i="22"/>
  <c r="O251" i="22"/>
  <c r="H265" i="22"/>
  <c r="U266" i="22"/>
  <c r="R267" i="22"/>
  <c r="K173" i="23"/>
  <c r="K184" i="23"/>
  <c r="K186" i="23"/>
  <c r="K188" i="23"/>
  <c r="K196" i="23"/>
  <c r="K200" i="23"/>
  <c r="K202" i="23"/>
  <c r="K206" i="23"/>
  <c r="K208" i="23"/>
  <c r="K210" i="23"/>
  <c r="K212" i="23"/>
  <c r="K214" i="23"/>
  <c r="F266" i="22"/>
  <c r="S267" i="22"/>
  <c r="P268" i="22"/>
  <c r="H269" i="22"/>
  <c r="G89" i="23"/>
  <c r="G100" i="23"/>
  <c r="G102" i="23"/>
  <c r="G104" i="23"/>
  <c r="G106" i="23"/>
  <c r="G108" i="23"/>
  <c r="G116" i="23"/>
  <c r="G118" i="23"/>
  <c r="G120" i="23"/>
  <c r="G122" i="23"/>
  <c r="G124" i="23"/>
  <c r="H101" i="23"/>
  <c r="D173" i="23"/>
  <c r="U250" i="22"/>
  <c r="U267" i="22"/>
  <c r="I104" i="23"/>
  <c r="I106" i="23"/>
  <c r="I120" i="23"/>
  <c r="I122" i="23"/>
  <c r="G130" i="23"/>
  <c r="G298" i="23"/>
  <c r="G257" i="23"/>
  <c r="H169" i="22"/>
  <c r="E170" i="22"/>
  <c r="U170" i="22"/>
  <c r="R171" i="22"/>
  <c r="O172" i="22"/>
  <c r="L173" i="22"/>
  <c r="I174" i="22"/>
  <c r="F175" i="22"/>
  <c r="V175" i="22"/>
  <c r="S176" i="22"/>
  <c r="P177" i="22"/>
  <c r="M178" i="22"/>
  <c r="J179" i="22"/>
  <c r="G180" i="22"/>
  <c r="D182" i="22"/>
  <c r="T182" i="22"/>
  <c r="Q183" i="22"/>
  <c r="N184" i="22"/>
  <c r="K185" i="22"/>
  <c r="H186" i="22"/>
  <c r="E187" i="22"/>
  <c r="U187" i="22"/>
  <c r="R188" i="22"/>
  <c r="O189" i="22"/>
  <c r="L190" i="22"/>
  <c r="I191" i="22"/>
  <c r="F192" i="22"/>
  <c r="V192" i="22"/>
  <c r="S193" i="22"/>
  <c r="M195" i="22"/>
  <c r="J196" i="22"/>
  <c r="G197" i="22"/>
  <c r="D159" i="22"/>
  <c r="D198" i="22" s="1"/>
  <c r="U159" i="22"/>
  <c r="R236" i="22"/>
  <c r="R275" i="22" s="1"/>
  <c r="S251" i="22"/>
  <c r="P252" i="22"/>
  <c r="M253" i="22"/>
  <c r="J254" i="22"/>
  <c r="T256" i="22"/>
  <c r="Q257" i="22"/>
  <c r="K260" i="22"/>
  <c r="H261" i="22"/>
  <c r="I266" i="22"/>
  <c r="F267" i="22"/>
  <c r="S268" i="22"/>
  <c r="P269" i="22"/>
  <c r="M270" i="22"/>
  <c r="T273" i="22"/>
  <c r="Q274" i="22"/>
  <c r="S246" i="22"/>
  <c r="J46" i="23"/>
  <c r="J47" i="23" s="1"/>
  <c r="J100" i="23"/>
  <c r="J102" i="23"/>
  <c r="J106" i="23"/>
  <c r="J108" i="23"/>
  <c r="J112" i="23"/>
  <c r="J118" i="23"/>
  <c r="J122" i="23"/>
  <c r="J124" i="23"/>
  <c r="J128" i="23"/>
  <c r="G185" i="23"/>
  <c r="G189" i="23"/>
  <c r="G191" i="23"/>
  <c r="G193" i="23"/>
  <c r="G195" i="23"/>
  <c r="G197" i="23"/>
  <c r="G199" i="23"/>
  <c r="G201" i="23"/>
  <c r="G203" i="23"/>
  <c r="G211" i="23"/>
  <c r="E121" i="24"/>
  <c r="Q252" i="22"/>
  <c r="N253" i="22"/>
  <c r="K254" i="22"/>
  <c r="H255" i="22"/>
  <c r="R257" i="22"/>
  <c r="I261" i="22"/>
  <c r="F262" i="22"/>
  <c r="G267" i="22"/>
  <c r="D268" i="22"/>
  <c r="Q269" i="22"/>
  <c r="N270" i="22"/>
  <c r="H272" i="22"/>
  <c r="R274" i="22"/>
  <c r="E184" i="23"/>
  <c r="K190" i="23"/>
  <c r="F268" i="23"/>
  <c r="F256" i="23"/>
  <c r="F270" i="23"/>
  <c r="F272" i="23"/>
  <c r="F274" i="23"/>
  <c r="F276" i="23"/>
  <c r="F278" i="23"/>
  <c r="F280" i="23"/>
  <c r="F282" i="23"/>
  <c r="F284" i="23"/>
  <c r="F286" i="23"/>
  <c r="F288" i="23"/>
  <c r="F290" i="23"/>
  <c r="F292" i="23"/>
  <c r="F294" i="23"/>
  <c r="F296" i="23"/>
  <c r="J92" i="24"/>
  <c r="J82" i="24"/>
  <c r="N121" i="24"/>
  <c r="O253" i="22"/>
  <c r="L254" i="22"/>
  <c r="I255" i="22"/>
  <c r="F256" i="22"/>
  <c r="P259" i="22"/>
  <c r="G262" i="22"/>
  <c r="D263" i="22"/>
  <c r="E268" i="22"/>
  <c r="U268" i="22"/>
  <c r="O270" i="22"/>
  <c r="I272" i="22"/>
  <c r="F273" i="22"/>
  <c r="U246" i="22"/>
  <c r="E131" i="23"/>
  <c r="E90" i="23"/>
  <c r="I257" i="23"/>
  <c r="K159" i="22"/>
  <c r="M254" i="22"/>
  <c r="J255" i="22"/>
  <c r="G256" i="22"/>
  <c r="D257" i="22"/>
  <c r="Q259" i="22"/>
  <c r="N260" i="22"/>
  <c r="E263" i="22"/>
  <c r="U263" i="22"/>
  <c r="V268" i="22"/>
  <c r="S269" i="22"/>
  <c r="J272" i="22"/>
  <c r="G273" i="22"/>
  <c r="D274" i="22"/>
  <c r="E47" i="23"/>
  <c r="J114" i="23"/>
  <c r="J184" i="23"/>
  <c r="F188" i="23"/>
  <c r="F190" i="23"/>
  <c r="F192" i="23"/>
  <c r="F194" i="23"/>
  <c r="F198" i="23"/>
  <c r="F200" i="23"/>
  <c r="F202" i="23"/>
  <c r="F204" i="23"/>
  <c r="F206" i="23"/>
  <c r="F208" i="23"/>
  <c r="F210" i="23"/>
  <c r="F212" i="23"/>
  <c r="F214" i="23"/>
  <c r="G268" i="23"/>
  <c r="G270" i="23"/>
  <c r="G272" i="23"/>
  <c r="G274" i="23"/>
  <c r="G276" i="23"/>
  <c r="G278" i="23"/>
  <c r="G280" i="23"/>
  <c r="G282" i="23"/>
  <c r="G284" i="23"/>
  <c r="G286" i="23"/>
  <c r="G288" i="23"/>
  <c r="G290" i="23"/>
  <c r="G292" i="23"/>
  <c r="G294" i="23"/>
  <c r="G296" i="23"/>
  <c r="H256" i="23"/>
  <c r="D92" i="24"/>
  <c r="I170" i="24"/>
  <c r="I160" i="24"/>
  <c r="R160" i="24"/>
  <c r="Q188" i="24"/>
  <c r="G184" i="23"/>
  <c r="G186" i="23"/>
  <c r="G188" i="23"/>
  <c r="G190" i="23"/>
  <c r="G192" i="23"/>
  <c r="G194" i="23"/>
  <c r="G198" i="23"/>
  <c r="G200" i="23"/>
  <c r="G202" i="23"/>
  <c r="G204" i="23"/>
  <c r="G206" i="23"/>
  <c r="G208" i="23"/>
  <c r="G210" i="23"/>
  <c r="G212" i="23"/>
  <c r="G214" i="23"/>
  <c r="O94" i="24"/>
  <c r="L95" i="24"/>
  <c r="J101" i="24"/>
  <c r="G102" i="24"/>
  <c r="D103" i="24"/>
  <c r="P105" i="24"/>
  <c r="T109" i="24"/>
  <c r="Q110" i="24"/>
  <c r="K112" i="24"/>
  <c r="H200" i="23"/>
  <c r="H202" i="23"/>
  <c r="H204" i="23"/>
  <c r="H206" i="23"/>
  <c r="H208" i="23"/>
  <c r="H210" i="23"/>
  <c r="H212" i="23"/>
  <c r="H214" i="23"/>
  <c r="O247" i="24"/>
  <c r="O170" i="24"/>
  <c r="O42" i="24"/>
  <c r="O276" i="24" s="1"/>
  <c r="V250" i="24"/>
  <c r="V173" i="24"/>
  <c r="J254" i="24"/>
  <c r="J177" i="24"/>
  <c r="T256" i="24"/>
  <c r="T179" i="24"/>
  <c r="D273" i="24"/>
  <c r="D196" i="24"/>
  <c r="N198" i="24"/>
  <c r="N275" i="24"/>
  <c r="N120" i="24"/>
  <c r="V92" i="24"/>
  <c r="M95" i="24"/>
  <c r="Q99" i="24"/>
  <c r="K101" i="24"/>
  <c r="E103" i="24"/>
  <c r="K199" i="24"/>
  <c r="K170" i="24"/>
  <c r="I184" i="23"/>
  <c r="I173" i="23"/>
  <c r="I186" i="23"/>
  <c r="I188" i="23"/>
  <c r="I190" i="23"/>
  <c r="I192" i="23"/>
  <c r="I194" i="23"/>
  <c r="I196" i="23"/>
  <c r="I198" i="23"/>
  <c r="I200" i="23"/>
  <c r="I202" i="23"/>
  <c r="I204" i="23"/>
  <c r="I206" i="23"/>
  <c r="I208" i="23"/>
  <c r="I210" i="23"/>
  <c r="I212" i="23"/>
  <c r="I214" i="23"/>
  <c r="J268" i="23"/>
  <c r="J270" i="23"/>
  <c r="J272" i="23"/>
  <c r="J274" i="23"/>
  <c r="J276" i="23"/>
  <c r="J278" i="23"/>
  <c r="J280" i="23"/>
  <c r="J282" i="23"/>
  <c r="J284" i="23"/>
  <c r="J286" i="23"/>
  <c r="J288" i="23"/>
  <c r="J290" i="23"/>
  <c r="J292" i="23"/>
  <c r="J294" i="23"/>
  <c r="J296" i="23"/>
  <c r="P247" i="24"/>
  <c r="P42" i="24"/>
  <c r="V185" i="24"/>
  <c r="V262" i="24"/>
  <c r="D191" i="24"/>
  <c r="D268" i="24"/>
  <c r="Q192" i="24"/>
  <c r="Q269" i="24"/>
  <c r="K194" i="24"/>
  <c r="K271" i="24"/>
  <c r="E196" i="24"/>
  <c r="E273" i="24"/>
  <c r="N95" i="24"/>
  <c r="T96" i="24"/>
  <c r="D90" i="23"/>
  <c r="D247" i="24"/>
  <c r="D42" i="24"/>
  <c r="T247" i="24"/>
  <c r="T42" i="24"/>
  <c r="Q171" i="24"/>
  <c r="Q93" i="24"/>
  <c r="N249" i="24"/>
  <c r="N94" i="24"/>
  <c r="K250" i="24"/>
  <c r="K173" i="24"/>
  <c r="K95" i="24"/>
  <c r="E252" i="24"/>
  <c r="E175" i="24"/>
  <c r="L178" i="24"/>
  <c r="L255" i="24"/>
  <c r="S258" i="24"/>
  <c r="S181" i="24"/>
  <c r="I273" i="24"/>
  <c r="I118" i="24"/>
  <c r="F274" i="24"/>
  <c r="F119" i="24"/>
  <c r="V274" i="24"/>
  <c r="V119" i="24"/>
  <c r="S275" i="24"/>
  <c r="S120" i="24"/>
  <c r="F185" i="23"/>
  <c r="F187" i="23"/>
  <c r="F189" i="23"/>
  <c r="F191" i="23"/>
  <c r="F193" i="23"/>
  <c r="F195" i="23"/>
  <c r="F197" i="23"/>
  <c r="F199" i="23"/>
  <c r="F201" i="23"/>
  <c r="F203" i="23"/>
  <c r="F205" i="23"/>
  <c r="F207" i="23"/>
  <c r="F209" i="23"/>
  <c r="F211" i="23"/>
  <c r="F213" i="23"/>
  <c r="E247" i="24"/>
  <c r="E42" i="24"/>
  <c r="U247" i="24"/>
  <c r="U42" i="24"/>
  <c r="T258" i="24"/>
  <c r="T103" i="24"/>
  <c r="O189" i="24"/>
  <c r="O111" i="24"/>
  <c r="R82" i="24"/>
  <c r="R98" i="24"/>
  <c r="V42" i="24"/>
  <c r="I267" i="23"/>
  <c r="I269" i="23"/>
  <c r="I271" i="23"/>
  <c r="I273" i="23"/>
  <c r="I275" i="23"/>
  <c r="I277" i="23"/>
  <c r="I279" i="23"/>
  <c r="I281" i="23"/>
  <c r="I283" i="23"/>
  <c r="I285" i="23"/>
  <c r="I287" i="23"/>
  <c r="I289" i="23"/>
  <c r="I291" i="23"/>
  <c r="I293" i="23"/>
  <c r="I295" i="23"/>
  <c r="I297" i="23"/>
  <c r="G42" i="24"/>
  <c r="J256" i="23"/>
  <c r="J297" i="23"/>
  <c r="J267" i="23"/>
  <c r="K42" i="24"/>
  <c r="O82" i="24"/>
  <c r="O121" i="24" s="1"/>
  <c r="O92" i="24"/>
  <c r="I94" i="24"/>
  <c r="F95" i="24"/>
  <c r="V95" i="24"/>
  <c r="S96" i="24"/>
  <c r="P97" i="24"/>
  <c r="J99" i="24"/>
  <c r="G100" i="24"/>
  <c r="T101" i="24"/>
  <c r="Q102" i="24"/>
  <c r="N103" i="24"/>
  <c r="L100" i="24"/>
  <c r="N115" i="24"/>
  <c r="D160" i="24"/>
  <c r="D199" i="24" s="1"/>
  <c r="P264" i="24"/>
  <c r="O246" i="22"/>
  <c r="L247" i="22"/>
  <c r="I248" i="22"/>
  <c r="F249" i="22"/>
  <c r="V249" i="22"/>
  <c r="S250" i="22"/>
  <c r="P251" i="22"/>
  <c r="M252" i="22"/>
  <c r="J253" i="22"/>
  <c r="G254" i="22"/>
  <c r="D255" i="22"/>
  <c r="T255" i="22"/>
  <c r="Q256" i="22"/>
  <c r="N257" i="22"/>
  <c r="K267" i="23"/>
  <c r="K269" i="23"/>
  <c r="K271" i="23"/>
  <c r="K273" i="23"/>
  <c r="K275" i="23"/>
  <c r="K277" i="23"/>
  <c r="K279" i="23"/>
  <c r="K281" i="23"/>
  <c r="K283" i="23"/>
  <c r="K285" i="23"/>
  <c r="K287" i="23"/>
  <c r="K289" i="23"/>
  <c r="K291" i="23"/>
  <c r="K293" i="23"/>
  <c r="K295" i="23"/>
  <c r="K297" i="23"/>
  <c r="I42" i="24"/>
  <c r="P82" i="24"/>
  <c r="P121" i="24" s="1"/>
  <c r="P92" i="24"/>
  <c r="J94" i="24"/>
  <c r="Q97" i="24"/>
  <c r="K99" i="24"/>
  <c r="H100" i="24"/>
  <c r="R102" i="24"/>
  <c r="O103" i="24"/>
  <c r="H106" i="24"/>
  <c r="U107" i="24"/>
  <c r="R108" i="24"/>
  <c r="O109" i="24"/>
  <c r="L110" i="24"/>
  <c r="I111" i="24"/>
  <c r="F112" i="24"/>
  <c r="V112" i="24"/>
  <c r="P114" i="24"/>
  <c r="J116" i="24"/>
  <c r="D118" i="24"/>
  <c r="Q119" i="24"/>
  <c r="R171" i="24"/>
  <c r="G186" i="24"/>
  <c r="U192" i="24"/>
  <c r="D100" i="23"/>
  <c r="D268" i="23"/>
  <c r="D270" i="23"/>
  <c r="D272" i="23"/>
  <c r="D274" i="23"/>
  <c r="D276" i="23"/>
  <c r="D278" i="23"/>
  <c r="D280" i="23"/>
  <c r="D282" i="23"/>
  <c r="D284" i="23"/>
  <c r="D286" i="23"/>
  <c r="D288" i="23"/>
  <c r="D290" i="23"/>
  <c r="D292" i="23"/>
  <c r="D294" i="23"/>
  <c r="D296" i="23"/>
  <c r="D256" i="23"/>
  <c r="J42" i="24"/>
  <c r="Q42" i="24"/>
  <c r="V107" i="24"/>
  <c r="S108" i="24"/>
  <c r="P109" i="24"/>
  <c r="M110" i="24"/>
  <c r="Q114" i="24"/>
  <c r="K116" i="24"/>
  <c r="J266" i="24"/>
  <c r="E268" i="23"/>
  <c r="E270" i="23"/>
  <c r="E272" i="23"/>
  <c r="E274" i="23"/>
  <c r="E276" i="23"/>
  <c r="E278" i="23"/>
  <c r="E280" i="23"/>
  <c r="E282" i="23"/>
  <c r="E284" i="23"/>
  <c r="E286" i="23"/>
  <c r="E288" i="23"/>
  <c r="E290" i="23"/>
  <c r="E292" i="23"/>
  <c r="E294" i="23"/>
  <c r="E296" i="23"/>
  <c r="O93" i="24"/>
  <c r="L94" i="24"/>
  <c r="S97" i="24"/>
  <c r="T171" i="24"/>
  <c r="L108" i="24"/>
  <c r="I109" i="24"/>
  <c r="F110" i="24"/>
  <c r="V110" i="24"/>
  <c r="S111" i="24"/>
  <c r="P112" i="24"/>
  <c r="M113" i="24"/>
  <c r="J114" i="24"/>
  <c r="D116" i="24"/>
  <c r="T116" i="24"/>
  <c r="N118" i="24"/>
  <c r="K119" i="24"/>
  <c r="H120" i="24"/>
  <c r="I82" i="24"/>
  <c r="I121" i="24" s="1"/>
  <c r="E160" i="24"/>
  <c r="E199" i="24" s="1"/>
  <c r="U170" i="24"/>
  <c r="U160" i="24"/>
  <c r="U199" i="24" s="1"/>
  <c r="O172" i="24"/>
  <c r="L173" i="24"/>
  <c r="I174" i="24"/>
  <c r="F175" i="24"/>
  <c r="V175" i="24"/>
  <c r="S176" i="24"/>
  <c r="P177" i="24"/>
  <c r="M178" i="24"/>
  <c r="G180" i="24"/>
  <c r="D181" i="24"/>
  <c r="T181" i="24"/>
  <c r="P183" i="24"/>
  <c r="M184" i="24"/>
  <c r="D187" i="24"/>
  <c r="T187" i="24"/>
  <c r="N189" i="24"/>
  <c r="K190" i="24"/>
  <c r="H191" i="24"/>
  <c r="R193" i="24"/>
  <c r="O194" i="24"/>
  <c r="I196" i="24"/>
  <c r="F197" i="24"/>
  <c r="V197" i="24"/>
  <c r="S198" i="24"/>
  <c r="F247" i="24"/>
  <c r="J251" i="24"/>
  <c r="Q254" i="24"/>
  <c r="U264" i="24"/>
  <c r="I268" i="24"/>
  <c r="P258" i="24"/>
  <c r="P181" i="24"/>
  <c r="T186" i="24"/>
  <c r="T263" i="24"/>
  <c r="H190" i="24"/>
  <c r="H267" i="24"/>
  <c r="N42" i="24"/>
  <c r="K82" i="24"/>
  <c r="E94" i="24"/>
  <c r="U94" i="24"/>
  <c r="R95" i="24"/>
  <c r="O96" i="24"/>
  <c r="S100" i="24"/>
  <c r="P101" i="24"/>
  <c r="M102" i="24"/>
  <c r="J103" i="24"/>
  <c r="F105" i="24"/>
  <c r="V105" i="24"/>
  <c r="S106" i="24"/>
  <c r="P107" i="24"/>
  <c r="M108" i="24"/>
  <c r="J109" i="24"/>
  <c r="J115" i="24"/>
  <c r="F160" i="24"/>
  <c r="F199" i="24" s="1"/>
  <c r="V170" i="24"/>
  <c r="S171" i="24"/>
  <c r="P172" i="24"/>
  <c r="D176" i="24"/>
  <c r="T176" i="24"/>
  <c r="V192" i="24"/>
  <c r="S193" i="24"/>
  <c r="G247" i="24"/>
  <c r="G237" i="24"/>
  <c r="D248" i="24"/>
  <c r="T248" i="24"/>
  <c r="T237" i="24"/>
  <c r="T276" i="24" s="1"/>
  <c r="Q249" i="24"/>
  <c r="K184" i="24"/>
  <c r="K261" i="24"/>
  <c r="E263" i="24"/>
  <c r="E186" i="24"/>
  <c r="U263" i="24"/>
  <c r="U186" i="24"/>
  <c r="R187" i="24"/>
  <c r="R264" i="24"/>
  <c r="L266" i="24"/>
  <c r="L189" i="24"/>
  <c r="I267" i="24"/>
  <c r="I190" i="24"/>
  <c r="F268" i="24"/>
  <c r="F191" i="24"/>
  <c r="M194" i="24"/>
  <c r="M271" i="24"/>
  <c r="G196" i="24"/>
  <c r="G273" i="24"/>
  <c r="Q275" i="24"/>
  <c r="Q198" i="24"/>
  <c r="Q107" i="24"/>
  <c r="K109" i="24"/>
  <c r="L82" i="24"/>
  <c r="S119" i="24"/>
  <c r="G170" i="24"/>
  <c r="G160" i="24"/>
  <c r="G199" i="24" s="1"/>
  <c r="D171" i="24"/>
  <c r="Q172" i="24"/>
  <c r="N173" i="24"/>
  <c r="K174" i="24"/>
  <c r="H175" i="24"/>
  <c r="E176" i="24"/>
  <c r="U176" i="24"/>
  <c r="R177" i="24"/>
  <c r="O178" i="24"/>
  <c r="L179" i="24"/>
  <c r="I180" i="24"/>
  <c r="F181" i="24"/>
  <c r="V181" i="24"/>
  <c r="R183" i="24"/>
  <c r="O184" i="24"/>
  <c r="L185" i="24"/>
  <c r="I186" i="24"/>
  <c r="F187" i="24"/>
  <c r="V187" i="24"/>
  <c r="S188" i="24"/>
  <c r="P189" i="24"/>
  <c r="M190" i="24"/>
  <c r="J191" i="24"/>
  <c r="G192" i="24"/>
  <c r="T193" i="24"/>
  <c r="Q194" i="24"/>
  <c r="K196" i="24"/>
  <c r="H197" i="24"/>
  <c r="E198" i="24"/>
  <c r="U198" i="24"/>
  <c r="V176" i="24"/>
  <c r="R185" i="24"/>
  <c r="V261" i="24"/>
  <c r="F131" i="25"/>
  <c r="F90" i="25"/>
  <c r="P171" i="24"/>
  <c r="P248" i="24"/>
  <c r="M249" i="24"/>
  <c r="M172" i="24"/>
  <c r="N177" i="24"/>
  <c r="N254" i="24"/>
  <c r="H179" i="24"/>
  <c r="H256" i="24"/>
  <c r="U257" i="24"/>
  <c r="U180" i="24"/>
  <c r="R258" i="24"/>
  <c r="R181" i="24"/>
  <c r="F263" i="24"/>
  <c r="F186" i="24"/>
  <c r="V186" i="24"/>
  <c r="V263" i="24"/>
  <c r="M92" i="24"/>
  <c r="J93" i="24"/>
  <c r="G94" i="24"/>
  <c r="D95" i="24"/>
  <c r="H105" i="24"/>
  <c r="L109" i="24"/>
  <c r="I110" i="24"/>
  <c r="F111" i="24"/>
  <c r="V111" i="24"/>
  <c r="G116" i="24"/>
  <c r="Q118" i="24"/>
  <c r="M82" i="24"/>
  <c r="M121" i="24" s="1"/>
  <c r="T110" i="24"/>
  <c r="U171" i="24"/>
  <c r="L174" i="24"/>
  <c r="I247" i="24"/>
  <c r="D260" i="24"/>
  <c r="Q261" i="24"/>
  <c r="K263" i="24"/>
  <c r="H264" i="24"/>
  <c r="R266" i="24"/>
  <c r="O267" i="24"/>
  <c r="V270" i="24"/>
  <c r="F276" i="24"/>
  <c r="E96" i="24"/>
  <c r="U96" i="24"/>
  <c r="R97" i="24"/>
  <c r="O98" i="24"/>
  <c r="S102" i="24"/>
  <c r="P103" i="24"/>
  <c r="L105" i="24"/>
  <c r="I106" i="24"/>
  <c r="F107" i="24"/>
  <c r="J111" i="24"/>
  <c r="G112" i="24"/>
  <c r="D113" i="24"/>
  <c r="T113" i="24"/>
  <c r="E118" i="24"/>
  <c r="U118" i="24"/>
  <c r="R119" i="24"/>
  <c r="S82" i="24"/>
  <c r="S121" i="24" s="1"/>
  <c r="T102" i="24"/>
  <c r="O105" i="24"/>
  <c r="L160" i="24"/>
  <c r="L170" i="24"/>
  <c r="P174" i="24"/>
  <c r="M175" i="24"/>
  <c r="J176" i="24"/>
  <c r="G177" i="24"/>
  <c r="Q179" i="24"/>
  <c r="G183" i="24"/>
  <c r="D184" i="24"/>
  <c r="T184" i="24"/>
  <c r="O191" i="24"/>
  <c r="L192" i="24"/>
  <c r="F194" i="24"/>
  <c r="P196" i="24"/>
  <c r="M197" i="24"/>
  <c r="J198" i="24"/>
  <c r="U188" i="24"/>
  <c r="T250" i="24"/>
  <c r="Q251" i="24"/>
  <c r="R256" i="24"/>
  <c r="U261" i="24"/>
  <c r="M269" i="24"/>
  <c r="R249" i="24"/>
  <c r="F47" i="25"/>
  <c r="I95" i="24"/>
  <c r="V96" i="24"/>
  <c r="P98" i="24"/>
  <c r="J100" i="24"/>
  <c r="D102" i="24"/>
  <c r="Q103" i="24"/>
  <c r="M105" i="24"/>
  <c r="G107" i="24"/>
  <c r="T108" i="24"/>
  <c r="N110" i="24"/>
  <c r="K111" i="24"/>
  <c r="H112" i="24"/>
  <c r="U113" i="24"/>
  <c r="O115" i="24"/>
  <c r="F118" i="24"/>
  <c r="V118" i="24"/>
  <c r="P120" i="24"/>
  <c r="N107" i="24"/>
  <c r="R120" i="24"/>
  <c r="E178" i="24"/>
  <c r="O180" i="24"/>
  <c r="L181" i="24"/>
  <c r="U184" i="24"/>
  <c r="M192" i="24"/>
  <c r="K181" i="24"/>
  <c r="J190" i="24"/>
  <c r="U250" i="24"/>
  <c r="I254" i="24"/>
  <c r="P257" i="24"/>
  <c r="S262" i="24"/>
  <c r="O270" i="24"/>
  <c r="N105" i="24"/>
  <c r="K106" i="24"/>
  <c r="E108" i="24"/>
  <c r="I112" i="24"/>
  <c r="F113" i="24"/>
  <c r="V113" i="24"/>
  <c r="S114" i="24"/>
  <c r="D119" i="24"/>
  <c r="T119" i="24"/>
  <c r="Q120" i="24"/>
  <c r="H92" i="24"/>
  <c r="D114" i="24"/>
  <c r="E173" i="24"/>
  <c r="D82" i="24"/>
  <c r="D121" i="24" s="1"/>
  <c r="T92" i="24"/>
  <c r="T82" i="24"/>
  <c r="T121" i="24" s="1"/>
  <c r="U97" i="24"/>
  <c r="O99" i="24"/>
  <c r="I101" i="24"/>
  <c r="V102" i="24"/>
  <c r="L106" i="24"/>
  <c r="F108" i="24"/>
  <c r="S109" i="24"/>
  <c r="M111" i="24"/>
  <c r="J112" i="24"/>
  <c r="G113" i="24"/>
  <c r="T114" i="24"/>
  <c r="N116" i="24"/>
  <c r="H118" i="24"/>
  <c r="E119" i="24"/>
  <c r="U119" i="24"/>
  <c r="I92" i="24"/>
  <c r="U111" i="24"/>
  <c r="I114" i="24"/>
  <c r="M118" i="24"/>
  <c r="G178" i="24"/>
  <c r="L191" i="24"/>
  <c r="S196" i="24"/>
  <c r="I270" i="24"/>
  <c r="I115" i="24"/>
  <c r="E92" i="24"/>
  <c r="U92" i="24"/>
  <c r="U82" i="24"/>
  <c r="U121" i="24" s="1"/>
  <c r="R93" i="24"/>
  <c r="V97" i="24"/>
  <c r="S98" i="24"/>
  <c r="P99" i="24"/>
  <c r="M100" i="24"/>
  <c r="M106" i="24"/>
  <c r="G108" i="24"/>
  <c r="D109" i="24"/>
  <c r="H113" i="24"/>
  <c r="U114" i="24"/>
  <c r="R115" i="24"/>
  <c r="K92" i="24"/>
  <c r="O95" i="24"/>
  <c r="T105" i="24"/>
  <c r="P160" i="24"/>
  <c r="P199" i="24" s="1"/>
  <c r="P170" i="24"/>
  <c r="M171" i="24"/>
  <c r="J172" i="24"/>
  <c r="G173" i="24"/>
  <c r="T174" i="24"/>
  <c r="Q175" i="24"/>
  <c r="N176" i="24"/>
  <c r="K177" i="24"/>
  <c r="U179" i="24"/>
  <c r="R180" i="24"/>
  <c r="O181" i="24"/>
  <c r="K183" i="24"/>
  <c r="H184" i="24"/>
  <c r="E185" i="24"/>
  <c r="U185" i="24"/>
  <c r="I189" i="24"/>
  <c r="F190" i="24"/>
  <c r="V190" i="24"/>
  <c r="S191" i="24"/>
  <c r="P192" i="24"/>
  <c r="M193" i="24"/>
  <c r="J194" i="24"/>
  <c r="T196" i="24"/>
  <c r="L42" i="24"/>
  <c r="H42" i="24"/>
  <c r="H276" i="24" s="1"/>
  <c r="F92" i="24"/>
  <c r="F82" i="24"/>
  <c r="F121" i="24" s="1"/>
  <c r="V82" i="24"/>
  <c r="V121" i="24" s="1"/>
  <c r="S93" i="24"/>
  <c r="G97" i="24"/>
  <c r="T98" i="24"/>
  <c r="N100" i="24"/>
  <c r="H102" i="24"/>
  <c r="U103" i="24"/>
  <c r="Q105" i="24"/>
  <c r="E109" i="24"/>
  <c r="R110" i="24"/>
  <c r="L112" i="24"/>
  <c r="I113" i="24"/>
  <c r="F114" i="24"/>
  <c r="S115" i="24"/>
  <c r="G119" i="24"/>
  <c r="D120" i="24"/>
  <c r="T120" i="24"/>
  <c r="E106" i="24"/>
  <c r="Q160" i="24"/>
  <c r="Q199" i="24" s="1"/>
  <c r="N171" i="24"/>
  <c r="K172" i="24"/>
  <c r="R175" i="24"/>
  <c r="V179" i="24"/>
  <c r="J183" i="24"/>
  <c r="R247" i="24"/>
  <c r="I250" i="24"/>
  <c r="V251" i="24"/>
  <c r="P253" i="24"/>
  <c r="M254" i="24"/>
  <c r="J255" i="24"/>
  <c r="D257" i="24"/>
  <c r="T257" i="24"/>
  <c r="Q258" i="24"/>
  <c r="M260" i="24"/>
  <c r="J261" i="24"/>
  <c r="D263" i="24"/>
  <c r="Q264" i="24"/>
  <c r="N265" i="24"/>
  <c r="K266" i="24"/>
  <c r="E268" i="24"/>
  <c r="U268" i="24"/>
  <c r="R269" i="24"/>
  <c r="R196" i="24"/>
  <c r="R273" i="24"/>
  <c r="G92" i="24"/>
  <c r="G82" i="24"/>
  <c r="D93" i="24"/>
  <c r="T93" i="24"/>
  <c r="Q94" i="24"/>
  <c r="U98" i="24"/>
  <c r="R99" i="24"/>
  <c r="O100" i="24"/>
  <c r="L101" i="24"/>
  <c r="L107" i="24"/>
  <c r="I108" i="24"/>
  <c r="F109" i="24"/>
  <c r="V109" i="24"/>
  <c r="G114" i="24"/>
  <c r="T115" i="24"/>
  <c r="Q116" i="24"/>
  <c r="U120" i="24"/>
  <c r="H110" i="24"/>
  <c r="T262" i="24"/>
  <c r="T185" i="24"/>
  <c r="N264" i="24"/>
  <c r="N187" i="24"/>
  <c r="I271" i="24"/>
  <c r="I194" i="24"/>
  <c r="H82" i="24"/>
  <c r="E93" i="24"/>
  <c r="R94" i="24"/>
  <c r="F98" i="24"/>
  <c r="S99" i="24"/>
  <c r="M101" i="24"/>
  <c r="G103" i="24"/>
  <c r="P106" i="24"/>
  <c r="J108" i="24"/>
  <c r="D110" i="24"/>
  <c r="Q111" i="24"/>
  <c r="K113" i="24"/>
  <c r="R116" i="24"/>
  <c r="F120" i="24"/>
  <c r="N112" i="24"/>
  <c r="V116" i="24"/>
  <c r="K275" i="24"/>
  <c r="G110" i="24"/>
  <c r="D111" i="24"/>
  <c r="T111" i="24"/>
  <c r="Q112" i="24"/>
  <c r="N113" i="24"/>
  <c r="K114" i="24"/>
  <c r="H115" i="24"/>
  <c r="E116" i="24"/>
  <c r="U116" i="24"/>
  <c r="O118" i="24"/>
  <c r="L119" i="24"/>
  <c r="I120" i="24"/>
  <c r="H173" i="24"/>
  <c r="U174" i="24"/>
  <c r="O176" i="24"/>
  <c r="L177" i="24"/>
  <c r="I178" i="24"/>
  <c r="S180" i="24"/>
  <c r="S160" i="24"/>
  <c r="S199" i="24" s="1"/>
  <c r="S247" i="24"/>
  <c r="J250" i="24"/>
  <c r="K255" i="24"/>
  <c r="E257" i="24"/>
  <c r="N260" i="24"/>
  <c r="O265" i="24"/>
  <c r="V268" i="24"/>
  <c r="D274" i="24"/>
  <c r="T274" i="24"/>
  <c r="G99" i="24"/>
  <c r="D100" i="24"/>
  <c r="T100" i="24"/>
  <c r="Q101" i="24"/>
  <c r="N102" i="24"/>
  <c r="K103" i="24"/>
  <c r="R170" i="24"/>
  <c r="V174" i="24"/>
  <c r="S175" i="24"/>
  <c r="E191" i="24"/>
  <c r="U191" i="24"/>
  <c r="R192" i="24"/>
  <c r="F196" i="24"/>
  <c r="D237" i="24"/>
  <c r="D276" i="24" s="1"/>
  <c r="Q248" i="24"/>
  <c r="F257" i="24"/>
  <c r="S264" i="24"/>
  <c r="P265" i="24"/>
  <c r="G268" i="24"/>
  <c r="D269" i="24"/>
  <c r="U274" i="24"/>
  <c r="T95" i="24"/>
  <c r="Q96" i="24"/>
  <c r="N97" i="24"/>
  <c r="K98" i="24"/>
  <c r="H99" i="24"/>
  <c r="E100" i="24"/>
  <c r="U100" i="24"/>
  <c r="R101" i="24"/>
  <c r="O102" i="24"/>
  <c r="L103" i="24"/>
  <c r="D175" i="24"/>
  <c r="T175" i="24"/>
  <c r="Q176" i="24"/>
  <c r="E180" i="24"/>
  <c r="N183" i="24"/>
  <c r="V191" i="24"/>
  <c r="S192" i="24"/>
  <c r="P193" i="24"/>
  <c r="D197" i="24"/>
  <c r="V160" i="24"/>
  <c r="V199" i="24" s="1"/>
  <c r="E237" i="24"/>
  <c r="E276" i="24" s="1"/>
  <c r="U237" i="24"/>
  <c r="U276" i="24" s="1"/>
  <c r="R248" i="24"/>
  <c r="O249" i="24"/>
  <c r="I251" i="24"/>
  <c r="F252" i="24"/>
  <c r="V252" i="24"/>
  <c r="G257" i="24"/>
  <c r="O271" i="24"/>
  <c r="S248" i="24"/>
  <c r="T160" i="24"/>
  <c r="T199" i="24" s="1"/>
  <c r="N172" i="24"/>
  <c r="U175" i="24"/>
  <c r="R176" i="24"/>
  <c r="O177" i="24"/>
  <c r="I179" i="24"/>
  <c r="F180" i="24"/>
  <c r="V180" i="24"/>
  <c r="O183" i="24"/>
  <c r="L184" i="24"/>
  <c r="M189" i="24"/>
  <c r="T192" i="24"/>
  <c r="Q193" i="24"/>
  <c r="N194" i="24"/>
  <c r="H196" i="24"/>
  <c r="E197" i="24"/>
  <c r="U197" i="24"/>
  <c r="D170" i="24"/>
  <c r="V247" i="24"/>
  <c r="V237" i="24"/>
  <c r="V276" i="24" s="1"/>
  <c r="S276" i="24"/>
  <c r="P249" i="24"/>
  <c r="M250" i="24"/>
  <c r="G252" i="24"/>
  <c r="D253" i="24"/>
  <c r="T253" i="24"/>
  <c r="N255" i="24"/>
  <c r="K256" i="24"/>
  <c r="H257" i="24"/>
  <c r="E258" i="24"/>
  <c r="U258" i="24"/>
  <c r="Q260" i="24"/>
  <c r="N261" i="24"/>
  <c r="H263" i="24"/>
  <c r="E264" i="24"/>
  <c r="R265" i="24"/>
  <c r="O266" i="24"/>
  <c r="L267" i="24"/>
  <c r="V269" i="24"/>
  <c r="S270" i="24"/>
  <c r="P271" i="24"/>
  <c r="J273" i="24"/>
  <c r="G274" i="24"/>
  <c r="D275" i="24"/>
  <c r="T275" i="24"/>
  <c r="M173" i="24"/>
  <c r="J174" i="24"/>
  <c r="Q177" i="24"/>
  <c r="N178" i="24"/>
  <c r="K179" i="24"/>
  <c r="H180" i="24"/>
  <c r="E181" i="24"/>
  <c r="U181" i="24"/>
  <c r="Q183" i="24"/>
  <c r="N184" i="24"/>
  <c r="H186" i="24"/>
  <c r="R188" i="24"/>
  <c r="L190" i="24"/>
  <c r="I191" i="24"/>
  <c r="P194" i="24"/>
  <c r="J196" i="24"/>
  <c r="G197" i="24"/>
  <c r="D198" i="24"/>
  <c r="T198" i="24"/>
  <c r="F170" i="24"/>
  <c r="U248" i="24"/>
  <c r="O250" i="24"/>
  <c r="L251" i="24"/>
  <c r="I252" i="24"/>
  <c r="F253" i="24"/>
  <c r="V253" i="24"/>
  <c r="S254" i="24"/>
  <c r="P255" i="24"/>
  <c r="M256" i="24"/>
  <c r="G258" i="24"/>
  <c r="H170" i="24"/>
  <c r="E171" i="24"/>
  <c r="I175" i="24"/>
  <c r="F176" i="24"/>
  <c r="M179" i="24"/>
  <c r="J180" i="24"/>
  <c r="G181" i="24"/>
  <c r="S183" i="24"/>
  <c r="P184" i="24"/>
  <c r="M185" i="24"/>
  <c r="J186" i="24"/>
  <c r="G187" i="24"/>
  <c r="Q189" i="24"/>
  <c r="H192" i="24"/>
  <c r="L196" i="24"/>
  <c r="I197" i="24"/>
  <c r="V198" i="24"/>
  <c r="G248" i="24"/>
  <c r="T249" i="24"/>
  <c r="Q250" i="24"/>
  <c r="N251" i="24"/>
  <c r="H253" i="24"/>
  <c r="E254" i="24"/>
  <c r="U254" i="24"/>
  <c r="O256" i="24"/>
  <c r="L257" i="24"/>
  <c r="I258" i="24"/>
  <c r="D131" i="25"/>
  <c r="D90" i="25"/>
  <c r="J175" i="24"/>
  <c r="G176" i="24"/>
  <c r="D177" i="24"/>
  <c r="T177" i="24"/>
  <c r="Q178" i="24"/>
  <c r="N179" i="24"/>
  <c r="K180" i="24"/>
  <c r="H181" i="24"/>
  <c r="D183" i="24"/>
  <c r="T183" i="24"/>
  <c r="Q184" i="24"/>
  <c r="N185" i="24"/>
  <c r="K186" i="24"/>
  <c r="H187" i="24"/>
  <c r="E188" i="24"/>
  <c r="O190" i="24"/>
  <c r="I192" i="24"/>
  <c r="M196" i="24"/>
  <c r="J197" i="24"/>
  <c r="G198" i="24"/>
  <c r="K247" i="24"/>
  <c r="K237" i="24"/>
  <c r="H248" i="24"/>
  <c r="E249" i="24"/>
  <c r="O251" i="24"/>
  <c r="L252" i="24"/>
  <c r="I253" i="24"/>
  <c r="F254" i="24"/>
  <c r="V254" i="24"/>
  <c r="M257" i="24"/>
  <c r="J258" i="24"/>
  <c r="F260" i="24"/>
  <c r="P262" i="24"/>
  <c r="M263" i="24"/>
  <c r="J264" i="24"/>
  <c r="D266" i="24"/>
  <c r="T266" i="24"/>
  <c r="Q267" i="24"/>
  <c r="K269" i="24"/>
  <c r="H270" i="24"/>
  <c r="E271" i="24"/>
  <c r="U271" i="24"/>
  <c r="O273" i="24"/>
  <c r="I275" i="24"/>
  <c r="I237" i="24"/>
  <c r="I276" i="24" s="1"/>
  <c r="O275" i="24"/>
  <c r="N82" i="26"/>
  <c r="N92" i="26"/>
  <c r="J170" i="24"/>
  <c r="J160" i="24"/>
  <c r="G171" i="24"/>
  <c r="D172" i="24"/>
  <c r="H176" i="24"/>
  <c r="E177" i="24"/>
  <c r="L180" i="24"/>
  <c r="I181" i="24"/>
  <c r="U183" i="24"/>
  <c r="R184" i="24"/>
  <c r="L186" i="24"/>
  <c r="I187" i="24"/>
  <c r="F188" i="24"/>
  <c r="V188" i="24"/>
  <c r="M191" i="24"/>
  <c r="D194" i="24"/>
  <c r="K197" i="24"/>
  <c r="H198" i="24"/>
  <c r="Q170" i="24"/>
  <c r="L247" i="24"/>
  <c r="I248" i="24"/>
  <c r="F249" i="24"/>
  <c r="S250" i="24"/>
  <c r="P251" i="24"/>
  <c r="M252" i="24"/>
  <c r="G254" i="24"/>
  <c r="D255" i="24"/>
  <c r="T255" i="24"/>
  <c r="Q256" i="24"/>
  <c r="N257" i="24"/>
  <c r="G260" i="24"/>
  <c r="D261" i="24"/>
  <c r="T261" i="24"/>
  <c r="Q262" i="24"/>
  <c r="K264" i="24"/>
  <c r="E266" i="24"/>
  <c r="R267" i="24"/>
  <c r="L269" i="24"/>
  <c r="F271" i="24"/>
  <c r="P273" i="24"/>
  <c r="M274" i="24"/>
  <c r="J275" i="24"/>
  <c r="R237" i="24"/>
  <c r="J47" i="25"/>
  <c r="I198" i="24"/>
  <c r="M247" i="24"/>
  <c r="M237" i="24"/>
  <c r="M276" i="24" s="1"/>
  <c r="J248" i="24"/>
  <c r="G249" i="24"/>
  <c r="D250" i="24"/>
  <c r="N252" i="24"/>
  <c r="K253" i="24"/>
  <c r="H254" i="24"/>
  <c r="E255" i="24"/>
  <c r="U255" i="24"/>
  <c r="O257" i="24"/>
  <c r="L258" i="24"/>
  <c r="H260" i="24"/>
  <c r="E261" i="24"/>
  <c r="R262" i="24"/>
  <c r="O263" i="24"/>
  <c r="L264" i="24"/>
  <c r="I265" i="24"/>
  <c r="V266" i="24"/>
  <c r="S267" i="24"/>
  <c r="P268" i="24"/>
  <c r="J270" i="24"/>
  <c r="G271" i="24"/>
  <c r="Q273" i="24"/>
  <c r="N274" i="24"/>
  <c r="H215" i="25"/>
  <c r="H174" i="25"/>
  <c r="F172" i="24"/>
  <c r="V172" i="24"/>
  <c r="S173" i="24"/>
  <c r="D178" i="24"/>
  <c r="T178" i="24"/>
  <c r="Q185" i="24"/>
  <c r="N186" i="24"/>
  <c r="K187" i="24"/>
  <c r="H188" i="24"/>
  <c r="E189" i="24"/>
  <c r="U189" i="24"/>
  <c r="R190" i="24"/>
  <c r="I193" i="24"/>
  <c r="V194" i="24"/>
  <c r="T170" i="24"/>
  <c r="N247" i="24"/>
  <c r="N237" i="24"/>
  <c r="N276" i="24" s="1"/>
  <c r="K248" i="24"/>
  <c r="H249" i="24"/>
  <c r="E250" i="24"/>
  <c r="R251" i="24"/>
  <c r="O252" i="24"/>
  <c r="L253" i="24"/>
  <c r="F255" i="24"/>
  <c r="V255" i="24"/>
  <c r="M258" i="24"/>
  <c r="I260" i="24"/>
  <c r="F261" i="24"/>
  <c r="P263" i="24"/>
  <c r="M264" i="24"/>
  <c r="J265" i="24"/>
  <c r="G266" i="24"/>
  <c r="D267" i="24"/>
  <c r="T267" i="24"/>
  <c r="Q268" i="24"/>
  <c r="N269" i="24"/>
  <c r="K270" i="24"/>
  <c r="H271" i="24"/>
  <c r="O274" i="24"/>
  <c r="L275" i="24"/>
  <c r="D184" i="25"/>
  <c r="D46" i="25"/>
  <c r="D47" i="25" s="1"/>
  <c r="D100" i="25"/>
  <c r="I174" i="25"/>
  <c r="M170" i="24"/>
  <c r="J171" i="24"/>
  <c r="D173" i="24"/>
  <c r="T173" i="24"/>
  <c r="Q174" i="24"/>
  <c r="U178" i="24"/>
  <c r="R179" i="24"/>
  <c r="H183" i="24"/>
  <c r="O186" i="24"/>
  <c r="L187" i="24"/>
  <c r="I188" i="24"/>
  <c r="F189" i="24"/>
  <c r="V189" i="24"/>
  <c r="S190" i="24"/>
  <c r="P191" i="24"/>
  <c r="G194" i="24"/>
  <c r="Q196" i="24"/>
  <c r="N197" i="24"/>
  <c r="H160" i="24"/>
  <c r="E46" i="25"/>
  <c r="E184" i="25"/>
  <c r="E267" i="25"/>
  <c r="E188" i="25"/>
  <c r="E271" i="25"/>
  <c r="E206" i="25"/>
  <c r="E289" i="25"/>
  <c r="E210" i="25"/>
  <c r="E293" i="25"/>
  <c r="E126" i="25"/>
  <c r="E297" i="25"/>
  <c r="E214" i="25"/>
  <c r="J215" i="25"/>
  <c r="J174" i="25"/>
  <c r="N170" i="24"/>
  <c r="N160" i="24"/>
  <c r="K171" i="24"/>
  <c r="H172" i="24"/>
  <c r="U173" i="24"/>
  <c r="R174" i="24"/>
  <c r="O175" i="24"/>
  <c r="P180" i="24"/>
  <c r="F184" i="24"/>
  <c r="M187" i="24"/>
  <c r="J188" i="24"/>
  <c r="G189" i="24"/>
  <c r="T190" i="24"/>
  <c r="Q191" i="24"/>
  <c r="N192" i="24"/>
  <c r="O197" i="24"/>
  <c r="M160" i="24"/>
  <c r="M199" i="24" s="1"/>
  <c r="P237" i="24"/>
  <c r="P276" i="24" s="1"/>
  <c r="M248" i="24"/>
  <c r="J249" i="24"/>
  <c r="G250" i="24"/>
  <c r="Q252" i="24"/>
  <c r="N253" i="24"/>
  <c r="K254" i="24"/>
  <c r="U256" i="24"/>
  <c r="O258" i="24"/>
  <c r="H261" i="24"/>
  <c r="E262" i="24"/>
  <c r="R263" i="24"/>
  <c r="O264" i="24"/>
  <c r="L265" i="24"/>
  <c r="F267" i="24"/>
  <c r="V267" i="24"/>
  <c r="S268" i="24"/>
  <c r="M270" i="24"/>
  <c r="J271" i="24"/>
  <c r="T273" i="24"/>
  <c r="Q274" i="24"/>
  <c r="K173" i="25"/>
  <c r="K184" i="25"/>
  <c r="O160" i="24"/>
  <c r="L171" i="24"/>
  <c r="I172" i="24"/>
  <c r="F173" i="24"/>
  <c r="S174" i="24"/>
  <c r="P175" i="24"/>
  <c r="M176" i="24"/>
  <c r="Q180" i="24"/>
  <c r="N181" i="24"/>
  <c r="G184" i="24"/>
  <c r="D185" i="24"/>
  <c r="K188" i="24"/>
  <c r="H189" i="24"/>
  <c r="E190" i="24"/>
  <c r="U190" i="24"/>
  <c r="R191" i="24"/>
  <c r="O192" i="24"/>
  <c r="L193" i="24"/>
  <c r="V195" i="24"/>
  <c r="P197" i="24"/>
  <c r="M198" i="24"/>
  <c r="Q237" i="24"/>
  <c r="Q276" i="24" s="1"/>
  <c r="K249" i="24"/>
  <c r="H250" i="24"/>
  <c r="U251" i="24"/>
  <c r="L254" i="24"/>
  <c r="I255" i="24"/>
  <c r="V256" i="24"/>
  <c r="L260" i="24"/>
  <c r="I261" i="24"/>
  <c r="F262" i="24"/>
  <c r="S263" i="24"/>
  <c r="M265" i="24"/>
  <c r="G267" i="24"/>
  <c r="T268" i="24"/>
  <c r="N270" i="24"/>
  <c r="U273" i="24"/>
  <c r="R274" i="24"/>
  <c r="N250" i="24"/>
  <c r="K251" i="24"/>
  <c r="H252" i="24"/>
  <c r="E253" i="24"/>
  <c r="U253" i="24"/>
  <c r="R254" i="24"/>
  <c r="O255" i="24"/>
  <c r="L256" i="24"/>
  <c r="I257" i="24"/>
  <c r="F258" i="24"/>
  <c r="V258" i="24"/>
  <c r="R260" i="24"/>
  <c r="O261" i="24"/>
  <c r="L262" i="24"/>
  <c r="I263" i="24"/>
  <c r="F264" i="24"/>
  <c r="V264" i="24"/>
  <c r="S265" i="24"/>
  <c r="P266" i="24"/>
  <c r="M267" i="24"/>
  <c r="J268" i="24"/>
  <c r="G269" i="24"/>
  <c r="T270" i="24"/>
  <c r="Q271" i="24"/>
  <c r="K273" i="24"/>
  <c r="H274" i="24"/>
  <c r="E275" i="24"/>
  <c r="U275" i="24"/>
  <c r="Q247" i="24"/>
  <c r="O248" i="24"/>
  <c r="G46" i="25"/>
  <c r="G47" i="25" s="1"/>
  <c r="J89" i="25"/>
  <c r="G208" i="25"/>
  <c r="S260" i="24"/>
  <c r="P261" i="24"/>
  <c r="M262" i="24"/>
  <c r="J263" i="24"/>
  <c r="G264" i="24"/>
  <c r="D265" i="24"/>
  <c r="T265" i="24"/>
  <c r="Q266" i="24"/>
  <c r="N267" i="24"/>
  <c r="K268" i="24"/>
  <c r="H269" i="24"/>
  <c r="U270" i="24"/>
  <c r="R271" i="24"/>
  <c r="L273" i="24"/>
  <c r="I274" i="24"/>
  <c r="F275" i="24"/>
  <c r="V275" i="24"/>
  <c r="G185" i="25"/>
  <c r="G101" i="25"/>
  <c r="G193" i="25"/>
  <c r="G109" i="25"/>
  <c r="G201" i="25"/>
  <c r="G117" i="25"/>
  <c r="G209" i="25"/>
  <c r="G125" i="25"/>
  <c r="F103" i="25"/>
  <c r="F105" i="25"/>
  <c r="F107" i="25"/>
  <c r="F111" i="25"/>
  <c r="F119" i="25"/>
  <c r="F121" i="25"/>
  <c r="F123" i="25"/>
  <c r="I200" i="25"/>
  <c r="I121" i="26"/>
  <c r="F93" i="26"/>
  <c r="V93" i="26"/>
  <c r="J97" i="26"/>
  <c r="G98" i="26"/>
  <c r="D99" i="26"/>
  <c r="N101" i="26"/>
  <c r="S249" i="24"/>
  <c r="P250" i="24"/>
  <c r="M251" i="24"/>
  <c r="J252" i="24"/>
  <c r="G253" i="24"/>
  <c r="D254" i="24"/>
  <c r="T254" i="24"/>
  <c r="Q255" i="24"/>
  <c r="N256" i="24"/>
  <c r="K257" i="24"/>
  <c r="H258" i="24"/>
  <c r="E257" i="25"/>
  <c r="E269" i="25"/>
  <c r="E275" i="25"/>
  <c r="E277" i="25"/>
  <c r="E281" i="25"/>
  <c r="E283" i="25"/>
  <c r="E285" i="25"/>
  <c r="E287" i="25"/>
  <c r="E291" i="25"/>
  <c r="E295" i="25"/>
  <c r="J237" i="24"/>
  <c r="E260" i="24"/>
  <c r="U260" i="24"/>
  <c r="R261" i="24"/>
  <c r="L263" i="24"/>
  <c r="I264" i="24"/>
  <c r="F265" i="24"/>
  <c r="V265" i="24"/>
  <c r="S266" i="24"/>
  <c r="P267" i="24"/>
  <c r="M268" i="24"/>
  <c r="J269" i="24"/>
  <c r="D271" i="24"/>
  <c r="T271" i="24"/>
  <c r="N273" i="24"/>
  <c r="K274" i="24"/>
  <c r="H275" i="24"/>
  <c r="F256" i="25"/>
  <c r="F267" i="25"/>
  <c r="F269" i="25"/>
  <c r="F273" i="25"/>
  <c r="F275" i="25"/>
  <c r="F277" i="25"/>
  <c r="J107" i="25"/>
  <c r="J109" i="25"/>
  <c r="J111" i="25"/>
  <c r="J115" i="25"/>
  <c r="J123" i="25"/>
  <c r="J125" i="25"/>
  <c r="J127" i="25"/>
  <c r="J129" i="25"/>
  <c r="I186" i="25"/>
  <c r="I188" i="25"/>
  <c r="I190" i="25"/>
  <c r="I194" i="25"/>
  <c r="I196" i="25"/>
  <c r="I198" i="25"/>
  <c r="I202" i="25"/>
  <c r="I204" i="25"/>
  <c r="I206" i="25"/>
  <c r="I210" i="25"/>
  <c r="I212" i="25"/>
  <c r="I214" i="25"/>
  <c r="H267" i="25"/>
  <c r="H256" i="25"/>
  <c r="G285" i="25"/>
  <c r="E89" i="25"/>
  <c r="E100" i="25"/>
  <c r="E102" i="25"/>
  <c r="E104" i="25"/>
  <c r="E106" i="25"/>
  <c r="E108" i="25"/>
  <c r="E114" i="25"/>
  <c r="E116" i="25"/>
  <c r="E118" i="25"/>
  <c r="E120" i="25"/>
  <c r="E122" i="25"/>
  <c r="E124" i="25"/>
  <c r="E128" i="25"/>
  <c r="E130" i="25"/>
  <c r="F215" i="25"/>
  <c r="F174" i="25"/>
  <c r="F42" i="26"/>
  <c r="V42" i="26"/>
  <c r="V121" i="26" s="1"/>
  <c r="S42" i="26"/>
  <c r="P121" i="26"/>
  <c r="L237" i="24"/>
  <c r="J247" i="24"/>
  <c r="G277" i="25"/>
  <c r="G194" i="25"/>
  <c r="G289" i="25"/>
  <c r="G206" i="25"/>
  <c r="G293" i="25"/>
  <c r="G210" i="25"/>
  <c r="G212" i="25"/>
  <c r="G295" i="25"/>
  <c r="G297" i="25"/>
  <c r="G214" i="25"/>
  <c r="E185" i="25"/>
  <c r="E173" i="25"/>
  <c r="G174" i="25"/>
  <c r="H47" i="25"/>
  <c r="G89" i="25"/>
  <c r="G100" i="25"/>
  <c r="G104" i="25"/>
  <c r="G114" i="25"/>
  <c r="G116" i="25"/>
  <c r="G120" i="25"/>
  <c r="G126" i="25"/>
  <c r="G128" i="25"/>
  <c r="G130" i="25"/>
  <c r="F185" i="25"/>
  <c r="F187" i="25"/>
  <c r="F189" i="25"/>
  <c r="F191" i="25"/>
  <c r="F193" i="25"/>
  <c r="F195" i="25"/>
  <c r="F197" i="25"/>
  <c r="F199" i="25"/>
  <c r="F201" i="25"/>
  <c r="F203" i="25"/>
  <c r="F205" i="25"/>
  <c r="F207" i="25"/>
  <c r="F209" i="25"/>
  <c r="F213" i="25"/>
  <c r="E42" i="26"/>
  <c r="L271" i="24"/>
  <c r="F273" i="24"/>
  <c r="V273" i="24"/>
  <c r="S274" i="24"/>
  <c r="P275" i="24"/>
  <c r="I46" i="25"/>
  <c r="I100" i="25"/>
  <c r="G187" i="25"/>
  <c r="G189" i="25"/>
  <c r="G191" i="25"/>
  <c r="G195" i="25"/>
  <c r="G197" i="25"/>
  <c r="G199" i="25"/>
  <c r="G203" i="25"/>
  <c r="G205" i="25"/>
  <c r="G207" i="25"/>
  <c r="G213" i="25"/>
  <c r="F272" i="25"/>
  <c r="F286" i="25"/>
  <c r="F290" i="25"/>
  <c r="I247" i="26"/>
  <c r="I92" i="26"/>
  <c r="I42" i="26"/>
  <c r="I90" i="25"/>
  <c r="I102" i="25"/>
  <c r="I104" i="25"/>
  <c r="I106" i="25"/>
  <c r="I108" i="25"/>
  <c r="I110" i="25"/>
  <c r="I118" i="25"/>
  <c r="I120" i="25"/>
  <c r="I124" i="25"/>
  <c r="G184" i="25"/>
  <c r="R275" i="24"/>
  <c r="I184" i="25"/>
  <c r="D268" i="25"/>
  <c r="D101" i="25"/>
  <c r="D103" i="25"/>
  <c r="D270" i="25"/>
  <c r="D272" i="25"/>
  <c r="D105" i="25"/>
  <c r="D117" i="25"/>
  <c r="D284" i="25"/>
  <c r="D286" i="25"/>
  <c r="D119" i="25"/>
  <c r="D288" i="25"/>
  <c r="D121" i="25"/>
  <c r="K89" i="25"/>
  <c r="J185" i="25"/>
  <c r="J187" i="25"/>
  <c r="J191" i="25"/>
  <c r="J193" i="25"/>
  <c r="J195" i="25"/>
  <c r="J199" i="25"/>
  <c r="J201" i="25"/>
  <c r="J203" i="25"/>
  <c r="J207" i="25"/>
  <c r="J209" i="25"/>
  <c r="J211" i="25"/>
  <c r="K46" i="25"/>
  <c r="K47" i="25" s="1"/>
  <c r="J268" i="25"/>
  <c r="J270" i="25"/>
  <c r="J272" i="25"/>
  <c r="J274" i="25"/>
  <c r="J276" i="25"/>
  <c r="J278" i="25"/>
  <c r="J280" i="25"/>
  <c r="J282" i="25"/>
  <c r="J284" i="25"/>
  <c r="J286" i="25"/>
  <c r="J288" i="25"/>
  <c r="J290" i="25"/>
  <c r="J292" i="25"/>
  <c r="J294" i="25"/>
  <c r="J296" i="25"/>
  <c r="K268" i="25"/>
  <c r="K270" i="25"/>
  <c r="K272" i="25"/>
  <c r="K274" i="25"/>
  <c r="K276" i="25"/>
  <c r="K278" i="25"/>
  <c r="K280" i="25"/>
  <c r="K282" i="25"/>
  <c r="K284" i="25"/>
  <c r="K286" i="25"/>
  <c r="K288" i="25"/>
  <c r="K290" i="25"/>
  <c r="K292" i="25"/>
  <c r="K296" i="25"/>
  <c r="D267" i="25"/>
  <c r="D256" i="25"/>
  <c r="D269" i="25"/>
  <c r="D271" i="25"/>
  <c r="D273" i="25"/>
  <c r="D275" i="25"/>
  <c r="D277" i="25"/>
  <c r="D281" i="25"/>
  <c r="D283" i="25"/>
  <c r="D285" i="25"/>
  <c r="D287" i="25"/>
  <c r="D289" i="25"/>
  <c r="D291" i="25"/>
  <c r="D293" i="25"/>
  <c r="D295" i="25"/>
  <c r="D297" i="25"/>
  <c r="D42" i="26"/>
  <c r="T42" i="26"/>
  <c r="L82" i="26"/>
  <c r="I93" i="26"/>
  <c r="F94" i="26"/>
  <c r="E106" i="26"/>
  <c r="H89" i="25"/>
  <c r="U42" i="26"/>
  <c r="R42" i="26"/>
  <c r="G94" i="26"/>
  <c r="K98" i="26"/>
  <c r="T112" i="26"/>
  <c r="D185" i="25"/>
  <c r="D187" i="25"/>
  <c r="D189" i="25"/>
  <c r="D191" i="25"/>
  <c r="D193" i="25"/>
  <c r="D195" i="25"/>
  <c r="D197" i="25"/>
  <c r="D199" i="25"/>
  <c r="D201" i="25"/>
  <c r="D203" i="25"/>
  <c r="D205" i="25"/>
  <c r="D207" i="25"/>
  <c r="D209" i="25"/>
  <c r="D211" i="25"/>
  <c r="D213" i="25"/>
  <c r="H184" i="25"/>
  <c r="O94" i="26"/>
  <c r="J298" i="25"/>
  <c r="J257" i="25"/>
  <c r="J247" i="26"/>
  <c r="J170" i="26"/>
  <c r="J42" i="26"/>
  <c r="Q250" i="26"/>
  <c r="Q173" i="26"/>
  <c r="Q95" i="26"/>
  <c r="H253" i="26"/>
  <c r="H176" i="26"/>
  <c r="E254" i="26"/>
  <c r="E177" i="26"/>
  <c r="Q42" i="26"/>
  <c r="L100" i="26"/>
  <c r="K42" i="26"/>
  <c r="H42" i="26"/>
  <c r="G183" i="26"/>
  <c r="G105" i="26"/>
  <c r="T184" i="26"/>
  <c r="T106" i="26"/>
  <c r="N186" i="26"/>
  <c r="N108" i="26"/>
  <c r="K187" i="26"/>
  <c r="K109" i="26"/>
  <c r="V194" i="26"/>
  <c r="V116" i="26"/>
  <c r="P196" i="26"/>
  <c r="P118" i="26"/>
  <c r="S82" i="26"/>
  <c r="S121" i="26" s="1"/>
  <c r="S92" i="26"/>
  <c r="R100" i="26"/>
  <c r="L109" i="26"/>
  <c r="F100" i="25"/>
  <c r="F102" i="25"/>
  <c r="F104" i="25"/>
  <c r="F106" i="25"/>
  <c r="F108" i="25"/>
  <c r="F110" i="25"/>
  <c r="F114" i="25"/>
  <c r="F116" i="25"/>
  <c r="F118" i="25"/>
  <c r="F120" i="25"/>
  <c r="F122" i="25"/>
  <c r="F124" i="25"/>
  <c r="F126" i="25"/>
  <c r="F128" i="25"/>
  <c r="F130" i="25"/>
  <c r="L42" i="26"/>
  <c r="I171" i="26"/>
  <c r="I248" i="26"/>
  <c r="S250" i="26"/>
  <c r="S173" i="26"/>
  <c r="J253" i="26"/>
  <c r="J176" i="26"/>
  <c r="G254" i="26"/>
  <c r="G177" i="26"/>
  <c r="D178" i="26"/>
  <c r="D255" i="26"/>
  <c r="D100" i="26"/>
  <c r="T178" i="26"/>
  <c r="T100" i="26"/>
  <c r="Q256" i="26"/>
  <c r="Q179" i="26"/>
  <c r="Q101" i="26"/>
  <c r="N257" i="26"/>
  <c r="N102" i="26"/>
  <c r="N180" i="26"/>
  <c r="D82" i="26"/>
  <c r="D121" i="26" s="1"/>
  <c r="T82" i="26"/>
  <c r="T121" i="26" s="1"/>
  <c r="Q93" i="26"/>
  <c r="K95" i="26"/>
  <c r="U97" i="26"/>
  <c r="I101" i="26"/>
  <c r="S103" i="26"/>
  <c r="I115" i="26"/>
  <c r="G298" i="25"/>
  <c r="G257" i="25"/>
  <c r="M247" i="26"/>
  <c r="M170" i="26"/>
  <c r="M42" i="26"/>
  <c r="M92" i="26"/>
  <c r="J248" i="26"/>
  <c r="J171" i="26"/>
  <c r="D250" i="26"/>
  <c r="D173" i="26"/>
  <c r="D95" i="26"/>
  <c r="T250" i="26"/>
  <c r="T173" i="26"/>
  <c r="T95" i="26"/>
  <c r="K253" i="26"/>
  <c r="K176" i="26"/>
  <c r="E255" i="26"/>
  <c r="E178" i="26"/>
  <c r="U178" i="26"/>
  <c r="U100" i="26"/>
  <c r="R256" i="26"/>
  <c r="R179" i="26"/>
  <c r="R101" i="26"/>
  <c r="O257" i="26"/>
  <c r="O102" i="26"/>
  <c r="L258" i="26"/>
  <c r="L181" i="26"/>
  <c r="I183" i="26"/>
  <c r="I105" i="26"/>
  <c r="F184" i="26"/>
  <c r="F106" i="26"/>
  <c r="M187" i="26"/>
  <c r="M109" i="26"/>
  <c r="G189" i="26"/>
  <c r="G111" i="26"/>
  <c r="D190" i="26"/>
  <c r="D112" i="26"/>
  <c r="N192" i="26"/>
  <c r="N114" i="26"/>
  <c r="E82" i="26"/>
  <c r="E121" i="26" s="1"/>
  <c r="U82" i="26"/>
  <c r="U92" i="26"/>
  <c r="R93" i="26"/>
  <c r="R82" i="26"/>
  <c r="L95" i="26"/>
  <c r="F97" i="26"/>
  <c r="V97" i="26"/>
  <c r="S98" i="26"/>
  <c r="M100" i="26"/>
  <c r="J101" i="26"/>
  <c r="D103" i="26"/>
  <c r="T103" i="26"/>
  <c r="Q105" i="26"/>
  <c r="N106" i="26"/>
  <c r="K107" i="26"/>
  <c r="H108" i="26"/>
  <c r="E109" i="26"/>
  <c r="U109" i="26"/>
  <c r="R110" i="26"/>
  <c r="O111" i="26"/>
  <c r="F114" i="26"/>
  <c r="V114" i="26"/>
  <c r="S115" i="26"/>
  <c r="K185" i="25"/>
  <c r="K187" i="25"/>
  <c r="K189" i="25"/>
  <c r="K191" i="25"/>
  <c r="K193" i="25"/>
  <c r="K195" i="25"/>
  <c r="K197" i="25"/>
  <c r="K199" i="25"/>
  <c r="K201" i="25"/>
  <c r="K203" i="25"/>
  <c r="K205" i="25"/>
  <c r="K207" i="25"/>
  <c r="K209" i="25"/>
  <c r="K213" i="25"/>
  <c r="F82" i="26"/>
  <c r="F121" i="26" s="1"/>
  <c r="V92" i="26"/>
  <c r="S93" i="26"/>
  <c r="F116" i="26"/>
  <c r="D215" i="25"/>
  <c r="D174" i="25"/>
  <c r="G268" i="25"/>
  <c r="G270" i="25"/>
  <c r="G272" i="25"/>
  <c r="G274" i="25"/>
  <c r="G276" i="25"/>
  <c r="G278" i="25"/>
  <c r="G280" i="25"/>
  <c r="G282" i="25"/>
  <c r="G284" i="25"/>
  <c r="G286" i="25"/>
  <c r="G288" i="25"/>
  <c r="G290" i="25"/>
  <c r="G292" i="25"/>
  <c r="G296" i="25"/>
  <c r="H268" i="25"/>
  <c r="H270" i="25"/>
  <c r="H272" i="25"/>
  <c r="H274" i="25"/>
  <c r="H276" i="25"/>
  <c r="H278" i="25"/>
  <c r="H280" i="25"/>
  <c r="H282" i="25"/>
  <c r="H284" i="25"/>
  <c r="H286" i="25"/>
  <c r="H288" i="25"/>
  <c r="H290" i="25"/>
  <c r="H292" i="25"/>
  <c r="H296" i="25"/>
  <c r="K256" i="25"/>
  <c r="P42" i="26"/>
  <c r="P199" i="26" s="1"/>
  <c r="U111" i="26"/>
  <c r="G170" i="26"/>
  <c r="G160" i="26"/>
  <c r="G199" i="26" s="1"/>
  <c r="D171" i="26"/>
  <c r="T171" i="26"/>
  <c r="N173" i="26"/>
  <c r="H175" i="26"/>
  <c r="E176" i="26"/>
  <c r="U176" i="26"/>
  <c r="O178" i="26"/>
  <c r="L179" i="26"/>
  <c r="I180" i="26"/>
  <c r="F181" i="26"/>
  <c r="V181" i="26"/>
  <c r="S183" i="26"/>
  <c r="P184" i="26"/>
  <c r="M185" i="26"/>
  <c r="J186" i="26"/>
  <c r="G187" i="26"/>
  <c r="T188" i="26"/>
  <c r="Q189" i="26"/>
  <c r="H192" i="26"/>
  <c r="E193" i="26"/>
  <c r="U193" i="26"/>
  <c r="R194" i="26"/>
  <c r="L196" i="26"/>
  <c r="I197" i="26"/>
  <c r="F198" i="26"/>
  <c r="P92" i="26"/>
  <c r="M93" i="26"/>
  <c r="J94" i="26"/>
  <c r="G95" i="26"/>
  <c r="K99" i="26"/>
  <c r="H100" i="26"/>
  <c r="U101" i="26"/>
  <c r="R102" i="26"/>
  <c r="I106" i="26"/>
  <c r="F107" i="26"/>
  <c r="P109" i="26"/>
  <c r="M110" i="26"/>
  <c r="K116" i="26"/>
  <c r="R119" i="26"/>
  <c r="Q82" i="26"/>
  <c r="Q121" i="26" s="1"/>
  <c r="P98" i="26"/>
  <c r="M103" i="26"/>
  <c r="G106" i="26"/>
  <c r="Q108" i="26"/>
  <c r="D111" i="26"/>
  <c r="H160" i="26"/>
  <c r="H170" i="26"/>
  <c r="E160" i="26"/>
  <c r="U171" i="26"/>
  <c r="R172" i="26"/>
  <c r="R160" i="26"/>
  <c r="M179" i="26"/>
  <c r="J180" i="26"/>
  <c r="G181" i="26"/>
  <c r="M160" i="26"/>
  <c r="J178" i="26"/>
  <c r="U95" i="26"/>
  <c r="S101" i="26"/>
  <c r="I160" i="26"/>
  <c r="I199" i="26" s="1"/>
  <c r="I170" i="26"/>
  <c r="V171" i="26"/>
  <c r="P173" i="26"/>
  <c r="J175" i="26"/>
  <c r="G176" i="26"/>
  <c r="D177" i="26"/>
  <c r="Q178" i="26"/>
  <c r="U183" i="26"/>
  <c r="O185" i="26"/>
  <c r="I187" i="26"/>
  <c r="J192" i="26"/>
  <c r="G193" i="26"/>
  <c r="D194" i="26"/>
  <c r="T194" i="26"/>
  <c r="N196" i="26"/>
  <c r="K197" i="26"/>
  <c r="R92" i="26"/>
  <c r="O93" i="26"/>
  <c r="L94" i="26"/>
  <c r="I95" i="26"/>
  <c r="G101" i="26"/>
  <c r="Q103" i="26"/>
  <c r="N105" i="26"/>
  <c r="K106" i="26"/>
  <c r="H107" i="26"/>
  <c r="E108" i="26"/>
  <c r="Q160" i="26"/>
  <c r="Q199" i="26" s="1"/>
  <c r="O256" i="26"/>
  <c r="O179" i="26"/>
  <c r="L257" i="26"/>
  <c r="L180" i="26"/>
  <c r="E97" i="26"/>
  <c r="R98" i="26"/>
  <c r="O99" i="26"/>
  <c r="V102" i="26"/>
  <c r="P105" i="26"/>
  <c r="M106" i="26"/>
  <c r="J107" i="26"/>
  <c r="G108" i="26"/>
  <c r="D109" i="26"/>
  <c r="T109" i="26"/>
  <c r="Q110" i="26"/>
  <c r="N111" i="26"/>
  <c r="E114" i="26"/>
  <c r="U114" i="26"/>
  <c r="R115" i="26"/>
  <c r="O116" i="26"/>
  <c r="I118" i="26"/>
  <c r="F119" i="26"/>
  <c r="V119" i="26"/>
  <c r="D92" i="26"/>
  <c r="G116" i="26"/>
  <c r="P247" i="26"/>
  <c r="M95" i="26"/>
  <c r="G97" i="26"/>
  <c r="D98" i="26"/>
  <c r="T98" i="26"/>
  <c r="N100" i="26"/>
  <c r="K101" i="26"/>
  <c r="H102" i="26"/>
  <c r="E103" i="26"/>
  <c r="U103" i="26"/>
  <c r="R105" i="26"/>
  <c r="L107" i="26"/>
  <c r="F109" i="26"/>
  <c r="G114" i="26"/>
  <c r="T115" i="26"/>
  <c r="H119" i="26"/>
  <c r="F92" i="26"/>
  <c r="L102" i="26"/>
  <c r="R247" i="26"/>
  <c r="R237" i="26"/>
  <c r="O248" i="26"/>
  <c r="L249" i="26"/>
  <c r="I250" i="26"/>
  <c r="S252" i="26"/>
  <c r="P253" i="26"/>
  <c r="M254" i="26"/>
  <c r="J255" i="26"/>
  <c r="G256" i="26"/>
  <c r="I99" i="26"/>
  <c r="O160" i="26"/>
  <c r="O170" i="26"/>
  <c r="L171" i="26"/>
  <c r="L160" i="26"/>
  <c r="L199" i="26" s="1"/>
  <c r="F173" i="26"/>
  <c r="V173" i="26"/>
  <c r="P175" i="26"/>
  <c r="M176" i="26"/>
  <c r="J177" i="26"/>
  <c r="G178" i="26"/>
  <c r="D179" i="26"/>
  <c r="T179" i="26"/>
  <c r="Q180" i="26"/>
  <c r="K183" i="26"/>
  <c r="H184" i="26"/>
  <c r="E185" i="26"/>
  <c r="O187" i="26"/>
  <c r="I189" i="26"/>
  <c r="V190" i="26"/>
  <c r="P192" i="26"/>
  <c r="M193" i="26"/>
  <c r="J194" i="26"/>
  <c r="T196" i="26"/>
  <c r="Q197" i="26"/>
  <c r="S247" i="26"/>
  <c r="S237" i="26"/>
  <c r="S276" i="26" s="1"/>
  <c r="P248" i="26"/>
  <c r="P237" i="26"/>
  <c r="P276" i="26" s="1"/>
  <c r="U257" i="26"/>
  <c r="R258" i="26"/>
  <c r="O260" i="26"/>
  <c r="L261" i="26"/>
  <c r="I262" i="26"/>
  <c r="F263" i="26"/>
  <c r="V263" i="26"/>
  <c r="S264" i="26"/>
  <c r="P265" i="26"/>
  <c r="M266" i="26"/>
  <c r="D269" i="26"/>
  <c r="T269" i="26"/>
  <c r="Q270" i="26"/>
  <c r="N271" i="26"/>
  <c r="H273" i="26"/>
  <c r="E274" i="26"/>
  <c r="U274" i="26"/>
  <c r="H92" i="26"/>
  <c r="E93" i="26"/>
  <c r="U93" i="26"/>
  <c r="O95" i="26"/>
  <c r="M101" i="26"/>
  <c r="J102" i="26"/>
  <c r="D105" i="26"/>
  <c r="K108" i="26"/>
  <c r="R111" i="26"/>
  <c r="F115" i="26"/>
  <c r="S116" i="26"/>
  <c r="M118" i="26"/>
  <c r="L92" i="26"/>
  <c r="P170" i="26"/>
  <c r="M171" i="26"/>
  <c r="G173" i="26"/>
  <c r="Q175" i="26"/>
  <c r="K177" i="26"/>
  <c r="E179" i="26"/>
  <c r="U179" i="26"/>
  <c r="R180" i="26"/>
  <c r="O181" i="26"/>
  <c r="P95" i="26"/>
  <c r="Q100" i="26"/>
  <c r="K102" i="26"/>
  <c r="H103" i="26"/>
  <c r="M99" i="26"/>
  <c r="P102" i="26"/>
  <c r="N160" i="26"/>
  <c r="N171" i="26"/>
  <c r="K172" i="26"/>
  <c r="K160" i="26"/>
  <c r="K199" i="26" s="1"/>
  <c r="H173" i="26"/>
  <c r="R175" i="26"/>
  <c r="O176" i="26"/>
  <c r="L177" i="26"/>
  <c r="I178" i="26"/>
  <c r="F179" i="26"/>
  <c r="V179" i="26"/>
  <c r="S180" i="26"/>
  <c r="P181" i="26"/>
  <c r="M183" i="26"/>
  <c r="J184" i="26"/>
  <c r="G185" i="26"/>
  <c r="D186" i="26"/>
  <c r="T186" i="26"/>
  <c r="J92" i="26"/>
  <c r="J82" i="26"/>
  <c r="G93" i="26"/>
  <c r="D94" i="26"/>
  <c r="K97" i="26"/>
  <c r="O101" i="26"/>
  <c r="I103" i="26"/>
  <c r="F105" i="26"/>
  <c r="V105" i="26"/>
  <c r="M108" i="26"/>
  <c r="J109" i="26"/>
  <c r="T111" i="26"/>
  <c r="Q112" i="26"/>
  <c r="H115" i="26"/>
  <c r="E116" i="26"/>
  <c r="O118" i="26"/>
  <c r="L119" i="26"/>
  <c r="G82" i="26"/>
  <c r="G121" i="26" s="1"/>
  <c r="J105" i="26"/>
  <c r="N42" i="26"/>
  <c r="K92" i="26"/>
  <c r="K82" i="26"/>
  <c r="K121" i="26" s="1"/>
  <c r="H93" i="26"/>
  <c r="E94" i="26"/>
  <c r="R95" i="26"/>
  <c r="L97" i="26"/>
  <c r="I98" i="26"/>
  <c r="M102" i="26"/>
  <c r="D106" i="26"/>
  <c r="Q107" i="26"/>
  <c r="E111" i="26"/>
  <c r="R112" i="26"/>
  <c r="L114" i="26"/>
  <c r="M119" i="26"/>
  <c r="H82" i="26"/>
  <c r="H121" i="26" s="1"/>
  <c r="S160" i="26"/>
  <c r="S199" i="26" s="1"/>
  <c r="U253" i="26"/>
  <c r="O42" i="26"/>
  <c r="O121" i="26" s="1"/>
  <c r="S95" i="26"/>
  <c r="J98" i="26"/>
  <c r="G99" i="26"/>
  <c r="K103" i="26"/>
  <c r="H105" i="26"/>
  <c r="O108" i="26"/>
  <c r="F111" i="26"/>
  <c r="V111" i="26"/>
  <c r="M114" i="26"/>
  <c r="J115" i="26"/>
  <c r="Q118" i="26"/>
  <c r="D170" i="26"/>
  <c r="D160" i="26"/>
  <c r="T170" i="26"/>
  <c r="T160" i="26"/>
  <c r="Q171" i="26"/>
  <c r="K173" i="26"/>
  <c r="E175" i="26"/>
  <c r="U175" i="26"/>
  <c r="R176" i="26"/>
  <c r="O177" i="26"/>
  <c r="L178" i="26"/>
  <c r="I179" i="26"/>
  <c r="V180" i="26"/>
  <c r="S181" i="26"/>
  <c r="P183" i="26"/>
  <c r="M184" i="26"/>
  <c r="F253" i="26"/>
  <c r="M256" i="26"/>
  <c r="M82" i="26"/>
  <c r="M121" i="26" s="1"/>
  <c r="N97" i="26"/>
  <c r="H99" i="26"/>
  <c r="E100" i="26"/>
  <c r="L103" i="26"/>
  <c r="V106" i="26"/>
  <c r="P108" i="26"/>
  <c r="K115" i="26"/>
  <c r="U160" i="26"/>
  <c r="O189" i="26"/>
  <c r="V192" i="26"/>
  <c r="D183" i="26"/>
  <c r="T183" i="26"/>
  <c r="Q184" i="26"/>
  <c r="N185" i="26"/>
  <c r="K186" i="26"/>
  <c r="H187" i="26"/>
  <c r="R189" i="26"/>
  <c r="I192" i="26"/>
  <c r="F193" i="26"/>
  <c r="V193" i="26"/>
  <c r="S194" i="26"/>
  <c r="M196" i="26"/>
  <c r="J197" i="26"/>
  <c r="L247" i="26"/>
  <c r="F249" i="26"/>
  <c r="M252" i="26"/>
  <c r="T255" i="26"/>
  <c r="N179" i="26"/>
  <c r="K180" i="26"/>
  <c r="H181" i="26"/>
  <c r="M237" i="26"/>
  <c r="M276" i="26" s="1"/>
  <c r="G249" i="26"/>
  <c r="N252" i="26"/>
  <c r="U255" i="26"/>
  <c r="J160" i="26"/>
  <c r="N247" i="26"/>
  <c r="N237" i="26"/>
  <c r="K248" i="26"/>
  <c r="H249" i="26"/>
  <c r="U250" i="26"/>
  <c r="O252" i="26"/>
  <c r="L253" i="26"/>
  <c r="I254" i="26"/>
  <c r="F255" i="26"/>
  <c r="V255" i="26"/>
  <c r="S256" i="26"/>
  <c r="P257" i="26"/>
  <c r="M258" i="26"/>
  <c r="J260" i="26"/>
  <c r="G261" i="26"/>
  <c r="D262" i="26"/>
  <c r="Q263" i="26"/>
  <c r="N264" i="26"/>
  <c r="K265" i="26"/>
  <c r="H266" i="26"/>
  <c r="U267" i="26"/>
  <c r="O269" i="26"/>
  <c r="L270" i="26"/>
  <c r="I271" i="26"/>
  <c r="S273" i="26"/>
  <c r="P274" i="26"/>
  <c r="K170" i="26"/>
  <c r="H171" i="26"/>
  <c r="E172" i="26"/>
  <c r="R173" i="26"/>
  <c r="L175" i="26"/>
  <c r="I176" i="26"/>
  <c r="F177" i="26"/>
  <c r="S178" i="26"/>
  <c r="P179" i="26"/>
  <c r="M180" i="26"/>
  <c r="J181" i="26"/>
  <c r="O237" i="26"/>
  <c r="O276" i="26" s="1"/>
  <c r="L248" i="26"/>
  <c r="I249" i="26"/>
  <c r="F250" i="26"/>
  <c r="V250" i="26"/>
  <c r="P252" i="26"/>
  <c r="M253" i="26"/>
  <c r="J254" i="26"/>
  <c r="G255" i="26"/>
  <c r="D256" i="26"/>
  <c r="T256" i="26"/>
  <c r="Q257" i="26"/>
  <c r="N258" i="26"/>
  <c r="E105" i="26"/>
  <c r="U105" i="26"/>
  <c r="R106" i="26"/>
  <c r="O107" i="26"/>
  <c r="L108" i="26"/>
  <c r="I109" i="26"/>
  <c r="S111" i="26"/>
  <c r="P112" i="26"/>
  <c r="J114" i="26"/>
  <c r="G115" i="26"/>
  <c r="D116" i="26"/>
  <c r="T116" i="26"/>
  <c r="N118" i="26"/>
  <c r="K119" i="26"/>
  <c r="Q247" i="26"/>
  <c r="N248" i="26"/>
  <c r="H250" i="26"/>
  <c r="O253" i="26"/>
  <c r="L254" i="26"/>
  <c r="I255" i="26"/>
  <c r="V256" i="26"/>
  <c r="S257" i="26"/>
  <c r="P258" i="26"/>
  <c r="L183" i="26"/>
  <c r="I184" i="26"/>
  <c r="F185" i="26"/>
  <c r="S186" i="26"/>
  <c r="P187" i="26"/>
  <c r="M188" i="26"/>
  <c r="J189" i="26"/>
  <c r="Q192" i="26"/>
  <c r="N193" i="26"/>
  <c r="K194" i="26"/>
  <c r="E196" i="26"/>
  <c r="U196" i="26"/>
  <c r="R197" i="26"/>
  <c r="D247" i="26"/>
  <c r="T247" i="26"/>
  <c r="K250" i="26"/>
  <c r="U252" i="26"/>
  <c r="R253" i="26"/>
  <c r="O254" i="26"/>
  <c r="I256" i="26"/>
  <c r="V257" i="26"/>
  <c r="Q187" i="26"/>
  <c r="N188" i="26"/>
  <c r="K189" i="26"/>
  <c r="H190" i="26"/>
  <c r="R192" i="26"/>
  <c r="O193" i="26"/>
  <c r="L194" i="26"/>
  <c r="F196" i="26"/>
  <c r="V196" i="26"/>
  <c r="S197" i="26"/>
  <c r="E247" i="26"/>
  <c r="E237" i="26"/>
  <c r="U247" i="26"/>
  <c r="U237" i="26"/>
  <c r="R248" i="26"/>
  <c r="L250" i="26"/>
  <c r="F252" i="26"/>
  <c r="V252" i="26"/>
  <c r="S253" i="26"/>
  <c r="M255" i="26"/>
  <c r="J256" i="26"/>
  <c r="D258" i="26"/>
  <c r="T258" i="26"/>
  <c r="Q260" i="26"/>
  <c r="N261" i="26"/>
  <c r="K262" i="26"/>
  <c r="H263" i="26"/>
  <c r="E264" i="26"/>
  <c r="U264" i="26"/>
  <c r="R265" i="26"/>
  <c r="O266" i="26"/>
  <c r="N183" i="26"/>
  <c r="K184" i="26"/>
  <c r="H185" i="26"/>
  <c r="E186" i="26"/>
  <c r="U186" i="26"/>
  <c r="R187" i="26"/>
  <c r="O188" i="26"/>
  <c r="L189" i="26"/>
  <c r="I190" i="26"/>
  <c r="S192" i="26"/>
  <c r="P193" i="26"/>
  <c r="M194" i="26"/>
  <c r="G196" i="26"/>
  <c r="D197" i="26"/>
  <c r="T197" i="26"/>
  <c r="F237" i="26"/>
  <c r="F276" i="26" s="1"/>
  <c r="F247" i="26"/>
  <c r="V237" i="26"/>
  <c r="V247" i="26"/>
  <c r="S248" i="26"/>
  <c r="M250" i="26"/>
  <c r="G252" i="26"/>
  <c r="D253" i="26"/>
  <c r="T253" i="26"/>
  <c r="N255" i="26"/>
  <c r="K256" i="26"/>
  <c r="H257" i="26"/>
  <c r="E258" i="26"/>
  <c r="U258" i="26"/>
  <c r="R260" i="26"/>
  <c r="O261" i="26"/>
  <c r="L262" i="26"/>
  <c r="I263" i="26"/>
  <c r="F264" i="26"/>
  <c r="V264" i="26"/>
  <c r="P266" i="26"/>
  <c r="S170" i="26"/>
  <c r="P171" i="26"/>
  <c r="M172" i="26"/>
  <c r="J173" i="26"/>
  <c r="D175" i="26"/>
  <c r="T175" i="26"/>
  <c r="Q176" i="26"/>
  <c r="K178" i="26"/>
  <c r="H179" i="26"/>
  <c r="U180" i="26"/>
  <c r="R181" i="26"/>
  <c r="O183" i="26"/>
  <c r="L184" i="26"/>
  <c r="I185" i="26"/>
  <c r="F186" i="26"/>
  <c r="V186" i="26"/>
  <c r="S187" i="26"/>
  <c r="P188" i="26"/>
  <c r="M189" i="26"/>
  <c r="D192" i="26"/>
  <c r="T192" i="26"/>
  <c r="Q193" i="26"/>
  <c r="N194" i="26"/>
  <c r="H196" i="26"/>
  <c r="E197" i="26"/>
  <c r="U197" i="26"/>
  <c r="G247" i="26"/>
  <c r="G237" i="26"/>
  <c r="G276" i="26" s="1"/>
  <c r="D248" i="26"/>
  <c r="T248" i="26"/>
  <c r="H252" i="26"/>
  <c r="E253" i="26"/>
  <c r="O255" i="26"/>
  <c r="L256" i="26"/>
  <c r="F258" i="26"/>
  <c r="V258" i="26"/>
  <c r="J185" i="26"/>
  <c r="G186" i="26"/>
  <c r="D187" i="26"/>
  <c r="T187" i="26"/>
  <c r="Q188" i="26"/>
  <c r="N189" i="26"/>
  <c r="E192" i="26"/>
  <c r="U192" i="26"/>
  <c r="R193" i="26"/>
  <c r="O194" i="26"/>
  <c r="I196" i="26"/>
  <c r="F197" i="26"/>
  <c r="V197" i="26"/>
  <c r="H247" i="26"/>
  <c r="H237" i="26"/>
  <c r="H276" i="26" s="1"/>
  <c r="E248" i="26"/>
  <c r="U248" i="26"/>
  <c r="O250" i="26"/>
  <c r="I252" i="26"/>
  <c r="V253" i="26"/>
  <c r="P255" i="26"/>
  <c r="J257" i="26"/>
  <c r="G258" i="26"/>
  <c r="D260" i="26"/>
  <c r="T260" i="26"/>
  <c r="Q261" i="26"/>
  <c r="N262" i="26"/>
  <c r="K263" i="26"/>
  <c r="H264" i="26"/>
  <c r="K237" i="26"/>
  <c r="K276" i="26" s="1"/>
  <c r="M105" i="26"/>
  <c r="J106" i="26"/>
  <c r="G107" i="26"/>
  <c r="D108" i="26"/>
  <c r="T108" i="26"/>
  <c r="Q109" i="26"/>
  <c r="N110" i="26"/>
  <c r="K111" i="26"/>
  <c r="H112" i="26"/>
  <c r="R114" i="26"/>
  <c r="O115" i="26"/>
  <c r="L116" i="26"/>
  <c r="F118" i="26"/>
  <c r="V118" i="26"/>
  <c r="S119" i="26"/>
  <c r="E170" i="26"/>
  <c r="U170" i="26"/>
  <c r="R171" i="26"/>
  <c r="L173" i="26"/>
  <c r="F175" i="26"/>
  <c r="V175" i="26"/>
  <c r="S176" i="26"/>
  <c r="M178" i="26"/>
  <c r="J179" i="26"/>
  <c r="D181" i="26"/>
  <c r="T181" i="26"/>
  <c r="I237" i="26"/>
  <c r="I276" i="26" s="1"/>
  <c r="F248" i="26"/>
  <c r="P250" i="26"/>
  <c r="D254" i="26"/>
  <c r="K257" i="26"/>
  <c r="H258" i="26"/>
  <c r="U108" i="26"/>
  <c r="R109" i="26"/>
  <c r="O110" i="26"/>
  <c r="L111" i="26"/>
  <c r="I112" i="26"/>
  <c r="S114" i="26"/>
  <c r="P115" i="26"/>
  <c r="M116" i="26"/>
  <c r="G118" i="26"/>
  <c r="D119" i="26"/>
  <c r="T119" i="26"/>
  <c r="F170" i="26"/>
  <c r="F160" i="26"/>
  <c r="F199" i="26" s="1"/>
  <c r="V170" i="26"/>
  <c r="V160" i="26"/>
  <c r="V199" i="26" s="1"/>
  <c r="S171" i="26"/>
  <c r="M173" i="26"/>
  <c r="G175" i="26"/>
  <c r="D176" i="26"/>
  <c r="T176" i="26"/>
  <c r="N178" i="26"/>
  <c r="K179" i="26"/>
  <c r="H180" i="26"/>
  <c r="E181" i="26"/>
  <c r="U181" i="26"/>
  <c r="R183" i="26"/>
  <c r="O184" i="26"/>
  <c r="L185" i="26"/>
  <c r="I186" i="26"/>
  <c r="F187" i="26"/>
  <c r="V187" i="26"/>
  <c r="P189" i="26"/>
  <c r="G192" i="26"/>
  <c r="D193" i="26"/>
  <c r="T193" i="26"/>
  <c r="Q194" i="26"/>
  <c r="K196" i="26"/>
  <c r="H197" i="26"/>
  <c r="E198" i="26"/>
  <c r="J237" i="26"/>
  <c r="G248" i="26"/>
  <c r="D249" i="26"/>
  <c r="K252" i="26"/>
  <c r="R255" i="26"/>
  <c r="I258" i="26"/>
  <c r="K260" i="26"/>
  <c r="H261" i="26"/>
  <c r="E262" i="26"/>
  <c r="R263" i="26"/>
  <c r="O264" i="26"/>
  <c r="L265" i="26"/>
  <c r="I266" i="26"/>
  <c r="V267" i="26"/>
  <c r="P269" i="26"/>
  <c r="M270" i="26"/>
  <c r="J271" i="26"/>
  <c r="D273" i="26"/>
  <c r="T273" i="26"/>
  <c r="Q274" i="26"/>
  <c r="L237" i="26"/>
  <c r="I47" i="27"/>
  <c r="H131" i="27"/>
  <c r="H90" i="27"/>
  <c r="K215" i="27"/>
  <c r="K174" i="27"/>
  <c r="M248" i="26"/>
  <c r="J249" i="26"/>
  <c r="G250" i="26"/>
  <c r="Q252" i="26"/>
  <c r="N253" i="26"/>
  <c r="K254" i="26"/>
  <c r="H255" i="26"/>
  <c r="E256" i="26"/>
  <c r="U256" i="26"/>
  <c r="R257" i="26"/>
  <c r="O258" i="26"/>
  <c r="L260" i="26"/>
  <c r="I261" i="26"/>
  <c r="F262" i="26"/>
  <c r="S263" i="26"/>
  <c r="P264" i="26"/>
  <c r="M265" i="26"/>
  <c r="J266" i="26"/>
  <c r="Q269" i="26"/>
  <c r="N270" i="26"/>
  <c r="K271" i="26"/>
  <c r="E273" i="26"/>
  <c r="U273" i="26"/>
  <c r="R274" i="26"/>
  <c r="M260" i="26"/>
  <c r="J261" i="26"/>
  <c r="G262" i="26"/>
  <c r="D263" i="26"/>
  <c r="T263" i="26"/>
  <c r="Q264" i="26"/>
  <c r="N265" i="26"/>
  <c r="K266" i="26"/>
  <c r="H267" i="26"/>
  <c r="R269" i="26"/>
  <c r="O270" i="26"/>
  <c r="L271" i="26"/>
  <c r="F273" i="26"/>
  <c r="V273" i="26"/>
  <c r="S274" i="26"/>
  <c r="T257" i="26"/>
  <c r="Q258" i="26"/>
  <c r="N260" i="26"/>
  <c r="K261" i="26"/>
  <c r="H262" i="26"/>
  <c r="E263" i="26"/>
  <c r="U263" i="26"/>
  <c r="R264" i="26"/>
  <c r="O265" i="26"/>
  <c r="L266" i="26"/>
  <c r="I267" i="26"/>
  <c r="S269" i="26"/>
  <c r="P270" i="26"/>
  <c r="M271" i="26"/>
  <c r="G273" i="26"/>
  <c r="D274" i="26"/>
  <c r="T274" i="26"/>
  <c r="D47" i="27"/>
  <c r="D298" i="27"/>
  <c r="D257" i="27"/>
  <c r="E298" i="27"/>
  <c r="E257" i="27"/>
  <c r="P260" i="26"/>
  <c r="M261" i="26"/>
  <c r="J262" i="26"/>
  <c r="G263" i="26"/>
  <c r="D264" i="26"/>
  <c r="T264" i="26"/>
  <c r="Q265" i="26"/>
  <c r="N266" i="26"/>
  <c r="E269" i="26"/>
  <c r="U269" i="26"/>
  <c r="R270" i="26"/>
  <c r="O271" i="26"/>
  <c r="I273" i="26"/>
  <c r="F274" i="26"/>
  <c r="V274" i="26"/>
  <c r="Q237" i="26"/>
  <c r="Q276" i="26" s="1"/>
  <c r="F269" i="26"/>
  <c r="V269" i="26"/>
  <c r="S270" i="26"/>
  <c r="P271" i="26"/>
  <c r="J273" i="26"/>
  <c r="G274" i="26"/>
  <c r="D275" i="26"/>
  <c r="G269" i="26"/>
  <c r="D270" i="26"/>
  <c r="T270" i="26"/>
  <c r="Q271" i="26"/>
  <c r="K273" i="26"/>
  <c r="H274" i="26"/>
  <c r="E275" i="26"/>
  <c r="H47" i="27"/>
  <c r="G131" i="27"/>
  <c r="G90" i="27"/>
  <c r="S260" i="26"/>
  <c r="P261" i="26"/>
  <c r="M262" i="26"/>
  <c r="J263" i="26"/>
  <c r="G264" i="26"/>
  <c r="T265" i="26"/>
  <c r="Q266" i="26"/>
  <c r="H269" i="26"/>
  <c r="E270" i="26"/>
  <c r="U270" i="26"/>
  <c r="R271" i="26"/>
  <c r="L273" i="26"/>
  <c r="I274" i="26"/>
  <c r="F275" i="26"/>
  <c r="T237" i="26"/>
  <c r="R266" i="26"/>
  <c r="I269" i="26"/>
  <c r="F270" i="26"/>
  <c r="V270" i="26"/>
  <c r="S271" i="26"/>
  <c r="M273" i="26"/>
  <c r="J274" i="26"/>
  <c r="D237" i="26"/>
  <c r="J47" i="27"/>
  <c r="I131" i="27"/>
  <c r="I90" i="27"/>
  <c r="E260" i="26"/>
  <c r="U260" i="26"/>
  <c r="R261" i="26"/>
  <c r="O262" i="26"/>
  <c r="L263" i="26"/>
  <c r="I264" i="26"/>
  <c r="S266" i="26"/>
  <c r="P267" i="26"/>
  <c r="J269" i="26"/>
  <c r="G270" i="26"/>
  <c r="D271" i="26"/>
  <c r="T271" i="26"/>
  <c r="N273" i="26"/>
  <c r="K274" i="26"/>
  <c r="K47" i="27"/>
  <c r="J131" i="27"/>
  <c r="J90" i="27"/>
  <c r="E215" i="27"/>
  <c r="E174" i="27"/>
  <c r="F260" i="26"/>
  <c r="V260" i="26"/>
  <c r="S261" i="26"/>
  <c r="P262" i="26"/>
  <c r="M263" i="26"/>
  <c r="J264" i="26"/>
  <c r="D266" i="26"/>
  <c r="T266" i="26"/>
  <c r="Q267" i="26"/>
  <c r="K269" i="26"/>
  <c r="H270" i="26"/>
  <c r="E271" i="26"/>
  <c r="U271" i="26"/>
  <c r="O273" i="26"/>
  <c r="L274" i="26"/>
  <c r="K247" i="26"/>
  <c r="H248" i="26"/>
  <c r="E249" i="26"/>
  <c r="R250" i="26"/>
  <c r="L252" i="26"/>
  <c r="I253" i="26"/>
  <c r="F254" i="26"/>
  <c r="S255" i="26"/>
  <c r="P256" i="26"/>
  <c r="M257" i="26"/>
  <c r="J258" i="26"/>
  <c r="G260" i="26"/>
  <c r="D261" i="26"/>
  <c r="T261" i="26"/>
  <c r="Q262" i="26"/>
  <c r="N263" i="26"/>
  <c r="K264" i="26"/>
  <c r="E266" i="26"/>
  <c r="U266" i="26"/>
  <c r="R267" i="26"/>
  <c r="L269" i="26"/>
  <c r="I270" i="26"/>
  <c r="F271" i="26"/>
  <c r="V271" i="26"/>
  <c r="P273" i="26"/>
  <c r="M274" i="26"/>
  <c r="G215" i="27"/>
  <c r="G174" i="27"/>
  <c r="H260" i="26"/>
  <c r="E261" i="26"/>
  <c r="U261" i="26"/>
  <c r="O263" i="26"/>
  <c r="L264" i="26"/>
  <c r="F266" i="26"/>
  <c r="V266" i="26"/>
  <c r="S267" i="26"/>
  <c r="M269" i="26"/>
  <c r="J270" i="26"/>
  <c r="G271" i="26"/>
  <c r="Q273" i="26"/>
  <c r="N274" i="26"/>
  <c r="F47" i="27"/>
  <c r="E131" i="27"/>
  <c r="E90" i="27"/>
  <c r="H215" i="27"/>
  <c r="H174" i="27"/>
  <c r="I260" i="26"/>
  <c r="F261" i="26"/>
  <c r="V261" i="26"/>
  <c r="P263" i="26"/>
  <c r="M264" i="26"/>
  <c r="G266" i="26"/>
  <c r="D267" i="26"/>
  <c r="T267" i="26"/>
  <c r="N269" i="26"/>
  <c r="K270" i="26"/>
  <c r="H271" i="26"/>
  <c r="R273" i="26"/>
  <c r="O274" i="26"/>
  <c r="G47" i="27"/>
  <c r="F131" i="27"/>
  <c r="F90" i="27"/>
  <c r="I100" i="27"/>
  <c r="G185" i="27"/>
  <c r="F256" i="27"/>
  <c r="K89" i="27"/>
  <c r="G256" i="27"/>
  <c r="I185" i="27"/>
  <c r="I187" i="27"/>
  <c r="I189" i="27"/>
  <c r="I193" i="27"/>
  <c r="I195" i="27"/>
  <c r="I201" i="27"/>
  <c r="I205" i="27"/>
  <c r="I207" i="27"/>
  <c r="I209" i="27"/>
  <c r="I211" i="27"/>
  <c r="I213" i="27"/>
  <c r="H256" i="27"/>
  <c r="I256" i="27"/>
  <c r="E101" i="27"/>
  <c r="D173" i="27"/>
  <c r="K185" i="27"/>
  <c r="J256" i="27"/>
  <c r="F101" i="27"/>
  <c r="K256" i="27"/>
  <c r="F173" i="27"/>
  <c r="H101" i="27"/>
  <c r="D268" i="27"/>
  <c r="E268" i="27"/>
  <c r="I173" i="27"/>
  <c r="D89" i="27"/>
  <c r="J173" i="27"/>
  <c r="M17" i="9" l="1"/>
  <c r="M18" i="9"/>
  <c r="M19" i="9"/>
  <c r="M20" i="9"/>
  <c r="M34" i="9"/>
  <c r="M29" i="9"/>
  <c r="M24" i="9"/>
  <c r="M14" i="9"/>
  <c r="M23" i="9"/>
  <c r="M32" i="9"/>
  <c r="M25" i="9"/>
  <c r="M16" i="9"/>
  <c r="M21" i="9"/>
  <c r="M31" i="9"/>
  <c r="M15" i="9"/>
  <c r="M30" i="9"/>
  <c r="M28" i="9"/>
  <c r="M26" i="9"/>
  <c r="E99" i="9"/>
  <c r="D27" i="4"/>
  <c r="D119" i="4"/>
  <c r="K298" i="25"/>
  <c r="K257" i="25"/>
  <c r="G129" i="13"/>
  <c r="G89" i="13"/>
  <c r="U276" i="26"/>
  <c r="D199" i="26"/>
  <c r="H131" i="25"/>
  <c r="H90" i="25"/>
  <c r="K90" i="25"/>
  <c r="K131" i="25"/>
  <c r="O199" i="24"/>
  <c r="E198" i="22"/>
  <c r="L199" i="20"/>
  <c r="E121" i="20"/>
  <c r="H129" i="19"/>
  <c r="H88" i="19"/>
  <c r="K129" i="19"/>
  <c r="K88" i="19"/>
  <c r="F130" i="17"/>
  <c r="P274" i="14"/>
  <c r="T197" i="14"/>
  <c r="I198" i="12"/>
  <c r="F129" i="13"/>
  <c r="F89" i="13"/>
  <c r="P120" i="14"/>
  <c r="E213" i="11"/>
  <c r="L198" i="10"/>
  <c r="F275" i="10"/>
  <c r="K120" i="10"/>
  <c r="P34" i="8"/>
  <c r="G33" i="8"/>
  <c r="T125" i="9"/>
  <c r="K120" i="9"/>
  <c r="T120" i="9" s="1"/>
  <c r="T120" i="10"/>
  <c r="D112" i="7"/>
  <c r="M114" i="7"/>
  <c r="G120" i="10"/>
  <c r="M112" i="9"/>
  <c r="D131" i="9"/>
  <c r="M131" i="9" s="1"/>
  <c r="O65" i="7"/>
  <c r="O97" i="7"/>
  <c r="N16" i="8"/>
  <c r="S112" i="8"/>
  <c r="J131" i="8"/>
  <c r="S131" i="8" s="1"/>
  <c r="E112" i="7"/>
  <c r="N114" i="7"/>
  <c r="N20" i="8"/>
  <c r="T47" i="9"/>
  <c r="K66" i="9"/>
  <c r="K67" i="9"/>
  <c r="M102" i="6"/>
  <c r="M115" i="6"/>
  <c r="M103" i="6"/>
  <c r="M129" i="6" s="1"/>
  <c r="F22" i="8"/>
  <c r="J66" i="6"/>
  <c r="J53" i="6"/>
  <c r="J54" i="6"/>
  <c r="T92" i="9"/>
  <c r="R112" i="7"/>
  <c r="I132" i="7"/>
  <c r="I131" i="7"/>
  <c r="H171" i="15"/>
  <c r="M94" i="6"/>
  <c r="M120" i="6" s="1"/>
  <c r="P19" i="5"/>
  <c r="P173" i="5"/>
  <c r="N74" i="4"/>
  <c r="N44" i="4"/>
  <c r="N70" i="4" s="1"/>
  <c r="L28" i="6"/>
  <c r="L27" i="6"/>
  <c r="J144" i="5"/>
  <c r="J172" i="5" s="1"/>
  <c r="K71" i="6"/>
  <c r="K144" i="6"/>
  <c r="K172" i="6" s="1"/>
  <c r="O45" i="5"/>
  <c r="O72" i="5"/>
  <c r="L72" i="5"/>
  <c r="L45" i="5"/>
  <c r="Q152" i="5"/>
  <c r="Q153" i="5"/>
  <c r="Q181" i="5" s="1"/>
  <c r="Q167" i="5"/>
  <c r="H92" i="4"/>
  <c r="H120" i="4"/>
  <c r="G154" i="4"/>
  <c r="G179" i="4"/>
  <c r="N54" i="6"/>
  <c r="N80" i="6" s="1"/>
  <c r="N66" i="6"/>
  <c r="N53" i="6"/>
  <c r="T144" i="6"/>
  <c r="T172" i="6" s="1"/>
  <c r="T154" i="5"/>
  <c r="T104" i="5"/>
  <c r="T55" i="5"/>
  <c r="T155" i="5"/>
  <c r="T105" i="5"/>
  <c r="L154" i="4"/>
  <c r="L179" i="4"/>
  <c r="N103" i="4"/>
  <c r="N127" i="4"/>
  <c r="N130" i="4" s="1"/>
  <c r="Q78" i="4"/>
  <c r="Q81" i="4" s="1"/>
  <c r="Q55" i="4"/>
  <c r="I298" i="27"/>
  <c r="I257" i="27"/>
  <c r="I215" i="21"/>
  <c r="I174" i="21"/>
  <c r="H47" i="21"/>
  <c r="H131" i="21"/>
  <c r="N199" i="20"/>
  <c r="J296" i="19"/>
  <c r="O275" i="16"/>
  <c r="J297" i="17"/>
  <c r="J212" i="15"/>
  <c r="D197" i="14"/>
  <c r="E213" i="13"/>
  <c r="U120" i="14"/>
  <c r="D120" i="14"/>
  <c r="I212" i="15"/>
  <c r="O120" i="12"/>
  <c r="Q198" i="12"/>
  <c r="M276" i="12"/>
  <c r="D129" i="11"/>
  <c r="J275" i="10"/>
  <c r="D120" i="10"/>
  <c r="P47" i="9"/>
  <c r="G66" i="9"/>
  <c r="G67" i="9"/>
  <c r="F60" i="7"/>
  <c r="O62" i="7"/>
  <c r="E60" i="7"/>
  <c r="N60" i="7" s="1"/>
  <c r="N61" i="7"/>
  <c r="H55" i="9"/>
  <c r="J174" i="21"/>
  <c r="J99" i="9"/>
  <c r="S99" i="9" s="1"/>
  <c r="J98" i="9"/>
  <c r="S98" i="9" s="1"/>
  <c r="S79" i="9"/>
  <c r="Q128" i="7"/>
  <c r="H125" i="7"/>
  <c r="D275" i="10"/>
  <c r="O63" i="7"/>
  <c r="N112" i="9"/>
  <c r="E131" i="9"/>
  <c r="E132" i="9"/>
  <c r="T92" i="7"/>
  <c r="Q79" i="8"/>
  <c r="H98" i="8"/>
  <c r="H99" i="8"/>
  <c r="U75" i="6"/>
  <c r="U45" i="6"/>
  <c r="U71" i="6" s="1"/>
  <c r="E79" i="7"/>
  <c r="N83" i="7"/>
  <c r="K98" i="8"/>
  <c r="K99" i="8"/>
  <c r="T79" i="8"/>
  <c r="H144" i="6"/>
  <c r="H172" i="6" s="1"/>
  <c r="D94" i="6"/>
  <c r="D120" i="6" s="1"/>
  <c r="U173" i="5"/>
  <c r="U144" i="5"/>
  <c r="R28" i="5"/>
  <c r="R181" i="5" s="1"/>
  <c r="R27" i="5"/>
  <c r="G75" i="5"/>
  <c r="G124" i="5"/>
  <c r="S45" i="5"/>
  <c r="S72" i="5"/>
  <c r="N153" i="6"/>
  <c r="N181" i="6" s="1"/>
  <c r="P121" i="5"/>
  <c r="L128" i="5"/>
  <c r="L105" i="5"/>
  <c r="S151" i="4"/>
  <c r="S166" i="4"/>
  <c r="O56" i="5"/>
  <c r="O79" i="5"/>
  <c r="K153" i="5"/>
  <c r="K181" i="5" s="1"/>
  <c r="Q94" i="6"/>
  <c r="Q103" i="6" s="1"/>
  <c r="Q121" i="6"/>
  <c r="F173" i="5"/>
  <c r="F144" i="5"/>
  <c r="F172" i="5" s="1"/>
  <c r="O155" i="5"/>
  <c r="O180" i="5"/>
  <c r="N66" i="5"/>
  <c r="N54" i="5"/>
  <c r="N80" i="5" s="1"/>
  <c r="N53" i="5"/>
  <c r="D173" i="6"/>
  <c r="G173" i="5"/>
  <c r="G144" i="5"/>
  <c r="G172" i="5" s="1"/>
  <c r="O79" i="4"/>
  <c r="R27" i="4"/>
  <c r="N121" i="26"/>
  <c r="D298" i="23"/>
  <c r="D257" i="23"/>
  <c r="G295" i="15"/>
  <c r="G254" i="15"/>
  <c r="T120" i="14"/>
  <c r="J121" i="26"/>
  <c r="D215" i="21"/>
  <c r="D174" i="21"/>
  <c r="D90" i="21"/>
  <c r="D131" i="21"/>
  <c r="K121" i="20"/>
  <c r="H276" i="20"/>
  <c r="Q121" i="18"/>
  <c r="K89" i="17"/>
  <c r="K130" i="17"/>
  <c r="N274" i="14"/>
  <c r="N197" i="14"/>
  <c r="D213" i="11"/>
  <c r="D172" i="11"/>
  <c r="D55" i="9"/>
  <c r="P26" i="8"/>
  <c r="O60" i="9"/>
  <c r="F55" i="9"/>
  <c r="F87" i="8"/>
  <c r="O88" i="8"/>
  <c r="S66" i="9"/>
  <c r="Q88" i="7"/>
  <c r="H87" i="7"/>
  <c r="L173" i="6"/>
  <c r="L144" i="6"/>
  <c r="P15" i="8"/>
  <c r="E75" i="6"/>
  <c r="E45" i="6"/>
  <c r="E71" i="6" s="1"/>
  <c r="P45" i="6"/>
  <c r="P72" i="6"/>
  <c r="F167" i="6"/>
  <c r="F27" i="6"/>
  <c r="F28" i="6"/>
  <c r="U94" i="6"/>
  <c r="M66" i="6"/>
  <c r="M54" i="6"/>
  <c r="M80" i="6" s="1"/>
  <c r="M53" i="6"/>
  <c r="G60" i="7"/>
  <c r="O121" i="6"/>
  <c r="O94" i="6"/>
  <c r="O120" i="6" s="1"/>
  <c r="N82" i="7"/>
  <c r="N115" i="7"/>
  <c r="D121" i="6"/>
  <c r="E173" i="5"/>
  <c r="E144" i="5"/>
  <c r="N56" i="8"/>
  <c r="E55" i="8"/>
  <c r="N55" i="8" s="1"/>
  <c r="T102" i="6"/>
  <c r="T103" i="6"/>
  <c r="T129" i="6" s="1"/>
  <c r="T115" i="6"/>
  <c r="E151" i="4"/>
  <c r="E166" i="4"/>
  <c r="U128" i="6"/>
  <c r="U105" i="6"/>
  <c r="H75" i="5"/>
  <c r="T45" i="5"/>
  <c r="T72" i="5"/>
  <c r="R155" i="6"/>
  <c r="R180" i="6"/>
  <c r="P120" i="5"/>
  <c r="Q179" i="4"/>
  <c r="Q154" i="4"/>
  <c r="L53" i="4"/>
  <c r="L79" i="4" s="1"/>
  <c r="L52" i="4"/>
  <c r="L65" i="4"/>
  <c r="L53" i="6"/>
  <c r="L66" i="6"/>
  <c r="L54" i="6"/>
  <c r="L80" i="6" s="1"/>
  <c r="O28" i="6"/>
  <c r="H19" i="5"/>
  <c r="R19" i="3"/>
  <c r="D144" i="6"/>
  <c r="D172" i="6" s="1"/>
  <c r="D154" i="5"/>
  <c r="D104" i="5"/>
  <c r="D55" i="5"/>
  <c r="H152" i="4"/>
  <c r="H180" i="4" s="1"/>
  <c r="D70" i="4"/>
  <c r="G45" i="5"/>
  <c r="G71" i="5" s="1"/>
  <c r="G72" i="5"/>
  <c r="T127" i="4"/>
  <c r="T130" i="4" s="1"/>
  <c r="T103" i="4"/>
  <c r="P123" i="4"/>
  <c r="O65" i="4"/>
  <c r="T81" i="4"/>
  <c r="H298" i="25"/>
  <c r="H257" i="25"/>
  <c r="G256" i="17"/>
  <c r="G297" i="17"/>
  <c r="J215" i="27"/>
  <c r="J174" i="27"/>
  <c r="D276" i="26"/>
  <c r="M199" i="26"/>
  <c r="R199" i="24"/>
  <c r="L198" i="22"/>
  <c r="L275" i="22"/>
  <c r="P120" i="22"/>
  <c r="F47" i="21"/>
  <c r="E276" i="20"/>
  <c r="G199" i="20"/>
  <c r="H199" i="20"/>
  <c r="E199" i="18"/>
  <c r="J213" i="19"/>
  <c r="J172" i="19"/>
  <c r="N276" i="20"/>
  <c r="F276" i="18"/>
  <c r="D130" i="17"/>
  <c r="U275" i="16"/>
  <c r="H275" i="16"/>
  <c r="D275" i="16"/>
  <c r="K295" i="15"/>
  <c r="I274" i="14"/>
  <c r="I213" i="13"/>
  <c r="J198" i="12"/>
  <c r="F198" i="12"/>
  <c r="O120" i="14"/>
  <c r="N198" i="12"/>
  <c r="R120" i="12"/>
  <c r="F296" i="13"/>
  <c r="J198" i="10"/>
  <c r="N120" i="10"/>
  <c r="S19" i="9"/>
  <c r="N275" i="10"/>
  <c r="S26" i="9"/>
  <c r="O91" i="7"/>
  <c r="Q88" i="9"/>
  <c r="H22" i="9"/>
  <c r="Q121" i="9"/>
  <c r="P121" i="9"/>
  <c r="P88" i="9"/>
  <c r="G22" i="9"/>
  <c r="R88" i="7"/>
  <c r="I87" i="7"/>
  <c r="R87" i="7" s="1"/>
  <c r="P56" i="9"/>
  <c r="Q60" i="8"/>
  <c r="J99" i="8"/>
  <c r="S99" i="8" s="1"/>
  <c r="J98" i="8"/>
  <c r="S79" i="8"/>
  <c r="K167" i="6"/>
  <c r="K152" i="6"/>
  <c r="O112" i="9"/>
  <c r="O53" i="7"/>
  <c r="E125" i="7"/>
  <c r="N125" i="7" s="1"/>
  <c r="N126" i="7"/>
  <c r="O103" i="6"/>
  <c r="O129" i="6" s="1"/>
  <c r="O115" i="6"/>
  <c r="O102" i="6"/>
  <c r="O129" i="7"/>
  <c r="T60" i="9"/>
  <c r="D45" i="6"/>
  <c r="D71" i="6" s="1"/>
  <c r="P94" i="6"/>
  <c r="P120" i="6" s="1"/>
  <c r="P121" i="6"/>
  <c r="G153" i="5"/>
  <c r="G181" i="5" s="1"/>
  <c r="G152" i="5"/>
  <c r="G167" i="5"/>
  <c r="E56" i="7"/>
  <c r="N57" i="7"/>
  <c r="P28" i="6"/>
  <c r="P27" i="6"/>
  <c r="M28" i="5"/>
  <c r="M27" i="5"/>
  <c r="K54" i="4"/>
  <c r="K153" i="4"/>
  <c r="K102" i="4"/>
  <c r="D45" i="5"/>
  <c r="D72" i="5"/>
  <c r="I120" i="5"/>
  <c r="U27" i="4"/>
  <c r="U70" i="4"/>
  <c r="K155" i="5"/>
  <c r="K180" i="5"/>
  <c r="M154" i="4"/>
  <c r="M179" i="4"/>
  <c r="Q53" i="5"/>
  <c r="Q54" i="5"/>
  <c r="Q80" i="5" s="1"/>
  <c r="Q66" i="5"/>
  <c r="E92" i="4"/>
  <c r="E119" i="4" s="1"/>
  <c r="E120" i="4"/>
  <c r="U28" i="5"/>
  <c r="U27" i="5"/>
  <c r="S65" i="4"/>
  <c r="S52" i="4"/>
  <c r="S53" i="4"/>
  <c r="S79" i="4" s="1"/>
  <c r="F94" i="5"/>
  <c r="F120" i="5" s="1"/>
  <c r="F121" i="5"/>
  <c r="O78" i="4"/>
  <c r="O55" i="4"/>
  <c r="P78" i="4"/>
  <c r="P55" i="4"/>
  <c r="K27" i="4"/>
  <c r="T199" i="26"/>
  <c r="H298" i="27"/>
  <c r="H257" i="27"/>
  <c r="J276" i="26"/>
  <c r="D131" i="27"/>
  <c r="D90" i="27"/>
  <c r="E276" i="26"/>
  <c r="K215" i="25"/>
  <c r="K174" i="25"/>
  <c r="I215" i="27"/>
  <c r="I174" i="27"/>
  <c r="R121" i="26"/>
  <c r="R276" i="24"/>
  <c r="N199" i="26"/>
  <c r="L121" i="26"/>
  <c r="G276" i="24"/>
  <c r="I199" i="24"/>
  <c r="K198" i="22"/>
  <c r="G131" i="23"/>
  <c r="G90" i="23"/>
  <c r="K215" i="23"/>
  <c r="K174" i="23"/>
  <c r="I131" i="23"/>
  <c r="I90" i="23"/>
  <c r="K257" i="23"/>
  <c r="K298" i="23"/>
  <c r="J131" i="23"/>
  <c r="U275" i="22"/>
  <c r="O275" i="22"/>
  <c r="Q276" i="20"/>
  <c r="K131" i="23"/>
  <c r="K90" i="23"/>
  <c r="N198" i="22"/>
  <c r="H298" i="21"/>
  <c r="O121" i="20"/>
  <c r="E213" i="19"/>
  <c r="S120" i="16"/>
  <c r="J295" i="15"/>
  <c r="E275" i="16"/>
  <c r="M275" i="16"/>
  <c r="L275" i="16"/>
  <c r="L198" i="16"/>
  <c r="G274" i="14"/>
  <c r="I120" i="14"/>
  <c r="Q274" i="14"/>
  <c r="S120" i="12"/>
  <c r="I120" i="12"/>
  <c r="V120" i="12"/>
  <c r="J47" i="13"/>
  <c r="N198" i="10"/>
  <c r="S31" i="9"/>
  <c r="L120" i="10"/>
  <c r="S275" i="10"/>
  <c r="N34" i="8"/>
  <c r="N32" i="8"/>
  <c r="N31" i="8"/>
  <c r="N30" i="8"/>
  <c r="N29" i="8"/>
  <c r="N28" i="8"/>
  <c r="N27" i="8"/>
  <c r="N26" i="8"/>
  <c r="N25" i="8"/>
  <c r="E33" i="8"/>
  <c r="N33" i="8" s="1"/>
  <c r="N23" i="8"/>
  <c r="F120" i="10"/>
  <c r="M27" i="9"/>
  <c r="G23" i="7"/>
  <c r="F23" i="7"/>
  <c r="K257" i="21"/>
  <c r="K131" i="9"/>
  <c r="K132" i="9"/>
  <c r="T112" i="9"/>
  <c r="O60" i="8"/>
  <c r="D120" i="9"/>
  <c r="M120" i="9" s="1"/>
  <c r="M125" i="9"/>
  <c r="R92" i="8"/>
  <c r="I87" i="8"/>
  <c r="R87" i="8" s="1"/>
  <c r="H167" i="6"/>
  <c r="H153" i="6"/>
  <c r="H152" i="6"/>
  <c r="G98" i="7"/>
  <c r="V53" i="6"/>
  <c r="V66" i="6"/>
  <c r="V54" i="6"/>
  <c r="U152" i="6"/>
  <c r="U167" i="6"/>
  <c r="U153" i="6"/>
  <c r="U181" i="6" s="1"/>
  <c r="S79" i="6"/>
  <c r="S56" i="6"/>
  <c r="U172" i="6"/>
  <c r="V144" i="6"/>
  <c r="V173" i="6"/>
  <c r="D102" i="6"/>
  <c r="D103" i="6"/>
  <c r="D129" i="6" s="1"/>
  <c r="D115" i="6"/>
  <c r="P28" i="5"/>
  <c r="P80" i="5" s="1"/>
  <c r="P27" i="5"/>
  <c r="D151" i="4"/>
  <c r="D166" i="4"/>
  <c r="N129" i="7"/>
  <c r="N96" i="7"/>
  <c r="Q154" i="5"/>
  <c r="Q104" i="5"/>
  <c r="Q55" i="5"/>
  <c r="O155" i="6"/>
  <c r="O180" i="6"/>
  <c r="Q121" i="5"/>
  <c r="I54" i="5"/>
  <c r="I80" i="5" s="1"/>
  <c r="I53" i="5"/>
  <c r="I66" i="5"/>
  <c r="I121" i="5"/>
  <c r="L121" i="5"/>
  <c r="L94" i="5"/>
  <c r="P72" i="5"/>
  <c r="P22" i="8"/>
  <c r="S143" i="4"/>
  <c r="S171" i="4" s="1"/>
  <c r="S172" i="4"/>
  <c r="S79" i="5"/>
  <c r="M152" i="4"/>
  <c r="M180" i="4" s="1"/>
  <c r="F179" i="4"/>
  <c r="F154" i="4"/>
  <c r="I103" i="5"/>
  <c r="I129" i="5" s="1"/>
  <c r="I102" i="5"/>
  <c r="I115" i="5"/>
  <c r="K80" i="5"/>
  <c r="E28" i="5"/>
  <c r="E27" i="5"/>
  <c r="G124" i="6"/>
  <c r="G94" i="6"/>
  <c r="H179" i="4"/>
  <c r="H154" i="4"/>
  <c r="V65" i="4"/>
  <c r="V52" i="4"/>
  <c r="V53" i="4"/>
  <c r="V79" i="4" s="1"/>
  <c r="K143" i="4"/>
  <c r="K171" i="4" s="1"/>
  <c r="S56" i="8"/>
  <c r="J55" i="8"/>
  <c r="S55" i="8" s="1"/>
  <c r="O119" i="7"/>
  <c r="F112" i="7"/>
  <c r="O122" i="7"/>
  <c r="F121" i="7"/>
  <c r="S51" i="7"/>
  <c r="J47" i="7"/>
  <c r="P66" i="8"/>
  <c r="F98" i="7"/>
  <c r="P88" i="7"/>
  <c r="G87" i="7"/>
  <c r="U121" i="5"/>
  <c r="U94" i="5"/>
  <c r="U120" i="5" s="1"/>
  <c r="I153" i="5"/>
  <c r="I181" i="5" s="1"/>
  <c r="I152" i="5"/>
  <c r="I167" i="5"/>
  <c r="Q92" i="4"/>
  <c r="Q119" i="4" s="1"/>
  <c r="Q120" i="4"/>
  <c r="O120" i="4"/>
  <c r="O92" i="4"/>
  <c r="O119" i="4" s="1"/>
  <c r="M52" i="4"/>
  <c r="M65" i="4"/>
  <c r="L173" i="5"/>
  <c r="L144" i="5"/>
  <c r="P71" i="5"/>
  <c r="S104" i="6"/>
  <c r="S55" i="6"/>
  <c r="S154" i="6"/>
  <c r="F152" i="4"/>
  <c r="F180" i="4" s="1"/>
  <c r="O54" i="6"/>
  <c r="O80" i="6" s="1"/>
  <c r="O66" i="6"/>
  <c r="O53" i="6"/>
  <c r="T128" i="5"/>
  <c r="K166" i="4"/>
  <c r="K151" i="4"/>
  <c r="F65" i="4"/>
  <c r="F53" i="4"/>
  <c r="F79" i="4" s="1"/>
  <c r="F52" i="4"/>
  <c r="R94" i="6"/>
  <c r="R120" i="6" s="1"/>
  <c r="R121" i="6"/>
  <c r="H215" i="23"/>
  <c r="H174" i="23"/>
  <c r="J129" i="19"/>
  <c r="J88" i="19"/>
  <c r="V199" i="20"/>
  <c r="D214" i="17"/>
  <c r="D173" i="17"/>
  <c r="P275" i="16"/>
  <c r="R47" i="9"/>
  <c r="I33" i="9"/>
  <c r="I34" i="9"/>
  <c r="T98" i="7"/>
  <c r="N120" i="9"/>
  <c r="D27" i="7"/>
  <c r="M95" i="7"/>
  <c r="M128" i="7"/>
  <c r="J125" i="7"/>
  <c r="S125" i="7" s="1"/>
  <c r="S126" i="7"/>
  <c r="S56" i="7"/>
  <c r="J55" i="7"/>
  <c r="E22" i="9"/>
  <c r="M86" i="7"/>
  <c r="G132" i="7"/>
  <c r="G131" i="7"/>
  <c r="P98" i="9"/>
  <c r="J173" i="6"/>
  <c r="J144" i="6"/>
  <c r="J172" i="6" s="1"/>
  <c r="O121" i="8"/>
  <c r="F120" i="8"/>
  <c r="I94" i="6"/>
  <c r="I121" i="6"/>
  <c r="F128" i="6"/>
  <c r="F105" i="6"/>
  <c r="Q79" i="7"/>
  <c r="H99" i="7"/>
  <c r="H98" i="7"/>
  <c r="E153" i="6"/>
  <c r="E181" i="6" s="1"/>
  <c r="E152" i="6"/>
  <c r="E167" i="6"/>
  <c r="M63" i="7"/>
  <c r="J152" i="5"/>
  <c r="J167" i="5"/>
  <c r="J153" i="5"/>
  <c r="J181" i="5" s="1"/>
  <c r="E121" i="5"/>
  <c r="E94" i="5"/>
  <c r="E120" i="5" s="1"/>
  <c r="F144" i="6"/>
  <c r="F173" i="6"/>
  <c r="V72" i="6"/>
  <c r="V45" i="6"/>
  <c r="V71" i="6" s="1"/>
  <c r="T144" i="5"/>
  <c r="T173" i="5"/>
  <c r="P114" i="4"/>
  <c r="P100" i="4"/>
  <c r="P101" i="4"/>
  <c r="J154" i="5"/>
  <c r="J104" i="5"/>
  <c r="J55" i="5"/>
  <c r="J79" i="5"/>
  <c r="O94" i="5"/>
  <c r="O120" i="5" s="1"/>
  <c r="O121" i="5"/>
  <c r="J54" i="5"/>
  <c r="J80" i="5" s="1"/>
  <c r="J71" i="5"/>
  <c r="R79" i="6"/>
  <c r="R56" i="6"/>
  <c r="I127" i="4"/>
  <c r="I103" i="4"/>
  <c r="L154" i="5"/>
  <c r="L104" i="5"/>
  <c r="L55" i="5"/>
  <c r="K79" i="5"/>
  <c r="K56" i="5"/>
  <c r="Q44" i="4"/>
  <c r="D128" i="5"/>
  <c r="M127" i="4"/>
  <c r="M103" i="4"/>
  <c r="G18" i="4"/>
  <c r="N119" i="4"/>
  <c r="F215" i="27"/>
  <c r="F174" i="27"/>
  <c r="U199" i="26"/>
  <c r="R276" i="26"/>
  <c r="R199" i="26"/>
  <c r="N199" i="24"/>
  <c r="H199" i="24"/>
  <c r="L199" i="24"/>
  <c r="H298" i="23"/>
  <c r="H257" i="23"/>
  <c r="F121" i="20"/>
  <c r="D213" i="19"/>
  <c r="D172" i="19"/>
  <c r="I130" i="17"/>
  <c r="I89" i="17"/>
  <c r="I254" i="15"/>
  <c r="I295" i="15"/>
  <c r="O198" i="16"/>
  <c r="H254" i="15"/>
  <c r="H295" i="15"/>
  <c r="P120" i="16"/>
  <c r="J296" i="13"/>
  <c r="J255" i="13"/>
  <c r="J128" i="15"/>
  <c r="J88" i="15"/>
  <c r="K213" i="13"/>
  <c r="K172" i="13"/>
  <c r="H213" i="13"/>
  <c r="H172" i="13"/>
  <c r="J120" i="12"/>
  <c r="K276" i="12"/>
  <c r="S120" i="10"/>
  <c r="K22" i="7"/>
  <c r="T88" i="7"/>
  <c r="R79" i="8"/>
  <c r="I98" i="8"/>
  <c r="R98" i="8" s="1"/>
  <c r="I99" i="8"/>
  <c r="R99" i="8" s="1"/>
  <c r="O51" i="7"/>
  <c r="G14" i="7"/>
  <c r="E67" i="9"/>
  <c r="E66" i="9"/>
  <c r="N47" i="9"/>
  <c r="J67" i="8"/>
  <c r="S67" i="8" s="1"/>
  <c r="S47" i="8"/>
  <c r="J66" i="8"/>
  <c r="F47" i="7"/>
  <c r="F89" i="17" s="1"/>
  <c r="O49" i="7"/>
  <c r="I153" i="6"/>
  <c r="I167" i="6"/>
  <c r="I152" i="6"/>
  <c r="P56" i="8"/>
  <c r="G55" i="8"/>
  <c r="Q102" i="6"/>
  <c r="Q115" i="6"/>
  <c r="P30" i="8"/>
  <c r="O59" i="7"/>
  <c r="M167" i="5"/>
  <c r="M153" i="5"/>
  <c r="M181" i="5" s="1"/>
  <c r="M152" i="5"/>
  <c r="R79" i="7"/>
  <c r="I99" i="7"/>
  <c r="I98" i="7"/>
  <c r="O64" i="7"/>
  <c r="G102" i="5"/>
  <c r="G115" i="5"/>
  <c r="O130" i="7"/>
  <c r="F72" i="6"/>
  <c r="F45" i="6"/>
  <c r="H154" i="5"/>
  <c r="H104" i="5"/>
  <c r="H55" i="5"/>
  <c r="D144" i="5"/>
  <c r="D173" i="5"/>
  <c r="L180" i="5"/>
  <c r="L155" i="5"/>
  <c r="H22" i="8"/>
  <c r="S114" i="4"/>
  <c r="S100" i="4"/>
  <c r="H176" i="5"/>
  <c r="K154" i="5"/>
  <c r="K104" i="5"/>
  <c r="K55" i="5"/>
  <c r="Q100" i="4"/>
  <c r="Q101" i="4"/>
  <c r="Q128" i="4" s="1"/>
  <c r="Q114" i="4"/>
  <c r="E14" i="7"/>
  <c r="P115" i="5"/>
  <c r="P103" i="5"/>
  <c r="P129" i="5" s="1"/>
  <c r="P102" i="5"/>
  <c r="D79" i="4"/>
  <c r="O144" i="5"/>
  <c r="O173" i="5"/>
  <c r="I44" i="4"/>
  <c r="I71" i="4"/>
  <c r="V173" i="5"/>
  <c r="V144" i="5"/>
  <c r="V172" i="5" s="1"/>
  <c r="R180" i="5"/>
  <c r="R155" i="5"/>
  <c r="R80" i="6"/>
  <c r="T179" i="4"/>
  <c r="T154" i="4"/>
  <c r="P167" i="5"/>
  <c r="P153" i="5"/>
  <c r="P181" i="5" s="1"/>
  <c r="P152" i="5"/>
  <c r="P154" i="4"/>
  <c r="P179" i="4"/>
  <c r="F66" i="6"/>
  <c r="V154" i="5"/>
  <c r="V104" i="5"/>
  <c r="V55" i="5"/>
  <c r="R55" i="4"/>
  <c r="R78" i="4"/>
  <c r="R81" i="4" s="1"/>
  <c r="O153" i="4"/>
  <c r="O54" i="4"/>
  <c r="O102" i="4"/>
  <c r="T94" i="6"/>
  <c r="T120" i="6" s="1"/>
  <c r="M94" i="5"/>
  <c r="M124" i="5"/>
  <c r="M176" i="5"/>
  <c r="M144" i="5"/>
  <c r="M172" i="5" s="1"/>
  <c r="G90" i="25"/>
  <c r="G131" i="25"/>
  <c r="D215" i="23"/>
  <c r="D174" i="23"/>
  <c r="R121" i="20"/>
  <c r="E296" i="19"/>
  <c r="E255" i="19"/>
  <c r="G129" i="19"/>
  <c r="G88" i="19"/>
  <c r="I121" i="18"/>
  <c r="J214" i="17"/>
  <c r="J130" i="17"/>
  <c r="M120" i="16"/>
  <c r="G212" i="15"/>
  <c r="E47" i="13"/>
  <c r="K129" i="13"/>
  <c r="K89" i="13"/>
  <c r="G89" i="11"/>
  <c r="G129" i="11"/>
  <c r="S153" i="6"/>
  <c r="S181" i="6" s="1"/>
  <c r="S152" i="6"/>
  <c r="S167" i="6"/>
  <c r="P112" i="9"/>
  <c r="G34" i="9"/>
  <c r="P14" i="9" s="1"/>
  <c r="G33" i="9"/>
  <c r="N60" i="9"/>
  <c r="I120" i="8"/>
  <c r="R120" i="8" s="1"/>
  <c r="R121" i="8"/>
  <c r="E67" i="8"/>
  <c r="N67" i="8" s="1"/>
  <c r="N47" i="8"/>
  <c r="E66" i="8"/>
  <c r="N66" i="8" s="1"/>
  <c r="N115" i="6"/>
  <c r="N102" i="6"/>
  <c r="T75" i="6"/>
  <c r="T45" i="6"/>
  <c r="M173" i="6"/>
  <c r="M144" i="6"/>
  <c r="M172" i="6" s="1"/>
  <c r="H121" i="5"/>
  <c r="H94" i="5"/>
  <c r="D152" i="6"/>
  <c r="D167" i="6"/>
  <c r="D153" i="6"/>
  <c r="D181" i="6" s="1"/>
  <c r="S28" i="5"/>
  <c r="S27" i="5"/>
  <c r="S88" i="7"/>
  <c r="J87" i="7"/>
  <c r="T94" i="5"/>
  <c r="T121" i="5"/>
  <c r="S92" i="4"/>
  <c r="S119" i="4" s="1"/>
  <c r="S120" i="4"/>
  <c r="H153" i="5"/>
  <c r="H152" i="5"/>
  <c r="H167" i="5"/>
  <c r="O115" i="5"/>
  <c r="O103" i="5"/>
  <c r="O129" i="5" s="1"/>
  <c r="O102" i="5"/>
  <c r="H54" i="5"/>
  <c r="H53" i="5"/>
  <c r="H66" i="5"/>
  <c r="S102" i="5"/>
  <c r="S115" i="5"/>
  <c r="I172" i="4"/>
  <c r="I143" i="4"/>
  <c r="F79" i="6"/>
  <c r="F56" i="6"/>
  <c r="J121" i="7"/>
  <c r="S124" i="7"/>
  <c r="T121" i="6"/>
  <c r="V94" i="5"/>
  <c r="V120" i="5" s="1"/>
  <c r="V121" i="5"/>
  <c r="I54" i="4"/>
  <c r="I102" i="4"/>
  <c r="I153" i="4"/>
  <c r="J121" i="24"/>
  <c r="E129" i="19"/>
  <c r="E88" i="19"/>
  <c r="Q275" i="22"/>
  <c r="L276" i="24"/>
  <c r="L121" i="24"/>
  <c r="J298" i="23"/>
  <c r="J257" i="23"/>
  <c r="U120" i="22"/>
  <c r="D120" i="22"/>
  <c r="O198" i="22"/>
  <c r="O276" i="20"/>
  <c r="F199" i="20"/>
  <c r="O199" i="20"/>
  <c r="D129" i="19"/>
  <c r="D88" i="19"/>
  <c r="P276" i="18"/>
  <c r="K121" i="18"/>
  <c r="G89" i="17"/>
  <c r="G130" i="17"/>
  <c r="V275" i="16"/>
  <c r="F213" i="13"/>
  <c r="H129" i="13"/>
  <c r="M120" i="12"/>
  <c r="I47" i="11"/>
  <c r="I296" i="11"/>
  <c r="E120" i="10"/>
  <c r="G132" i="9"/>
  <c r="P120" i="9"/>
  <c r="T79" i="7"/>
  <c r="K33" i="7"/>
  <c r="O81" i="7"/>
  <c r="I99" i="9"/>
  <c r="R99" i="9" s="1"/>
  <c r="I98" i="9"/>
  <c r="R79" i="9"/>
  <c r="R56" i="9"/>
  <c r="R23" i="9"/>
  <c r="I22" i="9"/>
  <c r="R121" i="9"/>
  <c r="R88" i="9"/>
  <c r="E47" i="7"/>
  <c r="N48" i="7"/>
  <c r="O95" i="7"/>
  <c r="K102" i="6"/>
  <c r="K103" i="6"/>
  <c r="K115" i="6"/>
  <c r="M54" i="7"/>
  <c r="S83" i="7"/>
  <c r="J79" i="7"/>
  <c r="J173" i="17" s="1"/>
  <c r="U72" i="5"/>
  <c r="U45" i="5"/>
  <c r="I66" i="6"/>
  <c r="I54" i="6"/>
  <c r="I53" i="6"/>
  <c r="D154" i="6"/>
  <c r="D104" i="6"/>
  <c r="D55" i="6"/>
  <c r="O52" i="7"/>
  <c r="D94" i="5"/>
  <c r="D121" i="5"/>
  <c r="O152" i="4"/>
  <c r="O180" i="4" s="1"/>
  <c r="O114" i="4"/>
  <c r="O100" i="4"/>
  <c r="P52" i="7"/>
  <c r="R56" i="5"/>
  <c r="R79" i="5"/>
  <c r="V153" i="5"/>
  <c r="V181" i="5" s="1"/>
  <c r="V152" i="5"/>
  <c r="V167" i="5"/>
  <c r="U103" i="5"/>
  <c r="U129" i="5" s="1"/>
  <c r="U115" i="5"/>
  <c r="U102" i="5"/>
  <c r="F127" i="4"/>
  <c r="F130" i="4" s="1"/>
  <c r="F103" i="4"/>
  <c r="N52" i="4"/>
  <c r="N53" i="4"/>
  <c r="N79" i="4" s="1"/>
  <c r="N65" i="4"/>
  <c r="S152" i="5"/>
  <c r="S167" i="5"/>
  <c r="M66" i="5"/>
  <c r="N64" i="7"/>
  <c r="N115" i="5"/>
  <c r="N103" i="5"/>
  <c r="N129" i="5" s="1"/>
  <c r="N102" i="5"/>
  <c r="P79" i="6"/>
  <c r="P56" i="6"/>
  <c r="R104" i="6"/>
  <c r="R55" i="6"/>
  <c r="R154" i="6"/>
  <c r="J120" i="8"/>
  <c r="S120" i="8" s="1"/>
  <c r="S121" i="8"/>
  <c r="F154" i="5"/>
  <c r="F104" i="5"/>
  <c r="F55" i="5"/>
  <c r="N151" i="4"/>
  <c r="N152" i="4"/>
  <c r="N180" i="4" s="1"/>
  <c r="N166" i="4"/>
  <c r="D100" i="4"/>
  <c r="D101" i="4"/>
  <c r="D128" i="4" s="1"/>
  <c r="D114" i="4"/>
  <c r="U104" i="6"/>
  <c r="U55" i="6"/>
  <c r="U154" i="6"/>
  <c r="G94" i="5"/>
  <c r="G120" i="5" s="1"/>
  <c r="G121" i="5"/>
  <c r="U71" i="4"/>
  <c r="T125" i="7"/>
  <c r="V130" i="4"/>
  <c r="I78" i="4"/>
  <c r="I55" i="4"/>
  <c r="R154" i="4"/>
  <c r="O94" i="7"/>
  <c r="J90" i="21"/>
  <c r="J131" i="21"/>
  <c r="I172" i="19"/>
  <c r="I213" i="19"/>
  <c r="F257" i="25"/>
  <c r="F298" i="25"/>
  <c r="D275" i="22"/>
  <c r="K275" i="22"/>
  <c r="H215" i="21"/>
  <c r="P199" i="18"/>
  <c r="Q199" i="18"/>
  <c r="D256" i="17"/>
  <c r="D297" i="17"/>
  <c r="I297" i="17"/>
  <c r="I256" i="17"/>
  <c r="M121" i="18"/>
  <c r="F173" i="17"/>
  <c r="E128" i="15"/>
  <c r="E88" i="15"/>
  <c r="T120" i="16"/>
  <c r="D295" i="15"/>
  <c r="D254" i="15"/>
  <c r="K212" i="15"/>
  <c r="I296" i="13"/>
  <c r="H296" i="13"/>
  <c r="P120" i="12"/>
  <c r="Q92" i="9"/>
  <c r="S14" i="9"/>
  <c r="S32" i="9"/>
  <c r="S17" i="9"/>
  <c r="R55" i="9"/>
  <c r="I67" i="9"/>
  <c r="R67" i="9" s="1"/>
  <c r="D33" i="8"/>
  <c r="M66" i="8" s="1"/>
  <c r="M27" i="8"/>
  <c r="M19" i="8"/>
  <c r="M30" i="8"/>
  <c r="M22" i="8"/>
  <c r="M14" i="8"/>
  <c r="M34" i="8"/>
  <c r="M25" i="8"/>
  <c r="M17" i="8"/>
  <c r="M31" i="8"/>
  <c r="M23" i="8"/>
  <c r="M15" i="8"/>
  <c r="M26" i="8"/>
  <c r="M18" i="8"/>
  <c r="M29" i="8"/>
  <c r="M21" i="8"/>
  <c r="M67" i="8"/>
  <c r="M20" i="8"/>
  <c r="M32" i="8"/>
  <c r="M16" i="8"/>
  <c r="M24" i="8"/>
  <c r="M28" i="8"/>
  <c r="S67" i="9"/>
  <c r="P29" i="8"/>
  <c r="I131" i="8"/>
  <c r="R131" i="8" s="1"/>
  <c r="R112" i="8"/>
  <c r="O54" i="7"/>
  <c r="H121" i="6"/>
  <c r="H94" i="6"/>
  <c r="P27" i="8"/>
  <c r="O58" i="7"/>
  <c r="F56" i="7"/>
  <c r="O57" i="7"/>
  <c r="S22" i="9"/>
  <c r="D53" i="6"/>
  <c r="D66" i="6"/>
  <c r="D54" i="6"/>
  <c r="D80" i="6" s="1"/>
  <c r="S45" i="6"/>
  <c r="J102" i="5"/>
  <c r="J115" i="5"/>
  <c r="J103" i="5"/>
  <c r="J129" i="5" s="1"/>
  <c r="O128" i="7"/>
  <c r="G72" i="6"/>
  <c r="G45" i="6"/>
  <c r="E72" i="5"/>
  <c r="E45" i="5"/>
  <c r="H66" i="6"/>
  <c r="H54" i="6"/>
  <c r="H53" i="6"/>
  <c r="H103" i="5"/>
  <c r="H102" i="5"/>
  <c r="H115" i="5"/>
  <c r="Q143" i="4"/>
  <c r="Q172" i="4"/>
  <c r="R114" i="4"/>
  <c r="R101" i="4"/>
  <c r="R128" i="4" s="1"/>
  <c r="R100" i="4"/>
  <c r="M74" i="4"/>
  <c r="M44" i="4"/>
  <c r="M70" i="4" s="1"/>
  <c r="F153" i="5"/>
  <c r="F181" i="5" s="1"/>
  <c r="F152" i="5"/>
  <c r="F167" i="5"/>
  <c r="E103" i="5"/>
  <c r="E129" i="5" s="1"/>
  <c r="E115" i="5"/>
  <c r="E102" i="5"/>
  <c r="G176" i="5"/>
  <c r="L143" i="4"/>
  <c r="L172" i="4"/>
  <c r="V53" i="5"/>
  <c r="V66" i="5"/>
  <c r="G44" i="4"/>
  <c r="G71" i="4"/>
  <c r="P66" i="6"/>
  <c r="R28" i="6"/>
  <c r="R181" i="6" s="1"/>
  <c r="J152" i="4"/>
  <c r="J180" i="4" s="1"/>
  <c r="G127" i="4"/>
  <c r="G103" i="4"/>
  <c r="V179" i="4"/>
  <c r="V154" i="4"/>
  <c r="E129" i="13"/>
  <c r="E89" i="13"/>
  <c r="U121" i="26"/>
  <c r="E121" i="18"/>
  <c r="J298" i="27"/>
  <c r="J257" i="27"/>
  <c r="G298" i="27"/>
  <c r="G257" i="27"/>
  <c r="T276" i="26"/>
  <c r="I47" i="25"/>
  <c r="I298" i="25"/>
  <c r="I131" i="25"/>
  <c r="I215" i="25"/>
  <c r="G215" i="25"/>
  <c r="J276" i="24"/>
  <c r="J90" i="25"/>
  <c r="J131" i="25"/>
  <c r="I215" i="23"/>
  <c r="I174" i="23"/>
  <c r="M275" i="22"/>
  <c r="M198" i="22"/>
  <c r="L120" i="22"/>
  <c r="E298" i="21"/>
  <c r="E257" i="21"/>
  <c r="I131" i="21"/>
  <c r="I90" i="21"/>
  <c r="F255" i="19"/>
  <c r="F296" i="19"/>
  <c r="I296" i="19"/>
  <c r="D121" i="18"/>
  <c r="D255" i="19"/>
  <c r="D296" i="19"/>
  <c r="K199" i="18"/>
  <c r="I199" i="18"/>
  <c r="F121" i="18"/>
  <c r="S121" i="18"/>
  <c r="F214" i="17"/>
  <c r="F295" i="15"/>
  <c r="F254" i="15"/>
  <c r="R198" i="16"/>
  <c r="N120" i="14"/>
  <c r="E296" i="13"/>
  <c r="E255" i="13"/>
  <c r="K120" i="12"/>
  <c r="I120" i="10"/>
  <c r="S18" i="9"/>
  <c r="Q198" i="10"/>
  <c r="P55" i="9"/>
  <c r="P115" i="7"/>
  <c r="J112" i="7"/>
  <c r="S113" i="7"/>
  <c r="D125" i="7"/>
  <c r="M127" i="7"/>
  <c r="P24" i="8"/>
  <c r="E99" i="8"/>
  <c r="N99" i="8" s="1"/>
  <c r="E98" i="8"/>
  <c r="N98" i="8" s="1"/>
  <c r="N79" i="8"/>
  <c r="S27" i="9"/>
  <c r="M60" i="7"/>
  <c r="P20" i="8"/>
  <c r="O127" i="7"/>
  <c r="F125" i="7"/>
  <c r="O125" i="7" s="1"/>
  <c r="P31" i="8"/>
  <c r="D92" i="7"/>
  <c r="M96" i="7"/>
  <c r="D55" i="7"/>
  <c r="Q19" i="6"/>
  <c r="Q72" i="6"/>
  <c r="U53" i="6"/>
  <c r="U66" i="6"/>
  <c r="U54" i="6"/>
  <c r="U80" i="6" s="1"/>
  <c r="H34" i="7"/>
  <c r="H33" i="7"/>
  <c r="P180" i="6"/>
  <c r="P155" i="6"/>
  <c r="D132" i="8"/>
  <c r="M132" i="8" s="1"/>
  <c r="O14" i="8"/>
  <c r="O112" i="8"/>
  <c r="F34" i="8"/>
  <c r="S20" i="9"/>
  <c r="K53" i="6"/>
  <c r="K66" i="6"/>
  <c r="K54" i="6"/>
  <c r="O85" i="7"/>
  <c r="U101" i="4"/>
  <c r="U128" i="4" s="1"/>
  <c r="U114" i="4"/>
  <c r="U100" i="4"/>
  <c r="S94" i="5"/>
  <c r="S120" i="5" s="1"/>
  <c r="S121" i="5"/>
  <c r="D143" i="4"/>
  <c r="D171" i="4" s="1"/>
  <c r="D172" i="4"/>
  <c r="I71" i="5"/>
  <c r="F53" i="5"/>
  <c r="F66" i="5"/>
  <c r="K55" i="8"/>
  <c r="Q102" i="5"/>
  <c r="Q103" i="5"/>
  <c r="Q129" i="5" s="1"/>
  <c r="Q115" i="5"/>
  <c r="Q59" i="7"/>
  <c r="L79" i="5"/>
  <c r="L56" i="5"/>
  <c r="H53" i="4"/>
  <c r="H79" i="4" s="1"/>
  <c r="I154" i="5"/>
  <c r="I104" i="5"/>
  <c r="I55" i="5"/>
  <c r="S120" i="6"/>
  <c r="L127" i="4"/>
  <c r="L130" i="4" s="1"/>
  <c r="L103" i="4"/>
  <c r="M119" i="4"/>
  <c r="V152" i="4"/>
  <c r="V180" i="4" s="1"/>
  <c r="U119" i="4"/>
  <c r="E295" i="15"/>
  <c r="E254" i="15"/>
  <c r="F33" i="9"/>
  <c r="F34" i="9"/>
  <c r="O14" i="9"/>
  <c r="F120" i="9"/>
  <c r="O125" i="9"/>
  <c r="K276" i="20"/>
  <c r="E199" i="26"/>
  <c r="D215" i="27"/>
  <c r="D174" i="27"/>
  <c r="P198" i="22"/>
  <c r="G275" i="22"/>
  <c r="G120" i="22"/>
  <c r="L276" i="20"/>
  <c r="L121" i="20"/>
  <c r="E199" i="20"/>
  <c r="P121" i="18"/>
  <c r="D120" i="16"/>
  <c r="P197" i="14"/>
  <c r="H128" i="15"/>
  <c r="K128" i="15"/>
  <c r="K88" i="15"/>
  <c r="Q120" i="12"/>
  <c r="F296" i="11"/>
  <c r="E296" i="11"/>
  <c r="J129" i="11"/>
  <c r="M98" i="8"/>
  <c r="I275" i="10"/>
  <c r="Q112" i="9"/>
  <c r="H33" i="9"/>
  <c r="Q98" i="9" s="1"/>
  <c r="H34" i="9"/>
  <c r="Q14" i="9"/>
  <c r="J296" i="11"/>
  <c r="S112" i="9"/>
  <c r="J131" i="9"/>
  <c r="S131" i="9" s="1"/>
  <c r="J132" i="9"/>
  <c r="S132" i="9" s="1"/>
  <c r="D14" i="7"/>
  <c r="D47" i="17" s="1"/>
  <c r="M81" i="7"/>
  <c r="E88" i="7"/>
  <c r="N89" i="7"/>
  <c r="E121" i="7"/>
  <c r="N124" i="7"/>
  <c r="K34" i="9"/>
  <c r="T27" i="9" s="1"/>
  <c r="K33" i="9"/>
  <c r="Q173" i="6"/>
  <c r="Q144" i="6"/>
  <c r="P25" i="8"/>
  <c r="K28" i="6"/>
  <c r="K27" i="6"/>
  <c r="O173" i="6"/>
  <c r="O144" i="6"/>
  <c r="J27" i="6"/>
  <c r="J28" i="6"/>
  <c r="V121" i="6"/>
  <c r="V94" i="6"/>
  <c r="P153" i="6"/>
  <c r="P181" i="6" s="1"/>
  <c r="M131" i="8"/>
  <c r="U172" i="4"/>
  <c r="U143" i="4"/>
  <c r="F14" i="7"/>
  <c r="O79" i="7" s="1"/>
  <c r="O80" i="7"/>
  <c r="O48" i="7"/>
  <c r="T47" i="7"/>
  <c r="M167" i="6"/>
  <c r="M152" i="6"/>
  <c r="G54" i="5"/>
  <c r="G80" i="5" s="1"/>
  <c r="G53" i="5"/>
  <c r="G66" i="5"/>
  <c r="L180" i="6"/>
  <c r="L155" i="6"/>
  <c r="P50" i="7"/>
  <c r="E101" i="4"/>
  <c r="E128" i="4" s="1"/>
  <c r="E100" i="4"/>
  <c r="E114" i="4"/>
  <c r="P172" i="5"/>
  <c r="J71" i="4"/>
  <c r="J44" i="4"/>
  <c r="O154" i="4"/>
  <c r="O179" i="4"/>
  <c r="K103" i="5"/>
  <c r="K129" i="5" s="1"/>
  <c r="K19" i="3"/>
  <c r="Q79" i="6"/>
  <c r="Q56" i="6"/>
  <c r="P18" i="4"/>
  <c r="P27" i="4" s="1"/>
  <c r="P79" i="4" s="1"/>
  <c r="E132" i="8"/>
  <c r="N132" i="8" s="1"/>
  <c r="I179" i="4"/>
  <c r="I154" i="4"/>
  <c r="E70" i="4"/>
  <c r="V92" i="4"/>
  <c r="U120" i="4"/>
  <c r="G172" i="11"/>
  <c r="G213" i="11"/>
  <c r="M47" i="7"/>
  <c r="D66" i="7"/>
  <c r="D89" i="11" s="1"/>
  <c r="D67" i="7"/>
  <c r="E47" i="25"/>
  <c r="E298" i="25"/>
  <c r="H121" i="24"/>
  <c r="F298" i="23"/>
  <c r="F257" i="23"/>
  <c r="Q198" i="22"/>
  <c r="K298" i="27"/>
  <c r="K257" i="27"/>
  <c r="K276" i="24"/>
  <c r="N276" i="26"/>
  <c r="K131" i="27"/>
  <c r="K90" i="27"/>
  <c r="J199" i="26"/>
  <c r="H199" i="26"/>
  <c r="E215" i="25"/>
  <c r="E174" i="25"/>
  <c r="J199" i="24"/>
  <c r="F298" i="27"/>
  <c r="F257" i="27"/>
  <c r="L276" i="26"/>
  <c r="V276" i="26"/>
  <c r="O199" i="26"/>
  <c r="E90" i="25"/>
  <c r="E131" i="25"/>
  <c r="G121" i="24"/>
  <c r="K121" i="24"/>
  <c r="R121" i="24"/>
  <c r="U198" i="22"/>
  <c r="O120" i="22"/>
  <c r="I298" i="21"/>
  <c r="P276" i="20"/>
  <c r="Q199" i="20"/>
  <c r="F129" i="19"/>
  <c r="F88" i="19"/>
  <c r="S275" i="16"/>
  <c r="Q275" i="16"/>
  <c r="V120" i="16"/>
  <c r="F297" i="17"/>
  <c r="T274" i="14"/>
  <c r="L120" i="16"/>
  <c r="U276" i="12"/>
  <c r="J276" i="12"/>
  <c r="H296" i="11"/>
  <c r="K255" i="13"/>
  <c r="Q125" i="9"/>
  <c r="H120" i="9"/>
  <c r="F98" i="9"/>
  <c r="O79" i="9"/>
  <c r="F99" i="9"/>
  <c r="O99" i="9" s="1"/>
  <c r="T120" i="7"/>
  <c r="T55" i="9"/>
  <c r="E87" i="8"/>
  <c r="N87" i="8" s="1"/>
  <c r="N88" i="8"/>
  <c r="H131" i="8"/>
  <c r="Q112" i="8"/>
  <c r="Q122" i="7"/>
  <c r="H121" i="7"/>
  <c r="L275" i="10"/>
  <c r="E34" i="9"/>
  <c r="E33" i="9"/>
  <c r="M49" i="7"/>
  <c r="R275" i="10"/>
  <c r="G120" i="8"/>
  <c r="P94" i="7"/>
  <c r="G92" i="7"/>
  <c r="P92" i="7" s="1"/>
  <c r="M97" i="7"/>
  <c r="T152" i="6"/>
  <c r="T167" i="6"/>
  <c r="T153" i="6"/>
  <c r="T181" i="6" s="1"/>
  <c r="J22" i="7"/>
  <c r="F121" i="6"/>
  <c r="F94" i="6"/>
  <c r="G27" i="6"/>
  <c r="G28" i="6"/>
  <c r="G167" i="6"/>
  <c r="G153" i="6"/>
  <c r="G181" i="6" s="1"/>
  <c r="G152" i="6"/>
  <c r="E172" i="4"/>
  <c r="E143" i="4"/>
  <c r="E171" i="4" s="1"/>
  <c r="H27" i="7"/>
  <c r="Q60" i="7" s="1"/>
  <c r="R172" i="4"/>
  <c r="R143" i="4"/>
  <c r="Q23" i="7"/>
  <c r="H22" i="7"/>
  <c r="M33" i="9"/>
  <c r="E22" i="7"/>
  <c r="R71" i="6"/>
  <c r="V45" i="5"/>
  <c r="V71" i="5" s="1"/>
  <c r="V72" i="5"/>
  <c r="L102" i="6"/>
  <c r="L115" i="6"/>
  <c r="L103" i="6"/>
  <c r="L129" i="6" s="1"/>
  <c r="P143" i="4"/>
  <c r="P172" i="4"/>
  <c r="I27" i="6"/>
  <c r="I28" i="6"/>
  <c r="Q172" i="5"/>
  <c r="U179" i="4"/>
  <c r="U154" i="4"/>
  <c r="I173" i="5"/>
  <c r="K53" i="4"/>
  <c r="K79" i="4" s="1"/>
  <c r="K52" i="4"/>
  <c r="K65" i="4"/>
  <c r="H67" i="7"/>
  <c r="Q47" i="7"/>
  <c r="H66" i="7"/>
  <c r="R153" i="4"/>
  <c r="R102" i="4"/>
  <c r="R54" i="4"/>
  <c r="N131" i="8"/>
  <c r="U79" i="4"/>
  <c r="D79" i="5"/>
  <c r="D56" i="5"/>
  <c r="R55" i="7"/>
  <c r="I27" i="4"/>
  <c r="I128" i="4" s="1"/>
  <c r="R54" i="5"/>
  <c r="R80" i="5" s="1"/>
  <c r="D298" i="25"/>
  <c r="D257" i="25"/>
  <c r="E215" i="21"/>
  <c r="E174" i="21"/>
  <c r="Q120" i="22"/>
  <c r="F257" i="21"/>
  <c r="F298" i="21"/>
  <c r="K298" i="21"/>
  <c r="K47" i="21"/>
  <c r="K131" i="21"/>
  <c r="K213" i="19"/>
  <c r="K172" i="19"/>
  <c r="G46" i="15"/>
  <c r="E212" i="15"/>
  <c r="E171" i="15"/>
  <c r="F172" i="11"/>
  <c r="F213" i="11"/>
  <c r="R125" i="9"/>
  <c r="R92" i="9"/>
  <c r="R27" i="9"/>
  <c r="K213" i="11"/>
  <c r="K172" i="11"/>
  <c r="F129" i="11"/>
  <c r="E198" i="10"/>
  <c r="E92" i="7"/>
  <c r="N92" i="7" s="1"/>
  <c r="N93" i="7"/>
  <c r="P79" i="8"/>
  <c r="G98" i="8"/>
  <c r="G99" i="8"/>
  <c r="P99" i="8" s="1"/>
  <c r="Q113" i="7"/>
  <c r="H112" i="7"/>
  <c r="H120" i="8"/>
  <c r="Q120" i="8" s="1"/>
  <c r="Q121" i="8"/>
  <c r="J167" i="6"/>
  <c r="J153" i="6"/>
  <c r="J152" i="6"/>
  <c r="M119" i="7"/>
  <c r="P92" i="9"/>
  <c r="G87" i="9"/>
  <c r="P103" i="6"/>
  <c r="P129" i="6" s="1"/>
  <c r="P115" i="6"/>
  <c r="P102" i="6"/>
  <c r="N55" i="9"/>
  <c r="E102" i="6"/>
  <c r="E115" i="6"/>
  <c r="E103" i="6"/>
  <c r="E129" i="6" s="1"/>
  <c r="H27" i="6"/>
  <c r="H128" i="6" s="1"/>
  <c r="H28" i="6"/>
  <c r="J33" i="7"/>
  <c r="J47" i="11" s="1"/>
  <c r="N94" i="6"/>
  <c r="N120" i="6" s="1"/>
  <c r="N121" i="6"/>
  <c r="K120" i="6"/>
  <c r="S144" i="5"/>
  <c r="S172" i="5" s="1"/>
  <c r="S173" i="5"/>
  <c r="R103" i="6"/>
  <c r="R129" i="6" s="1"/>
  <c r="R102" i="6"/>
  <c r="R115" i="6"/>
  <c r="M104" i="6"/>
  <c r="M55" i="6"/>
  <c r="M154" i="6"/>
  <c r="V103" i="5"/>
  <c r="V129" i="5" s="1"/>
  <c r="V102" i="5"/>
  <c r="V115" i="5"/>
  <c r="K132" i="7"/>
  <c r="K131" i="7"/>
  <c r="T112" i="7"/>
  <c r="R102" i="5"/>
  <c r="R115" i="5"/>
  <c r="R103" i="5"/>
  <c r="R129" i="5" s="1"/>
  <c r="K100" i="4"/>
  <c r="K101" i="4"/>
  <c r="K128" i="4" s="1"/>
  <c r="K114" i="4"/>
  <c r="K128" i="5"/>
  <c r="K105" i="5"/>
  <c r="N167" i="5"/>
  <c r="N153" i="5"/>
  <c r="N181" i="5" s="1"/>
  <c r="N152" i="5"/>
  <c r="T79" i="5"/>
  <c r="T56" i="5"/>
  <c r="J78" i="4"/>
  <c r="J81" i="4" s="1"/>
  <c r="J55" i="4"/>
  <c r="M45" i="5"/>
  <c r="M75" i="5"/>
  <c r="T53" i="4"/>
  <c r="T79" i="4" s="1"/>
  <c r="O19" i="3"/>
  <c r="F92" i="4"/>
  <c r="H127" i="4"/>
  <c r="H130" i="4" s="1"/>
  <c r="H103" i="4"/>
  <c r="D213" i="13"/>
  <c r="D172" i="13"/>
  <c r="I129" i="11"/>
  <c r="I89" i="11"/>
  <c r="E275" i="10"/>
  <c r="J213" i="11"/>
  <c r="D87" i="9"/>
  <c r="M88" i="9"/>
  <c r="P84" i="7"/>
  <c r="N92" i="9"/>
  <c r="T79" i="9"/>
  <c r="K99" i="9"/>
  <c r="K98" i="9"/>
  <c r="T14" i="8"/>
  <c r="K34" i="8"/>
  <c r="Q153" i="6"/>
  <c r="Q152" i="6"/>
  <c r="Q167" i="6"/>
  <c r="T22" i="9"/>
  <c r="O50" i="7"/>
  <c r="F27" i="7"/>
  <c r="O61" i="7"/>
  <c r="O93" i="7"/>
  <c r="I67" i="7"/>
  <c r="I66" i="7"/>
  <c r="R47" i="7"/>
  <c r="E53" i="6"/>
  <c r="E66" i="6"/>
  <c r="E54" i="6"/>
  <c r="E80" i="6" s="1"/>
  <c r="J115" i="6"/>
  <c r="J103" i="6"/>
  <c r="J129" i="6" s="1"/>
  <c r="J102" i="6"/>
  <c r="V27" i="6"/>
  <c r="V128" i="6" s="1"/>
  <c r="V28" i="6"/>
  <c r="V167" i="6"/>
  <c r="O27" i="8"/>
  <c r="M22" i="9"/>
  <c r="I33" i="7"/>
  <c r="I34" i="7"/>
  <c r="O90" i="7"/>
  <c r="F88" i="7"/>
  <c r="S103" i="6"/>
  <c r="S129" i="6" s="1"/>
  <c r="S102" i="6"/>
  <c r="S115" i="6"/>
  <c r="F45" i="5"/>
  <c r="F71" i="5" s="1"/>
  <c r="F72" i="5"/>
  <c r="E55" i="4"/>
  <c r="E78" i="4"/>
  <c r="E81" i="4" s="1"/>
  <c r="F103" i="5"/>
  <c r="F129" i="5" s="1"/>
  <c r="F102" i="5"/>
  <c r="F115" i="5"/>
  <c r="K71" i="4"/>
  <c r="K44" i="4"/>
  <c r="K70" i="4" s="1"/>
  <c r="T56" i="7"/>
  <c r="K55" i="7"/>
  <c r="T173" i="6"/>
  <c r="N101" i="4"/>
  <c r="N128" i="4" s="1"/>
  <c r="R79" i="4"/>
  <c r="K104" i="6" l="1"/>
  <c r="K55" i="6"/>
  <c r="K154" i="6"/>
  <c r="H80" i="6"/>
  <c r="D120" i="5"/>
  <c r="D103" i="5"/>
  <c r="D129" i="5" s="1"/>
  <c r="K105" i="6"/>
  <c r="K128" i="6"/>
  <c r="K47" i="11"/>
  <c r="S103" i="5"/>
  <c r="S129" i="5" s="1"/>
  <c r="S154" i="5"/>
  <c r="S104" i="5"/>
  <c r="S55" i="5"/>
  <c r="N67" i="9"/>
  <c r="J180" i="5"/>
  <c r="J155" i="5"/>
  <c r="Q56" i="5"/>
  <c r="Q79" i="5"/>
  <c r="L78" i="4"/>
  <c r="L55" i="4"/>
  <c r="U120" i="6"/>
  <c r="U103" i="6"/>
  <c r="U129" i="6" s="1"/>
  <c r="Q125" i="7"/>
  <c r="Q155" i="5"/>
  <c r="Q180" i="5"/>
  <c r="T67" i="9"/>
  <c r="G104" i="6"/>
  <c r="G154" i="6"/>
  <c r="G55" i="6"/>
  <c r="N155" i="5"/>
  <c r="N180" i="5"/>
  <c r="K78" i="4"/>
  <c r="K55" i="4"/>
  <c r="G128" i="5"/>
  <c r="G105" i="5"/>
  <c r="Q70" i="4"/>
  <c r="Q53" i="4"/>
  <c r="Q79" i="4" s="1"/>
  <c r="G255" i="11"/>
  <c r="V105" i="6"/>
  <c r="T105" i="6"/>
  <c r="T128" i="6"/>
  <c r="O87" i="8"/>
  <c r="F99" i="8"/>
  <c r="O99" i="8" s="1"/>
  <c r="L71" i="5"/>
  <c r="L54" i="5"/>
  <c r="L80" i="5" s="1"/>
  <c r="T66" i="9"/>
  <c r="F55" i="7"/>
  <c r="O56" i="7"/>
  <c r="J70" i="4"/>
  <c r="J53" i="4"/>
  <c r="J79" i="4" s="1"/>
  <c r="G130" i="4"/>
  <c r="E71" i="5"/>
  <c r="E54" i="5"/>
  <c r="E80" i="5" s="1"/>
  <c r="U128" i="5"/>
  <c r="U105" i="5"/>
  <c r="H79" i="5"/>
  <c r="H56" i="5"/>
  <c r="I70" i="4"/>
  <c r="I53" i="4"/>
  <c r="I79" i="4" s="1"/>
  <c r="S101" i="4"/>
  <c r="S128" i="4" s="1"/>
  <c r="G103" i="5"/>
  <c r="G129" i="5" s="1"/>
  <c r="Q128" i="6"/>
  <c r="Q105" i="6"/>
  <c r="G33" i="7"/>
  <c r="P131" i="7" s="1"/>
  <c r="G47" i="17"/>
  <c r="P47" i="7"/>
  <c r="R34" i="9"/>
  <c r="R24" i="9"/>
  <c r="R25" i="9"/>
  <c r="R28" i="9"/>
  <c r="R29" i="9"/>
  <c r="R18" i="9"/>
  <c r="R21" i="9"/>
  <c r="R31" i="9"/>
  <c r="R132" i="9"/>
  <c r="R26" i="9"/>
  <c r="R20" i="9"/>
  <c r="R19" i="9"/>
  <c r="R30" i="9"/>
  <c r="R17" i="9"/>
  <c r="R16" i="9"/>
  <c r="R15" i="9"/>
  <c r="R32" i="9"/>
  <c r="F55" i="4"/>
  <c r="F78" i="4"/>
  <c r="F81" i="4" s="1"/>
  <c r="L172" i="5"/>
  <c r="L153" i="5"/>
  <c r="L181" i="5" s="1"/>
  <c r="V55" i="4"/>
  <c r="V78" i="4"/>
  <c r="S56" i="5"/>
  <c r="P81" i="4"/>
  <c r="F154" i="6"/>
  <c r="F104" i="6"/>
  <c r="F55" i="6"/>
  <c r="O55" i="9"/>
  <c r="F67" i="9"/>
  <c r="O67" i="9" s="1"/>
  <c r="E98" i="7"/>
  <c r="N79" i="7"/>
  <c r="E173" i="17"/>
  <c r="R131" i="7"/>
  <c r="I255" i="11"/>
  <c r="V128" i="5"/>
  <c r="V105" i="5"/>
  <c r="Q112" i="7"/>
  <c r="H131" i="7"/>
  <c r="H256" i="17"/>
  <c r="N22" i="7"/>
  <c r="S103" i="4"/>
  <c r="S127" i="4"/>
  <c r="S130" i="4" s="1"/>
  <c r="V154" i="6"/>
  <c r="V104" i="6"/>
  <c r="V55" i="6"/>
  <c r="V180" i="6"/>
  <c r="V155" i="6"/>
  <c r="J128" i="6"/>
  <c r="J105" i="6"/>
  <c r="P70" i="4"/>
  <c r="Q121" i="7"/>
  <c r="H120" i="7"/>
  <c r="Q120" i="7" s="1"/>
  <c r="F180" i="5"/>
  <c r="F155" i="5"/>
  <c r="M33" i="8"/>
  <c r="D47" i="13"/>
  <c r="E66" i="7"/>
  <c r="N47" i="7"/>
  <c r="E89" i="17"/>
  <c r="H80" i="5"/>
  <c r="P128" i="4"/>
  <c r="E180" i="6"/>
  <c r="E155" i="6"/>
  <c r="P112" i="7"/>
  <c r="R14" i="9"/>
  <c r="P104" i="6"/>
  <c r="P55" i="6"/>
  <c r="P154" i="6"/>
  <c r="S71" i="5"/>
  <c r="S54" i="5"/>
  <c r="S80" i="5" s="1"/>
  <c r="R132" i="7"/>
  <c r="D131" i="7"/>
  <c r="M112" i="7"/>
  <c r="F128" i="5"/>
  <c r="F105" i="5"/>
  <c r="F120" i="6"/>
  <c r="F103" i="6"/>
  <c r="F129" i="6" s="1"/>
  <c r="N18" i="9"/>
  <c r="N19" i="9"/>
  <c r="N20" i="9"/>
  <c r="N34" i="9"/>
  <c r="N21" i="9"/>
  <c r="N24" i="9"/>
  <c r="N25" i="9"/>
  <c r="N30" i="9"/>
  <c r="N23" i="9"/>
  <c r="N15" i="9"/>
  <c r="N26" i="9"/>
  <c r="N32" i="9"/>
  <c r="N31" i="9"/>
  <c r="N17" i="9"/>
  <c r="N28" i="9"/>
  <c r="N29" i="9"/>
  <c r="N16" i="9"/>
  <c r="Q180" i="6"/>
  <c r="Q155" i="6"/>
  <c r="E128" i="6"/>
  <c r="E105" i="6"/>
  <c r="P98" i="8"/>
  <c r="G172" i="13"/>
  <c r="Q22" i="7"/>
  <c r="Q172" i="6"/>
  <c r="O120" i="9"/>
  <c r="F132" i="9"/>
  <c r="O132" i="9" s="1"/>
  <c r="Q33" i="7"/>
  <c r="H47" i="11"/>
  <c r="G71" i="6"/>
  <c r="G54" i="6"/>
  <c r="G80" i="6" s="1"/>
  <c r="P132" i="9"/>
  <c r="O105" i="5"/>
  <c r="O128" i="5"/>
  <c r="O172" i="5"/>
  <c r="O153" i="5"/>
  <c r="O181" i="5" s="1"/>
  <c r="Q55" i="8"/>
  <c r="H34" i="8"/>
  <c r="Q99" i="8" s="1"/>
  <c r="Q87" i="8"/>
  <c r="P55" i="8"/>
  <c r="G67" i="8"/>
  <c r="P67" i="8" s="1"/>
  <c r="P103" i="4"/>
  <c r="P127" i="4"/>
  <c r="P130" i="4" s="1"/>
  <c r="R33" i="9"/>
  <c r="R66" i="9"/>
  <c r="O81" i="4"/>
  <c r="P22" i="9"/>
  <c r="E172" i="5"/>
  <c r="E153" i="5"/>
  <c r="E181" i="5" s="1"/>
  <c r="O71" i="5"/>
  <c r="O54" i="5"/>
  <c r="O80" i="5" s="1"/>
  <c r="F33" i="7"/>
  <c r="O98" i="7" s="1"/>
  <c r="U127" i="4"/>
  <c r="U103" i="4"/>
  <c r="Q34" i="7"/>
  <c r="Q19" i="7"/>
  <c r="Q28" i="7"/>
  <c r="Q15" i="7"/>
  <c r="Q31" i="7"/>
  <c r="Q20" i="7"/>
  <c r="Q24" i="7"/>
  <c r="Q29" i="7"/>
  <c r="Q32" i="7"/>
  <c r="Q17" i="7"/>
  <c r="Q21" i="7"/>
  <c r="Q18" i="7"/>
  <c r="Q25" i="7"/>
  <c r="Q16" i="7"/>
  <c r="H120" i="6"/>
  <c r="H103" i="6"/>
  <c r="H129" i="6" s="1"/>
  <c r="N105" i="5"/>
  <c r="N128" i="5"/>
  <c r="H105" i="6"/>
  <c r="Q98" i="7"/>
  <c r="H172" i="11"/>
  <c r="K154" i="4"/>
  <c r="K179" i="4"/>
  <c r="M53" i="4"/>
  <c r="M79" i="4" s="1"/>
  <c r="P23" i="9"/>
  <c r="P71" i="6"/>
  <c r="P54" i="6"/>
  <c r="P80" i="6" s="1"/>
  <c r="M55" i="9"/>
  <c r="D67" i="9"/>
  <c r="M67" i="9" s="1"/>
  <c r="N79" i="6"/>
  <c r="N56" i="6"/>
  <c r="E131" i="7"/>
  <c r="N112" i="7"/>
  <c r="E256" i="17"/>
  <c r="D180" i="6"/>
  <c r="D155" i="6"/>
  <c r="T34" i="8"/>
  <c r="K33" i="8"/>
  <c r="T98" i="8" s="1"/>
  <c r="T21" i="8"/>
  <c r="T17" i="8"/>
  <c r="T32" i="8"/>
  <c r="T19" i="8"/>
  <c r="T29" i="8"/>
  <c r="T18" i="8"/>
  <c r="T25" i="8"/>
  <c r="T31" i="8"/>
  <c r="T26" i="8"/>
  <c r="T30" i="8"/>
  <c r="T16" i="8"/>
  <c r="T23" i="8"/>
  <c r="T20" i="8"/>
  <c r="T24" i="8"/>
  <c r="T28" i="8"/>
  <c r="T15" i="8"/>
  <c r="R105" i="6"/>
  <c r="R128" i="6"/>
  <c r="P128" i="6"/>
  <c r="P105" i="6"/>
  <c r="R171" i="4"/>
  <c r="R152" i="4"/>
  <c r="R180" i="4" s="1"/>
  <c r="H132" i="8"/>
  <c r="V119" i="4"/>
  <c r="V101" i="4"/>
  <c r="V128" i="4" s="1"/>
  <c r="E127" i="4"/>
  <c r="E130" i="4" s="1"/>
  <c r="E103" i="4"/>
  <c r="U171" i="4"/>
  <c r="U152" i="4"/>
  <c r="U180" i="4" s="1"/>
  <c r="T14" i="9"/>
  <c r="Q34" i="9"/>
  <c r="Q21" i="9"/>
  <c r="Q24" i="9"/>
  <c r="Q17" i="9"/>
  <c r="Q26" i="9"/>
  <c r="Q28" i="9"/>
  <c r="Q18" i="9"/>
  <c r="Q30" i="9"/>
  <c r="Q25" i="9"/>
  <c r="Q20" i="9"/>
  <c r="Q29" i="9"/>
  <c r="Q16" i="9"/>
  <c r="Q15" i="9"/>
  <c r="Q19" i="9"/>
  <c r="Q31" i="9"/>
  <c r="Q32" i="9"/>
  <c r="O19" i="9"/>
  <c r="O20" i="9"/>
  <c r="O34" i="9"/>
  <c r="O21" i="9"/>
  <c r="O25" i="9"/>
  <c r="O31" i="9"/>
  <c r="O15" i="9"/>
  <c r="O26" i="9"/>
  <c r="O24" i="9"/>
  <c r="O32" i="9"/>
  <c r="O29" i="9"/>
  <c r="O16" i="9"/>
  <c r="O23" i="9"/>
  <c r="O27" i="9"/>
  <c r="O17" i="9"/>
  <c r="O30" i="9"/>
  <c r="O18" i="9"/>
  <c r="O28" i="9"/>
  <c r="Q14" i="7"/>
  <c r="T66" i="7"/>
  <c r="V155" i="5"/>
  <c r="V180" i="5"/>
  <c r="I56" i="6"/>
  <c r="I79" i="6"/>
  <c r="R22" i="9"/>
  <c r="R87" i="9"/>
  <c r="R120" i="9"/>
  <c r="H120" i="5"/>
  <c r="P33" i="9"/>
  <c r="P131" i="9"/>
  <c r="I46" i="15"/>
  <c r="P155" i="5"/>
  <c r="P180" i="5"/>
  <c r="P105" i="5"/>
  <c r="P128" i="5"/>
  <c r="I180" i="6"/>
  <c r="I155" i="6"/>
  <c r="Q99" i="7"/>
  <c r="N22" i="9"/>
  <c r="K152" i="4"/>
  <c r="K180" i="4" s="1"/>
  <c r="M78" i="4"/>
  <c r="M55" i="4"/>
  <c r="G120" i="6"/>
  <c r="G103" i="6"/>
  <c r="G129" i="6" s="1"/>
  <c r="U180" i="6"/>
  <c r="U155" i="6"/>
  <c r="T132" i="9"/>
  <c r="E55" i="7"/>
  <c r="N55" i="7" s="1"/>
  <c r="N56" i="7"/>
  <c r="R154" i="5"/>
  <c r="R104" i="5"/>
  <c r="R55" i="5"/>
  <c r="Q55" i="9"/>
  <c r="H67" i="9"/>
  <c r="Q67" i="9" s="1"/>
  <c r="N33" i="9"/>
  <c r="E46" i="15"/>
  <c r="Q33" i="9"/>
  <c r="Q131" i="9"/>
  <c r="G70" i="4"/>
  <c r="G53" i="4"/>
  <c r="D103" i="4"/>
  <c r="D127" i="4"/>
  <c r="D130" i="4" s="1"/>
  <c r="D179" i="4"/>
  <c r="D154" i="4"/>
  <c r="H28" i="5"/>
  <c r="H172" i="5"/>
  <c r="Q120" i="6"/>
  <c r="J80" i="6"/>
  <c r="P33" i="8"/>
  <c r="G47" i="13"/>
  <c r="H154" i="6"/>
  <c r="H55" i="6"/>
  <c r="H104" i="6"/>
  <c r="K46" i="15"/>
  <c r="T33" i="9"/>
  <c r="O33" i="9"/>
  <c r="F46" i="15"/>
  <c r="R103" i="4"/>
  <c r="R127" i="4"/>
  <c r="H46" i="15"/>
  <c r="S47" i="7"/>
  <c r="J67" i="7"/>
  <c r="S67" i="7" s="1"/>
  <c r="J66" i="7"/>
  <c r="V80" i="6"/>
  <c r="T131" i="9"/>
  <c r="E79" i="6"/>
  <c r="E56" i="6"/>
  <c r="T98" i="9"/>
  <c r="F119" i="4"/>
  <c r="F101" i="4"/>
  <c r="F128" i="4" s="1"/>
  <c r="Q27" i="7"/>
  <c r="Q92" i="7"/>
  <c r="T20" i="9"/>
  <c r="T34" i="9"/>
  <c r="T24" i="9"/>
  <c r="T25" i="9"/>
  <c r="T26" i="9"/>
  <c r="T30" i="9"/>
  <c r="T19" i="9"/>
  <c r="T28" i="9"/>
  <c r="T15" i="9"/>
  <c r="T32" i="9"/>
  <c r="T31" i="9"/>
  <c r="T18" i="9"/>
  <c r="T17" i="9"/>
  <c r="T29" i="9"/>
  <c r="T16" i="9"/>
  <c r="T21" i="9"/>
  <c r="T23" i="9"/>
  <c r="Q26" i="7"/>
  <c r="J120" i="7"/>
  <c r="S120" i="7" s="1"/>
  <c r="S121" i="7"/>
  <c r="H180" i="5"/>
  <c r="H155" i="5"/>
  <c r="D172" i="5"/>
  <c r="D153" i="5"/>
  <c r="D181" i="5" s="1"/>
  <c r="R99" i="7"/>
  <c r="I181" i="6"/>
  <c r="I130" i="4"/>
  <c r="S55" i="7"/>
  <c r="E154" i="5"/>
  <c r="E104" i="5"/>
  <c r="E55" i="5"/>
  <c r="E79" i="5"/>
  <c r="E180" i="5"/>
  <c r="E56" i="5"/>
  <c r="E155" i="5"/>
  <c r="D152" i="4"/>
  <c r="D180" i="4" s="1"/>
  <c r="S55" i="4"/>
  <c r="S78" i="4"/>
  <c r="S81" i="4" s="1"/>
  <c r="G180" i="5"/>
  <c r="G155" i="5"/>
  <c r="K153" i="6"/>
  <c r="K181" i="6" s="1"/>
  <c r="G56" i="6"/>
  <c r="T71" i="5"/>
  <c r="T54" i="5"/>
  <c r="T80" i="5" s="1"/>
  <c r="T27" i="8"/>
  <c r="L104" i="6"/>
  <c r="L55" i="6"/>
  <c r="L154" i="6"/>
  <c r="J56" i="6"/>
  <c r="J79" i="6"/>
  <c r="J132" i="8"/>
  <c r="S132" i="8" s="1"/>
  <c r="I80" i="6"/>
  <c r="P20" i="9"/>
  <c r="P34" i="9"/>
  <c r="P21" i="9"/>
  <c r="P26" i="9"/>
  <c r="P25" i="9"/>
  <c r="P16" i="9"/>
  <c r="P27" i="9"/>
  <c r="P32" i="9"/>
  <c r="P29" i="9"/>
  <c r="P18" i="9"/>
  <c r="P30" i="9"/>
  <c r="P19" i="9"/>
  <c r="P28" i="9"/>
  <c r="P24" i="9"/>
  <c r="P17" i="9"/>
  <c r="P15" i="9"/>
  <c r="P31" i="9"/>
  <c r="R98" i="7"/>
  <c r="I172" i="11"/>
  <c r="N27" i="9"/>
  <c r="L120" i="5"/>
  <c r="L103" i="5"/>
  <c r="L129" i="5" s="1"/>
  <c r="K127" i="4"/>
  <c r="K103" i="4"/>
  <c r="I154" i="6"/>
  <c r="I55" i="6"/>
  <c r="I104" i="6"/>
  <c r="F87" i="7"/>
  <c r="O88" i="7"/>
  <c r="N98" i="9"/>
  <c r="H71" i="5"/>
  <c r="U79" i="6"/>
  <c r="U56" i="6"/>
  <c r="V79" i="5"/>
  <c r="V56" i="5"/>
  <c r="H181" i="5"/>
  <c r="J89" i="17"/>
  <c r="M120" i="5"/>
  <c r="M103" i="5"/>
  <c r="M129" i="5" s="1"/>
  <c r="E34" i="7"/>
  <c r="N14" i="7"/>
  <c r="E33" i="7"/>
  <c r="E47" i="17"/>
  <c r="P119" i="4"/>
  <c r="T87" i="7"/>
  <c r="O79" i="6"/>
  <c r="O56" i="6"/>
  <c r="O121" i="7"/>
  <c r="F120" i="7"/>
  <c r="O120" i="7" s="1"/>
  <c r="P154" i="5"/>
  <c r="P104" i="5"/>
  <c r="P55" i="5"/>
  <c r="V79" i="6"/>
  <c r="V56" i="6"/>
  <c r="J254" i="15"/>
  <c r="K155" i="6"/>
  <c r="K180" i="6"/>
  <c r="Q22" i="9"/>
  <c r="Q87" i="9"/>
  <c r="G79" i="6"/>
  <c r="O131" i="9"/>
  <c r="U172" i="5"/>
  <c r="U153" i="5"/>
  <c r="U181" i="5" s="1"/>
  <c r="T172" i="5"/>
  <c r="T153" i="5"/>
  <c r="T181" i="5" s="1"/>
  <c r="I105" i="6"/>
  <c r="T99" i="9"/>
  <c r="P87" i="9"/>
  <c r="G99" i="9"/>
  <c r="P99" i="9" s="1"/>
  <c r="Q27" i="9"/>
  <c r="U71" i="5"/>
  <c r="U54" i="5"/>
  <c r="U80" i="5" s="1"/>
  <c r="I128" i="6"/>
  <c r="R66" i="7"/>
  <c r="P171" i="4"/>
  <c r="P152" i="4"/>
  <c r="P180" i="4" s="1"/>
  <c r="V120" i="6"/>
  <c r="V103" i="6"/>
  <c r="V129" i="6" s="1"/>
  <c r="E120" i="7"/>
  <c r="N120" i="7" s="1"/>
  <c r="N121" i="7"/>
  <c r="T132" i="8"/>
  <c r="K80" i="6"/>
  <c r="V54" i="5"/>
  <c r="V80" i="5" s="1"/>
  <c r="J105" i="5"/>
  <c r="J128" i="5"/>
  <c r="I132" i="8"/>
  <c r="R132" i="8" s="1"/>
  <c r="N154" i="4"/>
  <c r="N179" i="4"/>
  <c r="R98" i="9"/>
  <c r="I171" i="15"/>
  <c r="Q55" i="7"/>
  <c r="M180" i="5"/>
  <c r="M155" i="5"/>
  <c r="F67" i="7"/>
  <c r="F66" i="7"/>
  <c r="O47" i="7"/>
  <c r="F22" i="7"/>
  <c r="F34" i="7" s="1"/>
  <c r="U154" i="5"/>
  <c r="U104" i="5"/>
  <c r="U55" i="5"/>
  <c r="U79" i="5"/>
  <c r="U155" i="5"/>
  <c r="U56" i="5"/>
  <c r="U180" i="5"/>
  <c r="Q23" i="9"/>
  <c r="I172" i="13"/>
  <c r="P131" i="8"/>
  <c r="N132" i="9"/>
  <c r="O60" i="7"/>
  <c r="E172" i="13"/>
  <c r="P79" i="5"/>
  <c r="O22" i="8"/>
  <c r="O55" i="8"/>
  <c r="I79" i="5"/>
  <c r="I56" i="5"/>
  <c r="G99" i="7"/>
  <c r="D71" i="5"/>
  <c r="D54" i="5"/>
  <c r="D80" i="5" s="1"/>
  <c r="O22" i="9"/>
  <c r="L172" i="6"/>
  <c r="L153" i="6"/>
  <c r="L181" i="6" s="1"/>
  <c r="N131" i="9"/>
  <c r="P67" i="9"/>
  <c r="P56" i="5"/>
  <c r="S105" i="6"/>
  <c r="S128" i="6"/>
  <c r="T180" i="6"/>
  <c r="T155" i="6"/>
  <c r="T55" i="7"/>
  <c r="K67" i="7"/>
  <c r="R67" i="7"/>
  <c r="Q71" i="6"/>
  <c r="Q28" i="6"/>
  <c r="Q80" i="6" s="1"/>
  <c r="T54" i="6"/>
  <c r="T80" i="6" s="1"/>
  <c r="T71" i="6"/>
  <c r="P120" i="8"/>
  <c r="G132" i="8"/>
  <c r="P132" i="8" s="1"/>
  <c r="G79" i="5"/>
  <c r="G56" i="5"/>
  <c r="K56" i="6"/>
  <c r="K79" i="6"/>
  <c r="I81" i="4"/>
  <c r="S153" i="5"/>
  <c r="S181" i="5" s="1"/>
  <c r="O103" i="4"/>
  <c r="O127" i="4"/>
  <c r="O130" i="4" s="1"/>
  <c r="O66" i="9"/>
  <c r="F47" i="17"/>
  <c r="I171" i="4"/>
  <c r="I152" i="4"/>
  <c r="I180" i="4" s="1"/>
  <c r="S155" i="6"/>
  <c r="S180" i="6"/>
  <c r="Q103" i="4"/>
  <c r="Q127" i="4"/>
  <c r="O120" i="8"/>
  <c r="F132" i="8"/>
  <c r="O132" i="8" s="1"/>
  <c r="I180" i="5"/>
  <c r="I155" i="5"/>
  <c r="I128" i="5"/>
  <c r="I105" i="5"/>
  <c r="P79" i="7"/>
  <c r="G22" i="7"/>
  <c r="P87" i="7" s="1"/>
  <c r="P121" i="7"/>
  <c r="P56" i="7"/>
  <c r="P60" i="7"/>
  <c r="G55" i="7"/>
  <c r="S179" i="4"/>
  <c r="S154" i="4"/>
  <c r="Q99" i="9"/>
  <c r="P66" i="9"/>
  <c r="G88" i="15"/>
  <c r="J171" i="15"/>
  <c r="R131" i="9"/>
  <c r="N99" i="9"/>
  <c r="Q181" i="6"/>
  <c r="H255" i="13"/>
  <c r="R34" i="7"/>
  <c r="R26" i="7"/>
  <c r="R32" i="7"/>
  <c r="R28" i="7"/>
  <c r="R15" i="7"/>
  <c r="R24" i="7"/>
  <c r="R18" i="7"/>
  <c r="R29" i="7"/>
  <c r="R20" i="7"/>
  <c r="R21" i="7"/>
  <c r="R31" i="7"/>
  <c r="R25" i="7"/>
  <c r="R30" i="7"/>
  <c r="R17" i="7"/>
  <c r="R27" i="7"/>
  <c r="R23" i="7"/>
  <c r="R16" i="7"/>
  <c r="R19" i="7"/>
  <c r="Q105" i="5"/>
  <c r="Q128" i="5"/>
  <c r="D120" i="7"/>
  <c r="M125" i="7"/>
  <c r="F172" i="6"/>
  <c r="F153" i="6"/>
  <c r="F181" i="6" s="1"/>
  <c r="R14" i="7"/>
  <c r="J155" i="6"/>
  <c r="J180" i="6"/>
  <c r="T55" i="8"/>
  <c r="K67" i="8"/>
  <c r="T67" i="8" s="1"/>
  <c r="L171" i="4"/>
  <c r="L152" i="4"/>
  <c r="L180" i="4" s="1"/>
  <c r="R33" i="7"/>
  <c r="K255" i="11"/>
  <c r="T131" i="7"/>
  <c r="J34" i="7"/>
  <c r="J181" i="6"/>
  <c r="L105" i="6"/>
  <c r="L128" i="6"/>
  <c r="J154" i="6"/>
  <c r="J104" i="6"/>
  <c r="J55" i="6"/>
  <c r="Q30" i="7"/>
  <c r="J132" i="7"/>
  <c r="S132" i="7" s="1"/>
  <c r="J131" i="7"/>
  <c r="S112" i="7"/>
  <c r="H128" i="5"/>
  <c r="H105" i="5"/>
  <c r="I255" i="13"/>
  <c r="T120" i="5"/>
  <c r="T103" i="5"/>
  <c r="T129" i="5" s="1"/>
  <c r="N128" i="6"/>
  <c r="N105" i="6"/>
  <c r="F71" i="6"/>
  <c r="F54" i="6"/>
  <c r="F80" i="6" s="1"/>
  <c r="G27" i="4"/>
  <c r="G119" i="4"/>
  <c r="D128" i="6"/>
  <c r="D105" i="6"/>
  <c r="H180" i="6"/>
  <c r="H155" i="6"/>
  <c r="S98" i="8"/>
  <c r="J172" i="13"/>
  <c r="K254" i="15"/>
  <c r="L56" i="6"/>
  <c r="L79" i="6"/>
  <c r="E179" i="4"/>
  <c r="E154" i="4"/>
  <c r="M56" i="6"/>
  <c r="M79" i="6"/>
  <c r="Q87" i="7"/>
  <c r="S152" i="4"/>
  <c r="S180" i="4" s="1"/>
  <c r="H119" i="4"/>
  <c r="H101" i="4"/>
  <c r="H128" i="4" s="1"/>
  <c r="M105" i="6"/>
  <c r="M128" i="6"/>
  <c r="N87" i="9"/>
  <c r="S71" i="6"/>
  <c r="S54" i="6"/>
  <c r="S80" i="6" s="1"/>
  <c r="S155" i="5"/>
  <c r="S180" i="5"/>
  <c r="S79" i="7"/>
  <c r="J99" i="7"/>
  <c r="S99" i="7" s="1"/>
  <c r="J98" i="7"/>
  <c r="Q66" i="9"/>
  <c r="I120" i="6"/>
  <c r="I103" i="6"/>
  <c r="I129" i="6" s="1"/>
  <c r="O112" i="7"/>
  <c r="F132" i="7"/>
  <c r="F131" i="7"/>
  <c r="F256" i="17"/>
  <c r="M71" i="5"/>
  <c r="M54" i="5"/>
  <c r="M80" i="5" s="1"/>
  <c r="Q66" i="7"/>
  <c r="H89" i="11"/>
  <c r="G180" i="6"/>
  <c r="G155" i="6"/>
  <c r="Q67" i="7"/>
  <c r="M155" i="6"/>
  <c r="M180" i="6"/>
  <c r="F79" i="5"/>
  <c r="F56" i="5"/>
  <c r="O34" i="8"/>
  <c r="F33" i="8"/>
  <c r="O15" i="8"/>
  <c r="O25" i="8"/>
  <c r="O21" i="8"/>
  <c r="O19" i="8"/>
  <c r="O31" i="8"/>
  <c r="O16" i="8"/>
  <c r="O24" i="8"/>
  <c r="O18" i="8"/>
  <c r="O29" i="8"/>
  <c r="O26" i="8"/>
  <c r="O20" i="8"/>
  <c r="O67" i="8"/>
  <c r="O30" i="8"/>
  <c r="O32" i="8"/>
  <c r="O23" i="8"/>
  <c r="O28" i="8"/>
  <c r="O17" i="8"/>
  <c r="H129" i="5"/>
  <c r="D56" i="6"/>
  <c r="D79" i="6"/>
  <c r="S87" i="7"/>
  <c r="G105" i="6"/>
  <c r="T22" i="8"/>
  <c r="H181" i="6"/>
  <c r="G171" i="4"/>
  <c r="E152" i="4"/>
  <c r="E180" i="4" s="1"/>
  <c r="J256" i="17"/>
  <c r="F155" i="6"/>
  <c r="R105" i="5"/>
  <c r="R128" i="5"/>
  <c r="Q171" i="4"/>
  <c r="Q152" i="4"/>
  <c r="Q180" i="4" s="1"/>
  <c r="O101" i="4"/>
  <c r="O128" i="4" s="1"/>
  <c r="S66" i="8"/>
  <c r="J89" i="13"/>
  <c r="E87" i="7"/>
  <c r="N87" i="7" s="1"/>
  <c r="N88" i="7"/>
  <c r="O98" i="9"/>
  <c r="F171" i="15"/>
  <c r="O172" i="6"/>
  <c r="O153" i="6"/>
  <c r="O181" i="6" s="1"/>
  <c r="O92" i="7"/>
  <c r="M87" i="9"/>
  <c r="D99" i="9"/>
  <c r="M99" i="9" s="1"/>
  <c r="S33" i="7"/>
  <c r="N14" i="9"/>
  <c r="Q120" i="9"/>
  <c r="H132" i="9"/>
  <c r="Q132" i="9" s="1"/>
  <c r="M153" i="6"/>
  <c r="M181" i="6" s="1"/>
  <c r="D33" i="7"/>
  <c r="M66" i="7" s="1"/>
  <c r="M79" i="7"/>
  <c r="F54" i="5"/>
  <c r="F80" i="5" s="1"/>
  <c r="D87" i="7"/>
  <c r="M92" i="7"/>
  <c r="E128" i="5"/>
  <c r="E105" i="5"/>
  <c r="H56" i="6"/>
  <c r="H79" i="6"/>
  <c r="K171" i="15"/>
  <c r="N78" i="4"/>
  <c r="N55" i="4"/>
  <c r="K129" i="6"/>
  <c r="K34" i="7"/>
  <c r="T22" i="7" s="1"/>
  <c r="S105" i="5"/>
  <c r="S128" i="5"/>
  <c r="N103" i="6"/>
  <c r="N129" i="6" s="1"/>
  <c r="G128" i="6"/>
  <c r="N66" i="9"/>
  <c r="M130" i="4"/>
  <c r="D22" i="7"/>
  <c r="D34" i="7" s="1"/>
  <c r="V172" i="6"/>
  <c r="V153" i="6"/>
  <c r="V181" i="6" s="1"/>
  <c r="M154" i="5"/>
  <c r="M104" i="5"/>
  <c r="M55" i="5"/>
  <c r="M105" i="5"/>
  <c r="M128" i="5"/>
  <c r="M56" i="5"/>
  <c r="M79" i="5"/>
  <c r="O128" i="6"/>
  <c r="O105" i="6"/>
  <c r="N56" i="5"/>
  <c r="N79" i="5"/>
  <c r="T99" i="8"/>
  <c r="R22" i="7"/>
  <c r="F180" i="6"/>
  <c r="D132" i="9"/>
  <c r="M132" i="9" s="1"/>
  <c r="O34" i="7" l="1"/>
  <c r="O30" i="7"/>
  <c r="O16" i="7"/>
  <c r="O28" i="7"/>
  <c r="O26" i="7"/>
  <c r="O17" i="7"/>
  <c r="O32" i="7"/>
  <c r="O24" i="7"/>
  <c r="O29" i="7"/>
  <c r="O21" i="7"/>
  <c r="O20" i="7"/>
  <c r="O18" i="7"/>
  <c r="O31" i="7"/>
  <c r="O25" i="7"/>
  <c r="O19" i="7"/>
  <c r="O15" i="7"/>
  <c r="O14" i="7"/>
  <c r="O27" i="7"/>
  <c r="O23" i="7"/>
  <c r="M28" i="7"/>
  <c r="M15" i="7"/>
  <c r="M20" i="7"/>
  <c r="M29" i="7"/>
  <c r="M24" i="7"/>
  <c r="M25" i="7"/>
  <c r="M26" i="7"/>
  <c r="M31" i="7"/>
  <c r="M18" i="7"/>
  <c r="M23" i="7"/>
  <c r="M19" i="7"/>
  <c r="M17" i="7"/>
  <c r="M34" i="7"/>
  <c r="M16" i="7"/>
  <c r="M30" i="7"/>
  <c r="M32" i="7"/>
  <c r="M21" i="7"/>
  <c r="M67" i="7"/>
  <c r="M14" i="7"/>
  <c r="M27" i="7"/>
  <c r="T132" i="7"/>
  <c r="O66" i="7"/>
  <c r="F89" i="11"/>
  <c r="O67" i="7"/>
  <c r="R130" i="4"/>
  <c r="O131" i="7"/>
  <c r="F255" i="11"/>
  <c r="T34" i="7"/>
  <c r="T26" i="7"/>
  <c r="T18" i="7"/>
  <c r="T31" i="7"/>
  <c r="T16" i="7"/>
  <c r="T21" i="7"/>
  <c r="T32" i="7"/>
  <c r="T24" i="7"/>
  <c r="T15" i="7"/>
  <c r="T99" i="7"/>
  <c r="T29" i="7"/>
  <c r="T19" i="7"/>
  <c r="T25" i="7"/>
  <c r="T30" i="7"/>
  <c r="T20" i="7"/>
  <c r="T28" i="7"/>
  <c r="T17" i="7"/>
  <c r="T23" i="7"/>
  <c r="T27" i="7"/>
  <c r="T14" i="7"/>
  <c r="O132" i="7"/>
  <c r="N81" i="4"/>
  <c r="O33" i="8"/>
  <c r="O66" i="8"/>
  <c r="O98" i="8"/>
  <c r="F47" i="13"/>
  <c r="O131" i="8"/>
  <c r="G128" i="4"/>
  <c r="G180" i="4"/>
  <c r="Q130" i="4"/>
  <c r="O87" i="7"/>
  <c r="F99" i="7"/>
  <c r="O99" i="7" s="1"/>
  <c r="G79" i="4"/>
  <c r="P120" i="7"/>
  <c r="N131" i="7"/>
  <c r="E255" i="11"/>
  <c r="N33" i="7"/>
  <c r="E47" i="11"/>
  <c r="E132" i="7"/>
  <c r="N132" i="7" s="1"/>
  <c r="M131" i="7"/>
  <c r="D255" i="11"/>
  <c r="N66" i="7"/>
  <c r="E89" i="11"/>
  <c r="N98" i="7"/>
  <c r="E172" i="11"/>
  <c r="T33" i="7"/>
  <c r="M120" i="7"/>
  <c r="P55" i="7"/>
  <c r="G67" i="7"/>
  <c r="D132" i="7"/>
  <c r="M132" i="7" s="1"/>
  <c r="E67" i="7"/>
  <c r="N67" i="7" s="1"/>
  <c r="E99" i="7"/>
  <c r="N99" i="7" s="1"/>
  <c r="S98" i="7"/>
  <c r="J172" i="11"/>
  <c r="S34" i="7"/>
  <c r="S31" i="7"/>
  <c r="S18" i="7"/>
  <c r="S32" i="7"/>
  <c r="S19" i="7"/>
  <c r="S15" i="7"/>
  <c r="S20" i="7"/>
  <c r="S16" i="7"/>
  <c r="S27" i="7"/>
  <c r="S21" i="7"/>
  <c r="S25" i="7"/>
  <c r="S28" i="7"/>
  <c r="S26" i="7"/>
  <c r="S30" i="7"/>
  <c r="S24" i="7"/>
  <c r="S17" i="7"/>
  <c r="S29" i="7"/>
  <c r="S14" i="7"/>
  <c r="S23" i="7"/>
  <c r="N34" i="7"/>
  <c r="N20" i="7"/>
  <c r="N16" i="7"/>
  <c r="N29" i="7"/>
  <c r="N24" i="7"/>
  <c r="N21" i="7"/>
  <c r="N28" i="7"/>
  <c r="N25" i="7"/>
  <c r="N19" i="7"/>
  <c r="N15" i="7"/>
  <c r="N26" i="7"/>
  <c r="N32" i="7"/>
  <c r="N18" i="7"/>
  <c r="N30" i="7"/>
  <c r="N27" i="7"/>
  <c r="N17" i="7"/>
  <c r="N31" i="7"/>
  <c r="N23" i="7"/>
  <c r="M81" i="4"/>
  <c r="Q132" i="8"/>
  <c r="U130" i="4"/>
  <c r="K130" i="4"/>
  <c r="O33" i="7"/>
  <c r="F47" i="11"/>
  <c r="Q34" i="8"/>
  <c r="H33" i="8"/>
  <c r="Q30" i="8"/>
  <c r="Q31" i="8"/>
  <c r="Q20" i="8"/>
  <c r="Q26" i="8"/>
  <c r="Q16" i="8"/>
  <c r="Q23" i="8"/>
  <c r="Q28" i="8"/>
  <c r="Q24" i="8"/>
  <c r="Q67" i="8"/>
  <c r="Q19" i="8"/>
  <c r="Q15" i="8"/>
  <c r="Q18" i="8"/>
  <c r="Q17" i="8"/>
  <c r="Q21" i="8"/>
  <c r="Q32" i="8"/>
  <c r="Q25" i="8"/>
  <c r="Q29" i="8"/>
  <c r="Q14" i="8"/>
  <c r="Q27" i="8"/>
  <c r="G47" i="11"/>
  <c r="P66" i="7"/>
  <c r="M87" i="7"/>
  <c r="D99" i="7"/>
  <c r="M99" i="7" s="1"/>
  <c r="T67" i="7"/>
  <c r="G34" i="7"/>
  <c r="P99" i="7" s="1"/>
  <c r="L81" i="4"/>
  <c r="Q22" i="8"/>
  <c r="Q131" i="7"/>
  <c r="H255" i="11"/>
  <c r="O55" i="7"/>
  <c r="M22" i="7"/>
  <c r="O22" i="7"/>
  <c r="S66" i="7"/>
  <c r="J89" i="11"/>
  <c r="H132" i="7"/>
  <c r="Q132" i="7" s="1"/>
  <c r="K81" i="4"/>
  <c r="S22" i="7"/>
  <c r="M55" i="7"/>
  <c r="P98" i="7"/>
  <c r="M33" i="7"/>
  <c r="D47" i="11"/>
  <c r="M98" i="7"/>
  <c r="S131" i="7"/>
  <c r="J255" i="11"/>
  <c r="K47" i="13"/>
  <c r="T33" i="8"/>
  <c r="T131" i="8"/>
  <c r="T66" i="8"/>
  <c r="V81" i="4"/>
  <c r="Q129" i="6"/>
  <c r="P67" i="7" l="1"/>
  <c r="P22" i="7"/>
  <c r="P20" i="7"/>
  <c r="P29" i="7"/>
  <c r="P16" i="7"/>
  <c r="P25" i="7"/>
  <c r="P21" i="7"/>
  <c r="P30" i="7"/>
  <c r="P34" i="7"/>
  <c r="P18" i="7"/>
  <c r="P27" i="7"/>
  <c r="P32" i="7"/>
  <c r="P28" i="7"/>
  <c r="P15" i="7"/>
  <c r="P31" i="7"/>
  <c r="P26" i="7"/>
  <c r="P24" i="7"/>
  <c r="P19" i="7"/>
  <c r="P17" i="7"/>
  <c r="P23" i="7"/>
  <c r="P14" i="7"/>
  <c r="P132" i="7"/>
  <c r="P33" i="7"/>
  <c r="Q33" i="8"/>
  <c r="Q66" i="8"/>
  <c r="H47" i="13"/>
  <c r="Q131" i="8"/>
  <c r="Q98" i="8"/>
</calcChain>
</file>

<file path=xl/sharedStrings.xml><?xml version="1.0" encoding="utf-8"?>
<sst xmlns="http://schemas.openxmlformats.org/spreadsheetml/2006/main" count="5698" uniqueCount="228">
  <si>
    <t>INDICE CUADROS EJECUCIÓN GASTOS DEL PRESUPUESTO GENERAL DE LA NACIÓN - PGN</t>
  </si>
  <si>
    <t>Cuadro No. 1. Apropiaciones agregadas de gastos PGN 2000-2026 por fuente</t>
  </si>
  <si>
    <t>Cuadro No. 2. Ejecución desagregada de gastos PGN 2000-2018 por compromisos, obligaciones y pagos</t>
  </si>
  <si>
    <t>Cuadro No. 3. Ejecución desagregada de gastos PGN 2000-2018 - Recurso Nación por compromisos, obligaciones y pagos</t>
  </si>
  <si>
    <t>Cuadro No. 4. Ejecución desagregada de gastos PGN 2000-2018 - Recurso Propios por compromisos, obligaciones y pagos</t>
  </si>
  <si>
    <t>Cuadro No. 5. Ejecución desagregada de gastos PGN por compromisos, obligaciones y pagos del 2019-2026</t>
  </si>
  <si>
    <t>Cuadro No. 6. Ejecución desagregada de gastos PGN Recurso Nación por compromisos, obligaciones y pagos del 2019 al 2026</t>
  </si>
  <si>
    <t>Cuadro No. 7. Ejecución desagregada de gastos PGN Recurso Propios por compromisos, obligaciones y pagos del 2019 al 2026</t>
  </si>
  <si>
    <t>Cuadro No. 8.A Ejecución Sectorial de gastos PGN por compromisos, obligaciones y pagos del 2000-2018</t>
  </si>
  <si>
    <t>Cuadro No. 8.B Ejecución Sectorial de gastos PGN por compromisos, obligaciones y pagos del 2019 al 2026</t>
  </si>
  <si>
    <t>Cuadro No. 9.A Ejecución Sectorial de gastos PGN Recurso Nación por compromisos, obligaciones y pagos del 2000 al 2018</t>
  </si>
  <si>
    <t>Cuadro No. 9.B Ejecución Sectorial de gastos PGN Recurso Nación por compromisos, obligaciones y pagos del 2019 al 2026</t>
  </si>
  <si>
    <t>Cuadro No. 10.A Ejecución Sectorial de gastos PGN Recurso Propios por compromisos, obligación y pago del 2000 al 2018</t>
  </si>
  <si>
    <t>Cuadro No. 10.B Ejecución Sectorial de gastos PGN Recurso Propios por compromisos, obligaciones y pagos del 2019 al 2026</t>
  </si>
  <si>
    <t>Cuadro No. 11.A Ejecución Sectorial Funcionamiento de gastos PGN por compromisos, obligaciones y pagos del 2000 al 2018</t>
  </si>
  <si>
    <t>Cuadro No. 11.B Ejecución Sectorial Funcionamiento de gastos PGN por compromisos, obligaciones y pagos del 2019 al 2026</t>
  </si>
  <si>
    <t>Cuadro No. 12.A Ejecución Sectorial Funcionamiento de gastos PGN Recurso Nación por compromisos, obligaciones y pagos del 2000 al 2018</t>
  </si>
  <si>
    <t>Cuadro No. 12.B Ejecución Sectorial Funcionamiento de gastos PGN Recurso Nación por compromisos, obligaciones y pagos del 2019 al 2026</t>
  </si>
  <si>
    <t>Cuadro No. 13.A Ejecución Sectorial Funcionamiento de gastos PGN Recurso Propios por compromisos, obligaciones y pagos del 2000 al 2018</t>
  </si>
  <si>
    <t>Cuadro No. 13.B Ejecución Sectorial Funcionamiento de gastos PGN Recurso Propios por compromisos, obligaciones y pagos del 2019 al 2026</t>
  </si>
  <si>
    <t>Cuadro No. 14.A Ejecución Sectorial Inversión de gastos PGN por compromisos, obligaciones y pagos del 2000 al 2018</t>
  </si>
  <si>
    <t>Cuadro No. 14.B Ejecución Sectorial Inversión de gastos PGN por compromisos, obligaciones y pagos del 2019 al 2026</t>
  </si>
  <si>
    <t>Cuadro No. 15.A Ejecución Sectorial Inversión de gastos PGN Recurso Nación por compromisos, obligaciones y pagos del 2000 al 2018</t>
  </si>
  <si>
    <t>Cuadro No. 15.B Ejecución Sectorial Inversión de gastos PGN Recurso Nación por compromisos, obligaciones y pagos del 2019 al 2026</t>
  </si>
  <si>
    <t>Cuadro No. 16.A Ejecución Sectorial Inversión de gastos PGN Recurso Propios por compromisos, obligaciones y pagos del 2000 al 2018</t>
  </si>
  <si>
    <t>Cuadro No. 16.B Ejecución Sectorial Inversión de gastos PGN Recurso Propios por compromisos, obligaciones y pagos del 2019-2026</t>
  </si>
  <si>
    <t>Deflactores 27/01/2026</t>
  </si>
  <si>
    <t>2000</t>
  </si>
  <si>
    <t>2001</t>
  </si>
  <si>
    <t>2002</t>
  </si>
  <si>
    <t>2003</t>
  </si>
  <si>
    <t>2005</t>
  </si>
  <si>
    <t>2006</t>
  </si>
  <si>
    <t>2007</t>
  </si>
  <si>
    <t>2008</t>
  </si>
  <si>
    <t>2009</t>
  </si>
  <si>
    <t>2026*</t>
  </si>
  <si>
    <t>Apropiaciones Presupuesto General de la Nación - PGN</t>
  </si>
  <si>
    <t>CONCEPTO</t>
  </si>
  <si>
    <t>I.</t>
  </si>
  <si>
    <t>FUNCIONAMIENTO</t>
  </si>
  <si>
    <t>II.</t>
  </si>
  <si>
    <t>SERVICIO DE LA DEUDA</t>
  </si>
  <si>
    <t>DEUDA EXTERNA</t>
  </si>
  <si>
    <t>DEUDA INTERNA</t>
  </si>
  <si>
    <t>III.</t>
  </si>
  <si>
    <t>INVERSIÓN</t>
  </si>
  <si>
    <t>IV.</t>
  </si>
  <si>
    <t>TOTAL SIN DEUDA (I + III)</t>
  </si>
  <si>
    <t>V.</t>
  </si>
  <si>
    <t>TOTAL  (I + II + III)</t>
  </si>
  <si>
    <t>* Información con corte a 30 de Junio</t>
  </si>
  <si>
    <t>Fuente: Ministerio de Hacienda y Crèdito Pùblico. Ejecución de ingresos y gastos de las entidades que conforman el Presupuesto General de la Nación</t>
  </si>
  <si>
    <t>Apropiaciones con Fuente Nación</t>
  </si>
  <si>
    <t>Apropiaciones con Fuente Propios</t>
  </si>
  <si>
    <t>Apropiaciones Presupuesto General de la Nación-PGN</t>
  </si>
  <si>
    <t xml:space="preserve">Gastos de Personal </t>
  </si>
  <si>
    <t>Gastos Generales</t>
  </si>
  <si>
    <t>Transferencias</t>
  </si>
  <si>
    <t>Operación Comercial</t>
  </si>
  <si>
    <t>Amortización</t>
  </si>
  <si>
    <t>Intereses</t>
  </si>
  <si>
    <t>Compromisos Presupuesto General de la Nación-PGN</t>
  </si>
  <si>
    <t>TOTAL CON DEUDA (I + II + III)</t>
  </si>
  <si>
    <t>VI.</t>
  </si>
  <si>
    <t>PRESUPUESTO SIN DEUDA</t>
  </si>
  <si>
    <t>VII.</t>
  </si>
  <si>
    <t>% COMPROMISOS/ PRESUPUESTO   ( IV / VI )</t>
  </si>
  <si>
    <t>Porcentaje Compromisos PGN</t>
  </si>
  <si>
    <t>Obligaciones Presupuesto General de la Nación-PGN</t>
  </si>
  <si>
    <t>% OBLIGACIONES / PRESUPUESTO   ( IV / VI )</t>
  </si>
  <si>
    <t xml:space="preserve">Porcentaje Obligaciones PGN </t>
  </si>
  <si>
    <t>Pagos Presupuesto General de la Nación-PGN</t>
  </si>
  <si>
    <t>% PAGOS / PRESUPUESTO   ( IV / VI )</t>
  </si>
  <si>
    <t>Porcentaje Pagos PGN</t>
  </si>
  <si>
    <t>Apropiaciones Fuente Nación</t>
  </si>
  <si>
    <t>Compromisos Fuente Nación</t>
  </si>
  <si>
    <t>% COMPROMISOS / PRESUPUESTO   ( IV / VI )</t>
  </si>
  <si>
    <t>Porcentaje Compromisos Fuente Nación</t>
  </si>
  <si>
    <t>Obligaciones Fuente Nación</t>
  </si>
  <si>
    <t>Porcentaje Fuente Nación</t>
  </si>
  <si>
    <t>Pagos Fuente Nación</t>
  </si>
  <si>
    <t>Porcentaje Pagos Fuente Nación</t>
  </si>
  <si>
    <t>Apropiaciones Fuente Propios</t>
  </si>
  <si>
    <t>Compromisos Fuente Propios</t>
  </si>
  <si>
    <t>Porcentaje Compromisos Fuente Propios</t>
  </si>
  <si>
    <t>Obligaciones Fuente Propios</t>
  </si>
  <si>
    <t>Porcentaje Obligaciones Fuente Propios</t>
  </si>
  <si>
    <t>Pagos Fuente Propios</t>
  </si>
  <si>
    <t>Porcentaje Pagos Fuente Propios</t>
  </si>
  <si>
    <t>Apropiaciones PGN 2019 - 2026</t>
  </si>
  <si>
    <t xml:space="preserve">Porcentaje de participación por tipo y cuenta del total </t>
  </si>
  <si>
    <t>Gastos de Personal</t>
  </si>
  <si>
    <t>Adquisición de Bienes y Servicios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</si>
  <si>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</si>
  <si>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</si>
  <si>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</si>
  <si>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</si>
  <si>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</si>
  <si>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Comisiones y Otros Gastos</t>
  </si>
  <si>
    <t>Fondo de Contingencias</t>
  </si>
  <si>
    <t>Compromisos PGN 2019-2026</t>
  </si>
  <si>
    <t>Porcentaje de ejecución compromisos/apropiación</t>
  </si>
  <si>
    <t>Comisiones Y Otros Gastos</t>
  </si>
  <si>
    <t>Fondo de Contigencias</t>
  </si>
  <si>
    <t>Obligaciones PGN 2019-2026</t>
  </si>
  <si>
    <t>Porcentaje de ejecución Obligación/apropiación</t>
  </si>
  <si>
    <t>Pagos PGN 2019-2026</t>
  </si>
  <si>
    <t>Porcentaje de ejecución pagos/apropiación</t>
  </si>
  <si>
    <t>Apropiaciones Fuente Nación 2019-2026</t>
  </si>
  <si>
    <t>Compromisos Fuente Nación 2019-2026</t>
  </si>
  <si>
    <t>Porcentaje de ejecución compromiso/apropiación</t>
  </si>
  <si>
    <t>Obligaciones Fuente Nación 2019-2026</t>
  </si>
  <si>
    <t>Porcentaje de ejecución obligaciones/apropiación</t>
  </si>
  <si>
    <t>Pagos Fuente Nación 2019 - 2026</t>
  </si>
  <si>
    <t>Apropiaciones Fuente Propios 2019 - 2026</t>
  </si>
  <si>
    <t>Compromisos Fuente Propios  2019 - 2026</t>
  </si>
  <si>
    <t>Obligaciones Fuente Propios 2019-2026</t>
  </si>
  <si>
    <t>Pagos Fuente Propios 2019 - 2026</t>
  </si>
  <si>
    <t>Apropiaciones Presupuesto General de la Nación por Sector</t>
  </si>
  <si>
    <t>Sector</t>
  </si>
  <si>
    <t>2004</t>
  </si>
  <si>
    <t xml:space="preserve">2009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</si>
  <si>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</si>
  <si>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</si>
  <si>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</si>
  <si>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</si>
  <si>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</si>
  <si>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</si>
  <si>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</si>
  <si>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</si>
  <si>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</si>
  <si>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</si>
  <si>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</si>
  <si>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</si>
  <si>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IGUALDAD Y EQUIDAD</t>
  </si>
  <si>
    <t>INCLUSIÓN SOCIAL Y RECONCILIACIÓN</t>
  </si>
  <si>
    <t>INFORMACIÓN ESTADÍSTICA</t>
  </si>
  <si>
    <t>INTELIGENCIA</t>
  </si>
  <si>
    <t>INTERIOR Y JUSTICIA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</si>
  <si>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</si>
  <si>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</si>
  <si>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</si>
  <si>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</si>
  <si>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</si>
  <si>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</si>
  <si>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</si>
  <si>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SALUD, PROTECCIÓN SOCIAL Y TRABAJO</t>
  </si>
  <si>
    <t>SISTEMA INTEGRAL DE VERDAD, JUSTICIA, REPARACIÓN Y NO REPETICIÓN</t>
  </si>
  <si>
    <t>TECNOLOGÍAS DE LA INFORMACIÓN Y LAS COMUNICACIONES</t>
  </si>
  <si>
    <t>TRANSPORTE</t>
  </si>
  <si>
    <t>VIVIENDA, CIUDAD Y TERRITORIO</t>
  </si>
  <si>
    <t>TOTAL  SIN DEUDA</t>
  </si>
  <si>
    <t>Compromisos Presupuesto General de la Nación por Sector</t>
  </si>
  <si>
    <t>TOTAL SIN DEUDA</t>
  </si>
  <si>
    <t xml:space="preserve">Porcentaje de Ejecución - Compromisos/Apropiación PGN por Sector </t>
  </si>
  <si>
    <t xml:space="preserve">Obligaciones Presupuesto General de la Nación por Sector </t>
  </si>
  <si>
    <t xml:space="preserve">Porcentaje de Ejecución - Obligaciones/Apropiación PGN Sector </t>
  </si>
  <si>
    <t xml:space="preserve">Pagos Presupuesto General de la Nación por Sector </t>
  </si>
  <si>
    <t xml:space="preserve">Porcentaje de Ejecución - Pagos/Apropiación PGN por Sector </t>
  </si>
  <si>
    <t>INTERIOR</t>
  </si>
  <si>
    <t>JUSTICIA Y DEL DERECHO</t>
  </si>
  <si>
    <t>SALUD Y PROTECCIÓN SOCIAL</t>
  </si>
  <si>
    <t>TRABAJO</t>
  </si>
  <si>
    <t>Apropiaciones Fuente Nación por Sector</t>
  </si>
  <si>
    <t>Compromisos Fuente Nación por Sector</t>
  </si>
  <si>
    <t>Porcentaje de Ejecución - Compromisos/Apropiación Fuente Nación por Sector</t>
  </si>
  <si>
    <t>Obligaciones Fuente Nación por Sector</t>
  </si>
  <si>
    <t>Porcentaje de Ejecución - Obligación/Apropiación Fuente Nación por Sector</t>
  </si>
  <si>
    <t>Pagos Fuente Nación por Sector</t>
  </si>
  <si>
    <t>Porcentaje de Ejecución - Pagos/Apropiación Fuente Nación por Sector</t>
  </si>
  <si>
    <t>Apropiaciones Fuente Propios por Sector</t>
  </si>
  <si>
    <t>Compromisos Fuente Propios por Sector</t>
  </si>
  <si>
    <t>Porcentaje de Ejecución - Compromisos/Apropiación Fuente Propios por Sector</t>
  </si>
  <si>
    <t>Obligaciones Fuente Propios por Sector</t>
  </si>
  <si>
    <t>Porcentaje de Ejecución - Obligaciones/Apropiación Fuente Propios por Sector</t>
  </si>
  <si>
    <t>Pagos Fuente Propios por Sector</t>
  </si>
  <si>
    <t>Porcentaje de Ejecución - Pagos/Apropiación Fuente Propios por Sector</t>
  </si>
  <si>
    <t>Apropiaciones Presupuesto General de la Nación Funcionamiento por Sector</t>
  </si>
  <si>
    <t>TOTAL FUNCIONAMIENTO</t>
  </si>
  <si>
    <t>Compromisos Presupuesto General de la Nación Funcionamiento por Sector</t>
  </si>
  <si>
    <t>Porcentaje de Ejecución - Compromisos/Apropiación PGN Funcionamiento por Sector</t>
  </si>
  <si>
    <t>Obligaciones Presupuesto General de la Nación Funcionamiento por Sector</t>
  </si>
  <si>
    <t>Porcentaje de Ejecución - Obligaciones/Apropiación PGN Funcionamiento por Sector</t>
  </si>
  <si>
    <t xml:space="preserve">Pagos Presupuesto General de la Nación Funcionamiento por Sector </t>
  </si>
  <si>
    <t>Porcentaje de Ejecución -Pagos/Apropiación PGN Funcionamiento por Sector</t>
  </si>
  <si>
    <t>Cuadro No. 11.B Ejecución Sectorial Funcionamiento de gastos PGN por compromiso, obligaciones y pagos del 2019 al 2026</t>
  </si>
  <si>
    <t>2025*</t>
  </si>
  <si>
    <t>Compromisos Fuente Nación Funcionamiento por Sector</t>
  </si>
  <si>
    <t>Porcentaje de Ejecución - Compromisos/Apropiación Fuente Nación Funcionamiento por Sector</t>
  </si>
  <si>
    <t>Obligaciones Fuente Nación Funcionamiento por Sector</t>
  </si>
  <si>
    <t>Porcentaje de Ejecución - Obligaciones/Apropiación Fuente Nación Funcionamiento por Sector</t>
  </si>
  <si>
    <t>Pagos Fuente Nación Funcionamiento por Sector</t>
  </si>
  <si>
    <t>Porcentaje de Ejecución -Pagos/Apropiación Fuente Nación Funcionamiento por Sector</t>
  </si>
  <si>
    <t>Apropiaciones Fuente Propios Funcionamiento por Sector</t>
  </si>
  <si>
    <t>Compromisos Fuente Propios Funcionamiento por Sector</t>
  </si>
  <si>
    <t>Porcentaje de Ejecución - Compromisos/Apropiación Fuente Propios Funcionamiento por Sector</t>
  </si>
  <si>
    <t>Obligaciones Fuente Propios Funcionamiento por Sector</t>
  </si>
  <si>
    <t>Porcentaje de Ejecución - Obligaciones/Apropiación Fuente Propios Funcionamiento por Sector</t>
  </si>
  <si>
    <t>Pagos Fuente Propios Funcionamiento por Sector</t>
  </si>
  <si>
    <t>Porcentaje de Ejecución-Pagos/Apropiación Fuente Propios Funcionamiento por Sector</t>
  </si>
  <si>
    <t>Apropiaciones Presupuesto General de la Nación Inversión por Sector</t>
  </si>
  <si>
    <t>TOTAL INVERSIÓN</t>
  </si>
  <si>
    <t>Compromisos Presupuesto General de la Nación Inversión por Sector</t>
  </si>
  <si>
    <t>Porcentaje de Ejecución - Compromisos/Apropiación PGN Inversión por Sector</t>
  </si>
  <si>
    <t>Obligaciones Presupuesto General de la Nación Inversión por Sector</t>
  </si>
  <si>
    <t>Porcentaje de Ejecución - Obligaciones/Apropiación PGN Inversión por Sector</t>
  </si>
  <si>
    <t xml:space="preserve">Pagos Presupuesto General de la Nación Inversión por Sector </t>
  </si>
  <si>
    <t>Porcentaje de Ejecución -Pagos/Apropiación PGN Inversión por Sector</t>
  </si>
  <si>
    <t xml:space="preserve"> </t>
  </si>
  <si>
    <t>Apropiaciones Fuente Nación Inversión por Sector</t>
  </si>
  <si>
    <t>Compromisos Fuente Nación Inversión por Sector</t>
  </si>
  <si>
    <t>Porcentaje de Ejecución - Compromisos/Apropiación Fuente Nación Inversión por Sector</t>
  </si>
  <si>
    <t>Obligaciones Fuente Nación Inversión por Sector</t>
  </si>
  <si>
    <t>Porcentaje de Ejecución - Obligaciones/Apropiación Fuente Nación Inversión por Sector</t>
  </si>
  <si>
    <t>Pagos Fuente Nación Inversión por Sector</t>
  </si>
  <si>
    <t>Porcentaje de Ejecución -Pagos/Apropiación Fuente Nación Inversión por Sector</t>
  </si>
  <si>
    <t>Cuadro No. 16.A Ejecución Sectorial Inversión de gastos PGN Recurso Propios por compromiso, obligaciones y pagos del 2000 al 2018</t>
  </si>
  <si>
    <t>Apropiaciones Fuente Propios Inversión por Sector</t>
  </si>
  <si>
    <t>Compromisos Fuente Propios Inversión por Sector</t>
  </si>
  <si>
    <t>Porcentaje de Ejecución - Compromisos/Apropiación Fuente Propios Inversión por Sector</t>
  </si>
  <si>
    <t>Obligaciones Fuente Propios Inversión por Sector</t>
  </si>
  <si>
    <t>Porcentaje de Ejecución - Obligaciones/Apropiación Fuente Propios Inversión por Sector</t>
  </si>
  <si>
    <t>Pagos Fuente Propios Inversión por Sector</t>
  </si>
  <si>
    <t>Porcentaje de Ejecución -Pagos/Apropiación Fuente Propios Inversión por Sector</t>
  </si>
  <si>
    <t>Cuadro No. 16.B Ejecución Sectorial Inversión de gastos PGN Recurso Propios por compromiso, obligaciones y pagos del 2019 al 2026</t>
  </si>
  <si>
    <t>Cifras a precios constantes de 2026</t>
  </si>
  <si>
    <t>Valores en millones de pesos (precios constantes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</si>
</sst>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#,##0.0"/>
    <numFmt numFmtId="166" formatCode="_(* #,##0.0_);_(* \(#,##0.0\);_(* &quot;-&quot;??_);_(@_)"/>
    <numFmt numFmtId="167" formatCode="_-* #,##0.0_-;\-* #,##0.0_-;_-* &quot;-&quot;?_-;_-@_-"/>
    <numFmt numFmtId="168" formatCode="_-* #,##0_-;\-* #,##0_-;_-* &quot;-&quot;?_-;_-@_-"/>
    <numFmt numFmtId="169" formatCode="#,##0.000000"/>
    <numFmt numFmtId="170" formatCode="_(* #,##0.00_);_(* \(#,##0.00\);_(* \-??_);_(@_)"/>
    <numFmt numFmtId="171" formatCode="_-* #,##0.00\ _P_t_a_-;\-* #,##0.00\ _P_t_a_-;_-* &quot;-&quot;??\ _P_t_a_-;_-@_-"/>
    <numFmt numFmtId="172" formatCode="_ * #,##0.00_ ;_ * \-#,##0.0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C00000"/>
      <name val="Arial"/>
      <family val="2"/>
    </font>
    <font>
      <b/>
      <u/>
      <sz val="8"/>
      <color rgb="FFC00000"/>
      <name val="Arial"/>
      <family val="2"/>
    </font>
    <font>
      <sz val="8"/>
      <color rgb="FFB68D47"/>
      <name val="Arial"/>
      <family val="2"/>
    </font>
    <font>
      <b/>
      <sz val="14"/>
      <color rgb="FF185D87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34998626667073579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/>
      <right style="medium">
        <color rgb="FFB68D47"/>
      </right>
      <top/>
      <bottom style="thin">
        <color theme="4" tint="0.79998168889431442"/>
      </bottom>
      <diagonal/>
    </border>
    <border>
      <left/>
      <right style="thin">
        <color rgb="FF16ADB9"/>
      </right>
      <top/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16ADB9"/>
      </right>
      <top/>
      <bottom style="thin">
        <color theme="4" tint="0.79998168889431442"/>
      </bottom>
      <diagonal/>
    </border>
    <border>
      <left/>
      <right/>
      <top/>
      <bottom style="medium">
        <color rgb="FF16ADB9"/>
      </bottom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 style="medium">
        <color rgb="FF16ADB9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/>
      <right/>
      <top style="medium">
        <color rgb="FF16ADB9"/>
      </top>
      <bottom/>
      <diagonal/>
    </border>
    <border>
      <left/>
      <right/>
      <top style="medium">
        <color rgb="FF16ADB9"/>
      </top>
      <bottom style="medium">
        <color rgb="FF16ADB9"/>
      </bottom>
      <diagonal/>
    </border>
  </borders>
  <cellStyleXfs count="16">
    <xf numFmtId="0" fontId="0" fillId="0" borderId="0"/>
    <xf numFmtId="0" fontId="2" fillId="0" borderId="0"/>
    <xf numFmtId="170" fontId="2" fillId="0" borderId="0"/>
    <xf numFmtId="0" fontId="3" fillId="0" borderId="0"/>
    <xf numFmtId="9" fontId="3" fillId="0" borderId="0"/>
    <xf numFmtId="171" fontId="3" fillId="0" borderId="0"/>
    <xf numFmtId="172" fontId="3" fillId="0" borderId="0"/>
    <xf numFmtId="0" fontId="3" fillId="0" borderId="0"/>
    <xf numFmtId="43" fontId="1" fillId="0" borderId="0"/>
    <xf numFmtId="43" fontId="1" fillId="0" borderId="0"/>
    <xf numFmtId="41" fontId="1" fillId="0" borderId="0"/>
    <xf numFmtId="43" fontId="1" fillId="0" borderId="0"/>
    <xf numFmtId="43" fontId="5" fillId="0" borderId="0"/>
    <xf numFmtId="0" fontId="5" fillId="0" borderId="0"/>
    <xf numFmtId="41" fontId="5" fillId="0" borderId="0"/>
    <xf numFmtId="0" fontId="21" fillId="0" borderId="0"/>
  </cellStyleXfs>
  <cellXfs count="188">
    <xf numFmtId="0" fontId="0" fillId="0" borderId="0" xfId="0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1" fontId="5" fillId="0" borderId="0" xfId="0" applyNumberFormat="1" applyFont="1"/>
    <xf numFmtId="0" fontId="5" fillId="2" borderId="0" xfId="0" applyFont="1" applyFill="1"/>
    <xf numFmtId="164" fontId="5" fillId="2" borderId="0" xfId="9" applyNumberFormat="1" applyFont="1" applyFill="1"/>
    <xf numFmtId="0" fontId="4" fillId="0" borderId="0" xfId="0" applyFont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43" fontId="5" fillId="0" borderId="0" xfId="9" applyFont="1"/>
    <xf numFmtId="41" fontId="5" fillId="0" borderId="0" xfId="10" applyFont="1"/>
    <xf numFmtId="3" fontId="6" fillId="0" borderId="0" xfId="0" applyNumberFormat="1" applyFont="1"/>
    <xf numFmtId="0" fontId="6" fillId="0" borderId="0" xfId="0" applyFont="1"/>
    <xf numFmtId="164" fontId="5" fillId="0" borderId="0" xfId="9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164" fontId="6" fillId="0" borderId="0" xfId="9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41" fontId="6" fillId="0" borderId="0" xfId="1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165" fontId="5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164" fontId="4" fillId="2" borderId="0" xfId="9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164" fontId="6" fillId="3" borderId="0" xfId="9" applyNumberFormat="1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9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9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6" fillId="3" borderId="0" xfId="9" applyNumberFormat="1" applyFont="1" applyFill="1" applyAlignment="1">
      <alignment horizontal="right" vertical="center" wrapText="1"/>
    </xf>
    <xf numFmtId="164" fontId="4" fillId="2" borderId="0" xfId="9" applyNumberFormat="1" applyFont="1" applyFill="1" applyAlignment="1">
      <alignment horizontal="right" vertical="center" wrapText="1"/>
    </xf>
    <xf numFmtId="164" fontId="6" fillId="4" borderId="2" xfId="9" applyNumberFormat="1" applyFont="1" applyFill="1" applyBorder="1" applyAlignment="1">
      <alignment horizontal="right" vertical="center" wrapText="1"/>
    </xf>
    <xf numFmtId="164" fontId="6" fillId="4" borderId="1" xfId="9" applyNumberFormat="1" applyFont="1" applyFill="1" applyBorder="1" applyAlignment="1">
      <alignment horizontal="right" vertical="center" wrapText="1"/>
    </xf>
    <xf numFmtId="166" fontId="6" fillId="4" borderId="1" xfId="9" applyNumberFormat="1" applyFont="1" applyFill="1" applyBorder="1" applyAlignment="1">
      <alignment horizontal="right" vertical="center" wrapText="1"/>
    </xf>
    <xf numFmtId="166" fontId="6" fillId="3" borderId="0" xfId="9" applyNumberFormat="1" applyFont="1" applyFill="1" applyAlignment="1">
      <alignment horizontal="right" vertical="center" wrapText="1"/>
    </xf>
    <xf numFmtId="166" fontId="4" fillId="2" borderId="0" xfId="9" applyNumberFormat="1" applyFont="1" applyFill="1" applyAlignment="1">
      <alignment horizontal="right" vertical="center" wrapText="1"/>
    </xf>
    <xf numFmtId="166" fontId="6" fillId="4" borderId="2" xfId="9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164" fontId="4" fillId="3" borderId="0" xfId="9" applyNumberFormat="1" applyFont="1" applyFill="1" applyAlignment="1">
      <alignment horizontal="right" vertical="center" wrapText="1"/>
    </xf>
    <xf numFmtId="41" fontId="6" fillId="3" borderId="0" xfId="10" applyFont="1" applyFill="1" applyAlignment="1">
      <alignment horizontal="right" vertical="center" wrapText="1"/>
    </xf>
    <xf numFmtId="41" fontId="4" fillId="2" borderId="0" xfId="10" applyFont="1" applyFill="1" applyAlignment="1">
      <alignment horizontal="right" vertical="center" wrapText="1"/>
    </xf>
    <xf numFmtId="41" fontId="4" fillId="3" borderId="0" xfId="10" applyFont="1" applyFill="1" applyAlignment="1">
      <alignment horizontal="right" vertical="center" wrapText="1"/>
    </xf>
    <xf numFmtId="41" fontId="6" fillId="4" borderId="2" xfId="10" applyFont="1" applyFill="1" applyBorder="1" applyAlignment="1">
      <alignment horizontal="right" vertical="center" wrapText="1"/>
    </xf>
    <xf numFmtId="41" fontId="6" fillId="4" borderId="1" xfId="10" applyFont="1" applyFill="1" applyBorder="1" applyAlignment="1">
      <alignment horizontal="right" vertical="center" wrapText="1"/>
    </xf>
    <xf numFmtId="3" fontId="4" fillId="2" borderId="0" xfId="9" applyNumberFormat="1" applyFont="1" applyFill="1" applyAlignment="1">
      <alignment horizontal="right" vertical="center" wrapText="1"/>
    </xf>
    <xf numFmtId="3" fontId="4" fillId="3" borderId="0" xfId="9" applyNumberFormat="1" applyFont="1" applyFill="1" applyAlignment="1">
      <alignment horizontal="right" vertical="center" wrapText="1"/>
    </xf>
    <xf numFmtId="3" fontId="4" fillId="2" borderId="0" xfId="9" applyNumberFormat="1" applyFont="1" applyFill="1" applyAlignment="1">
      <alignment horizontal="right" vertical="top" wrapText="1"/>
    </xf>
    <xf numFmtId="3" fontId="4" fillId="3" borderId="0" xfId="9" applyNumberFormat="1" applyFont="1" applyFill="1" applyAlignment="1">
      <alignment horizontal="right" vertical="top" wrapText="1"/>
    </xf>
    <xf numFmtId="165" fontId="4" fillId="2" borderId="0" xfId="9" applyNumberFormat="1" applyFont="1" applyFill="1" applyAlignment="1">
      <alignment horizontal="right" vertical="center" wrapText="1"/>
    </xf>
    <xf numFmtId="165" fontId="4" fillId="2" borderId="0" xfId="9" applyNumberFormat="1" applyFont="1" applyFill="1" applyAlignment="1">
      <alignment horizontal="right" vertical="top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top" wrapText="1"/>
    </xf>
    <xf numFmtId="166" fontId="6" fillId="4" borderId="0" xfId="9" applyNumberFormat="1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 wrapText="1"/>
    </xf>
    <xf numFmtId="0" fontId="6" fillId="4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166" fontId="6" fillId="2" borderId="0" xfId="9" applyNumberFormat="1" applyFont="1" applyFill="1" applyAlignment="1">
      <alignment horizontal="right" vertical="center" wrapText="1"/>
    </xf>
    <xf numFmtId="0" fontId="7" fillId="2" borderId="0" xfId="0" applyFont="1" applyFill="1"/>
    <xf numFmtId="164" fontId="6" fillId="2" borderId="0" xfId="9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1" fontId="6" fillId="2" borderId="0" xfId="10" applyFont="1" applyFill="1" applyAlignment="1">
      <alignment horizontal="right" vertical="center" wrapText="1"/>
    </xf>
    <xf numFmtId="165" fontId="6" fillId="4" borderId="1" xfId="9" applyNumberFormat="1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6" fillId="3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66" fontId="6" fillId="4" borderId="11" xfId="9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4" fontId="6" fillId="3" borderId="0" xfId="9" applyNumberFormat="1" applyFont="1" applyFill="1" applyAlignment="1">
      <alignment vertical="center" wrapText="1"/>
    </xf>
    <xf numFmtId="164" fontId="4" fillId="2" borderId="0" xfId="9" applyNumberFormat="1" applyFont="1" applyFill="1" applyAlignment="1">
      <alignment vertical="center" wrapText="1"/>
    </xf>
    <xf numFmtId="164" fontId="6" fillId="4" borderId="2" xfId="9" applyNumberFormat="1" applyFont="1" applyFill="1" applyBorder="1" applyAlignment="1">
      <alignment vertical="center" wrapText="1"/>
    </xf>
    <xf numFmtId="164" fontId="6" fillId="4" borderId="1" xfId="9" applyNumberFormat="1" applyFont="1" applyFill="1" applyBorder="1" applyAlignment="1">
      <alignment vertical="center" wrapText="1"/>
    </xf>
    <xf numFmtId="166" fontId="6" fillId="4" borderId="1" xfId="9" applyNumberFormat="1" applyFont="1" applyFill="1" applyBorder="1" applyAlignment="1">
      <alignment vertical="center" wrapText="1"/>
    </xf>
    <xf numFmtId="166" fontId="6" fillId="2" borderId="0" xfId="9" applyNumberFormat="1" applyFont="1" applyFill="1" applyAlignment="1">
      <alignment vertical="center" wrapText="1"/>
    </xf>
    <xf numFmtId="166" fontId="5" fillId="0" borderId="0" xfId="9" applyNumberFormat="1" applyFont="1"/>
    <xf numFmtId="166" fontId="5" fillId="0" borderId="0" xfId="9" applyNumberFormat="1" applyFont="1" applyAlignment="1">
      <alignment horizontal="left" vertical="center"/>
    </xf>
    <xf numFmtId="166" fontId="5" fillId="2" borderId="0" xfId="9" applyNumberFormat="1" applyFont="1" applyFill="1"/>
    <xf numFmtId="166" fontId="6" fillId="4" borderId="2" xfId="9" applyNumberFormat="1" applyFont="1" applyFill="1" applyBorder="1" applyAlignment="1">
      <alignment vertical="center" wrapText="1"/>
    </xf>
    <xf numFmtId="166" fontId="7" fillId="0" borderId="0" xfId="9" applyNumberFormat="1" applyFont="1"/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4" fillId="3" borderId="0" xfId="9" applyNumberFormat="1" applyFont="1" applyFill="1" applyAlignment="1">
      <alignment horizontal="right" vertical="center" wrapText="1"/>
    </xf>
    <xf numFmtId="164" fontId="6" fillId="2" borderId="0" xfId="9" applyNumberFormat="1" applyFont="1" applyFill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66" fontId="6" fillId="3" borderId="0" xfId="9" applyNumberFormat="1" applyFont="1" applyFill="1" applyAlignment="1">
      <alignment vertical="center" wrapText="1"/>
    </xf>
    <xf numFmtId="0" fontId="15" fillId="0" borderId="0" xfId="0" applyFont="1" applyAlignment="1">
      <alignment vertical="center"/>
    </xf>
    <xf numFmtId="164" fontId="16" fillId="2" borderId="0" xfId="9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165" fontId="16" fillId="2" borderId="0" xfId="0" applyNumberFormat="1" applyFont="1" applyFill="1"/>
    <xf numFmtId="164" fontId="16" fillId="2" borderId="0" xfId="9" applyNumberFormat="1" applyFont="1" applyFill="1"/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2" borderId="13" xfId="0" applyFont="1" applyFill="1" applyBorder="1" applyAlignment="1">
      <alignment vertical="center" wrapText="1"/>
    </xf>
    <xf numFmtId="0" fontId="19" fillId="2" borderId="9" xfId="0" applyFont="1" applyFill="1" applyBorder="1"/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15" applyFont="1" applyAlignment="1">
      <alignment vertical="center"/>
    </xf>
    <xf numFmtId="0" fontId="22" fillId="0" borderId="0" xfId="15" applyFont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7" fillId="2" borderId="0" xfId="9" applyNumberFormat="1" applyFont="1" applyFill="1" applyAlignment="1">
      <alignment horizontal="right" vertical="center" wrapText="1"/>
    </xf>
    <xf numFmtId="0" fontId="28" fillId="2" borderId="0" xfId="0" applyFont="1" applyFill="1"/>
    <xf numFmtId="0" fontId="28" fillId="0" borderId="0" xfId="0" applyFont="1"/>
    <xf numFmtId="169" fontId="5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0" xfId="0" applyFont="1" applyFill="1" applyBorder="1" applyAlignment="1">
      <alignment horizontal="left" vertical="center" wrapText="1"/>
    </xf>
    <xf numFmtId="0" fontId="0" fillId="0" borderId="10" xfId="0" applyBorder="1"/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2" borderId="0" xfId="0" applyFont="1" applyFill="1"/>
    <xf numFmtId="166" fontId="5" fillId="0" borderId="0" xfId="9" applyNumberFormat="1" applyFont="1"/>
    <xf numFmtId="0" fontId="5" fillId="0" borderId="0" xfId="0" applyFont="1" applyAlignment="1">
      <alignment horizontal="left" vertical="center"/>
    </xf>
    <xf numFmtId="0" fontId="20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6" fillId="2" borderId="10" xfId="0" applyFont="1" applyFill="1" applyBorder="1" applyAlignment="1">
      <alignment horizontal="left" vertical="center" wrapText="1" indent="1"/>
    </xf>
    <xf numFmtId="165" fontId="5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12" xfId="0" applyBorder="1"/>
    <xf numFmtId="43" fontId="11" fillId="0" borderId="0" xfId="9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6">
    <cellStyle name="Hipervínculo" xfId="15" builtinId="8"/>
    <cellStyle name="Millares" xfId="9" builtinId="3"/>
    <cellStyle name="Millares [0]" xfId="10" builtinId="6"/>
    <cellStyle name="Millares [0] 2" xfId="14" xr:uid="{00000000-0005-0000-0000-00000E000000}"/>
    <cellStyle name="Millares 2" xfId="2" xr:uid="{00000000-0005-0000-0000-000002000000}"/>
    <cellStyle name="Millares 2 2" xfId="6" xr:uid="{00000000-0005-0000-0000-000006000000}"/>
    <cellStyle name="Millares 2 3" xfId="5" xr:uid="{00000000-0005-0000-0000-000005000000}"/>
    <cellStyle name="Millares 3" xfId="12" xr:uid="{00000000-0005-0000-0000-00000C000000}"/>
    <cellStyle name="Millares 8" xfId="8" xr:uid="{00000000-0005-0000-0000-000008000000}"/>
    <cellStyle name="Millares 9" xfId="11" xr:uid="{00000000-0005-0000-0000-00000B000000}"/>
    <cellStyle name="Normal" xfId="0" builtinId="0"/>
    <cellStyle name="Normal 2" xfId="1" xr:uid="{00000000-0005-0000-0000-000001000000}"/>
    <cellStyle name="Normal 2 2" xfId="7" xr:uid="{00000000-0005-0000-0000-000007000000}"/>
    <cellStyle name="Normal 2 3" xfId="3" xr:uid="{00000000-0005-0000-0000-000003000000}"/>
    <cellStyle name="Normal 3" xfId="13" xr:uid="{00000000-0005-0000-0000-00000D000000}"/>
    <cellStyle name="Porcentu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1141094</xdr:colOff>
      <xdr:row>3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04775"/>
          <a:ext cx="750569" cy="552449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2</xdr:col>
      <xdr:colOff>428625</xdr:colOff>
      <xdr:row>2</xdr:row>
      <xdr:rowOff>190452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047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2009775</xdr:colOff>
      <xdr:row>0</xdr:row>
      <xdr:rowOff>76200</xdr:rowOff>
    </xdr:from>
    <xdr:to>
      <xdr:col>2</xdr:col>
      <xdr:colOff>3004186</xdr:colOff>
      <xdr:row>2</xdr:row>
      <xdr:rowOff>67411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71725" y="762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1114020</xdr:colOff>
      <xdr:row>0</xdr:row>
      <xdr:rowOff>154080</xdr:rowOff>
    </xdr:from>
    <xdr:to>
      <xdr:col>2</xdr:col>
      <xdr:colOff>1396813</xdr:colOff>
      <xdr:row>1</xdr:row>
      <xdr:rowOff>188726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75970" y="1540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58830</xdr:rowOff>
    </xdr:from>
    <xdr:to>
      <xdr:col>2</xdr:col>
      <xdr:colOff>1377763</xdr:colOff>
      <xdr:row>1</xdr:row>
      <xdr:rowOff>93476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152401</xdr:rowOff>
    </xdr:from>
    <xdr:to>
      <xdr:col>2</xdr:col>
      <xdr:colOff>409575</xdr:colOff>
      <xdr:row>3</xdr:row>
      <xdr:rowOff>28527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5240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123825</xdr:rowOff>
    </xdr:from>
    <xdr:to>
      <xdr:col>2</xdr:col>
      <xdr:colOff>2985136</xdr:colOff>
      <xdr:row>2</xdr:row>
      <xdr:rowOff>115036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2382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96930</xdr:rowOff>
    </xdr:from>
    <xdr:to>
      <xdr:col>2</xdr:col>
      <xdr:colOff>1377763</xdr:colOff>
      <xdr:row>1</xdr:row>
      <xdr:rowOff>131576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28576</xdr:rowOff>
    </xdr:from>
    <xdr:to>
      <xdr:col>2</xdr:col>
      <xdr:colOff>409575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0</xdr:rowOff>
    </xdr:from>
    <xdr:to>
      <xdr:col>2</xdr:col>
      <xdr:colOff>2985136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171451</xdr:rowOff>
    </xdr:from>
    <xdr:to>
      <xdr:col>2</xdr:col>
      <xdr:colOff>409575</xdr:colOff>
      <xdr:row>3</xdr:row>
      <xdr:rowOff>47577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714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142875</xdr:rowOff>
    </xdr:from>
    <xdr:to>
      <xdr:col>2</xdr:col>
      <xdr:colOff>2985136</xdr:colOff>
      <xdr:row>2</xdr:row>
      <xdr:rowOff>134086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428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77880</xdr:rowOff>
    </xdr:from>
    <xdr:to>
      <xdr:col>2</xdr:col>
      <xdr:colOff>1377763</xdr:colOff>
      <xdr:row>1</xdr:row>
      <xdr:rowOff>112526</xdr:rowOff>
    </xdr:to>
    <xdr:pic>
      <xdr:nvPicPr>
        <xdr:cNvPr id="17" name="Imagen 1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778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125505</xdr:rowOff>
    </xdr:from>
    <xdr:to>
      <xdr:col>2</xdr:col>
      <xdr:colOff>1358713</xdr:colOff>
      <xdr:row>1</xdr:row>
      <xdr:rowOff>160151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1255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2</xdr:col>
      <xdr:colOff>419100</xdr:colOff>
      <xdr:row>2</xdr:row>
      <xdr:rowOff>180927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52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2000250</xdr:colOff>
      <xdr:row>0</xdr:row>
      <xdr:rowOff>66675</xdr:rowOff>
    </xdr:from>
    <xdr:to>
      <xdr:col>2</xdr:col>
      <xdr:colOff>2994661</xdr:colOff>
      <xdr:row>2</xdr:row>
      <xdr:rowOff>57886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62200" y="666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1104495</xdr:colOff>
      <xdr:row>1</xdr:row>
      <xdr:rowOff>58830</xdr:rowOff>
    </xdr:from>
    <xdr:to>
      <xdr:col>2</xdr:col>
      <xdr:colOff>1387288</xdr:colOff>
      <xdr:row>2</xdr:row>
      <xdr:rowOff>93476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66445" y="2683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2</xdr:col>
      <xdr:colOff>361950</xdr:colOff>
      <xdr:row>2</xdr:row>
      <xdr:rowOff>152352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66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38100</xdr:rowOff>
    </xdr:from>
    <xdr:to>
      <xdr:col>2</xdr:col>
      <xdr:colOff>2937511</xdr:colOff>
      <xdr:row>2</xdr:row>
      <xdr:rowOff>29311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381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4" name="Imagen 13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95251</xdr:rowOff>
    </xdr:from>
    <xdr:to>
      <xdr:col>2</xdr:col>
      <xdr:colOff>361950</xdr:colOff>
      <xdr:row>2</xdr:row>
      <xdr:rowOff>180927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952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66675</xdr:rowOff>
    </xdr:from>
    <xdr:to>
      <xdr:col>2</xdr:col>
      <xdr:colOff>2937511</xdr:colOff>
      <xdr:row>2</xdr:row>
      <xdr:rowOff>57886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666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58830</xdr:rowOff>
    </xdr:from>
    <xdr:to>
      <xdr:col>2</xdr:col>
      <xdr:colOff>1330138</xdr:colOff>
      <xdr:row>1</xdr:row>
      <xdr:rowOff>93476</xdr:rowOff>
    </xdr:to>
    <xdr:pic>
      <xdr:nvPicPr>
        <xdr:cNvPr id="17" name="Imagen 1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2</xdr:col>
      <xdr:colOff>381000</xdr:colOff>
      <xdr:row>2</xdr:row>
      <xdr:rowOff>133302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476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1962150</xdr:colOff>
      <xdr:row>0</xdr:row>
      <xdr:rowOff>19050</xdr:rowOff>
    </xdr:from>
    <xdr:to>
      <xdr:col>2</xdr:col>
      <xdr:colOff>2956561</xdr:colOff>
      <xdr:row>2</xdr:row>
      <xdr:rowOff>10261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190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1066395</xdr:colOff>
      <xdr:row>0</xdr:row>
      <xdr:rowOff>58830</xdr:rowOff>
    </xdr:from>
    <xdr:to>
      <xdr:col>2</xdr:col>
      <xdr:colOff>1349188</xdr:colOff>
      <xdr:row>1</xdr:row>
      <xdr:rowOff>93476</xdr:rowOff>
    </xdr:to>
    <xdr:pic>
      <xdr:nvPicPr>
        <xdr:cNvPr id="13" name="Imagen 1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34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76200</xdr:rowOff>
    </xdr:from>
    <xdr:to>
      <xdr:col>2</xdr:col>
      <xdr:colOff>361951</xdr:colOff>
      <xdr:row>2</xdr:row>
      <xdr:rowOff>161876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76200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1943101</xdr:colOff>
      <xdr:row>0</xdr:row>
      <xdr:rowOff>47624</xdr:rowOff>
    </xdr:from>
    <xdr:to>
      <xdr:col>2</xdr:col>
      <xdr:colOff>2937512</xdr:colOff>
      <xdr:row>2</xdr:row>
      <xdr:rowOff>38835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1" y="47624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1047346</xdr:colOff>
      <xdr:row>0</xdr:row>
      <xdr:rowOff>68354</xdr:rowOff>
    </xdr:from>
    <xdr:to>
      <xdr:col>2</xdr:col>
      <xdr:colOff>1330139</xdr:colOff>
      <xdr:row>1</xdr:row>
      <xdr:rowOff>103000</xdr:rowOff>
    </xdr:to>
    <xdr:pic>
      <xdr:nvPicPr>
        <xdr:cNvPr id="16" name="Imagen 1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6" y="68354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161926</xdr:rowOff>
    </xdr:from>
    <xdr:to>
      <xdr:col>2</xdr:col>
      <xdr:colOff>342900</xdr:colOff>
      <xdr:row>3</xdr:row>
      <xdr:rowOff>38052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619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1924050</xdr:colOff>
      <xdr:row>0</xdr:row>
      <xdr:rowOff>133350</xdr:rowOff>
    </xdr:from>
    <xdr:to>
      <xdr:col>2</xdr:col>
      <xdr:colOff>2918461</xdr:colOff>
      <xdr:row>2</xdr:row>
      <xdr:rowOff>124561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333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1028295</xdr:colOff>
      <xdr:row>0</xdr:row>
      <xdr:rowOff>163605</xdr:rowOff>
    </xdr:from>
    <xdr:to>
      <xdr:col>2</xdr:col>
      <xdr:colOff>1311088</xdr:colOff>
      <xdr:row>1</xdr:row>
      <xdr:rowOff>198251</xdr:rowOff>
    </xdr:to>
    <xdr:pic>
      <xdr:nvPicPr>
        <xdr:cNvPr id="16" name="Imagen 1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0245" y="1636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57151</xdr:rowOff>
    </xdr:from>
    <xdr:to>
      <xdr:col>2</xdr:col>
      <xdr:colOff>400050</xdr:colOff>
      <xdr:row>2</xdr:row>
      <xdr:rowOff>142827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1981200</xdr:colOff>
      <xdr:row>0</xdr:row>
      <xdr:rowOff>28575</xdr:rowOff>
    </xdr:from>
    <xdr:to>
      <xdr:col>2</xdr:col>
      <xdr:colOff>2975611</xdr:colOff>
      <xdr:row>2</xdr:row>
      <xdr:rowOff>19786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857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1085445</xdr:colOff>
      <xdr:row>0</xdr:row>
      <xdr:rowOff>39780</xdr:rowOff>
    </xdr:from>
    <xdr:to>
      <xdr:col>2</xdr:col>
      <xdr:colOff>1368238</xdr:colOff>
      <xdr:row>1</xdr:row>
      <xdr:rowOff>74426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47395" y="397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123826</xdr:rowOff>
    </xdr:from>
    <xdr:to>
      <xdr:col>2</xdr:col>
      <xdr:colOff>323850</xdr:colOff>
      <xdr:row>3</xdr:row>
      <xdr:rowOff>3762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1905000</xdr:colOff>
      <xdr:row>0</xdr:row>
      <xdr:rowOff>95250</xdr:rowOff>
    </xdr:from>
    <xdr:to>
      <xdr:col>2</xdr:col>
      <xdr:colOff>2899411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952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1009245</xdr:colOff>
      <xdr:row>0</xdr:row>
      <xdr:rowOff>144555</xdr:rowOff>
    </xdr:from>
    <xdr:to>
      <xdr:col>2</xdr:col>
      <xdr:colOff>1292038</xdr:colOff>
      <xdr:row>1</xdr:row>
      <xdr:rowOff>179201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71195" y="1445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28576</xdr:rowOff>
    </xdr:from>
    <xdr:to>
      <xdr:col>2</xdr:col>
      <xdr:colOff>438150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2019300</xdr:colOff>
      <xdr:row>0</xdr:row>
      <xdr:rowOff>0</xdr:rowOff>
    </xdr:from>
    <xdr:to>
      <xdr:col>2</xdr:col>
      <xdr:colOff>3013711</xdr:colOff>
      <xdr:row>1</xdr:row>
      <xdr:rowOff>200761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1123545</xdr:colOff>
      <xdr:row>0</xdr:row>
      <xdr:rowOff>58830</xdr:rowOff>
    </xdr:from>
    <xdr:to>
      <xdr:col>2</xdr:col>
      <xdr:colOff>1406338</xdr:colOff>
      <xdr:row>1</xdr:row>
      <xdr:rowOff>93476</xdr:rowOff>
    </xdr:to>
    <xdr:pic>
      <xdr:nvPicPr>
        <xdr:cNvPr id="6" name="Imagen 5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85495" y="588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123826</xdr:rowOff>
    </xdr:from>
    <xdr:to>
      <xdr:col>2</xdr:col>
      <xdr:colOff>409575</xdr:colOff>
      <xdr:row>3</xdr:row>
      <xdr:rowOff>3762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95250</xdr:rowOff>
    </xdr:from>
    <xdr:to>
      <xdr:col>2</xdr:col>
      <xdr:colOff>2985136</xdr:colOff>
      <xdr:row>2</xdr:row>
      <xdr:rowOff>86461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9525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49305</xdr:rowOff>
    </xdr:from>
    <xdr:to>
      <xdr:col>2</xdr:col>
      <xdr:colOff>1377763</xdr:colOff>
      <xdr:row>1</xdr:row>
      <xdr:rowOff>83951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493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2</xdr:col>
      <xdr:colOff>381000</xdr:colOff>
      <xdr:row>2</xdr:row>
      <xdr:rowOff>152352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1962150</xdr:colOff>
      <xdr:row>0</xdr:row>
      <xdr:rowOff>38100</xdr:rowOff>
    </xdr:from>
    <xdr:to>
      <xdr:col>2</xdr:col>
      <xdr:colOff>2956561</xdr:colOff>
      <xdr:row>2</xdr:row>
      <xdr:rowOff>29311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81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96930</xdr:rowOff>
    </xdr:from>
    <xdr:to>
      <xdr:col>2</xdr:col>
      <xdr:colOff>1358713</xdr:colOff>
      <xdr:row>1</xdr:row>
      <xdr:rowOff>131576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180976</xdr:rowOff>
    </xdr:from>
    <xdr:to>
      <xdr:col>2</xdr:col>
      <xdr:colOff>409575</xdr:colOff>
      <xdr:row>3</xdr:row>
      <xdr:rowOff>57102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809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1990725</xdr:colOff>
      <xdr:row>0</xdr:row>
      <xdr:rowOff>152400</xdr:rowOff>
    </xdr:from>
    <xdr:to>
      <xdr:col>2</xdr:col>
      <xdr:colOff>2985136</xdr:colOff>
      <xdr:row>2</xdr:row>
      <xdr:rowOff>143611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2675" y="15240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1094970</xdr:colOff>
      <xdr:row>0</xdr:row>
      <xdr:rowOff>154080</xdr:rowOff>
    </xdr:from>
    <xdr:to>
      <xdr:col>2</xdr:col>
      <xdr:colOff>1377763</xdr:colOff>
      <xdr:row>1</xdr:row>
      <xdr:rowOff>188726</xdr:rowOff>
    </xdr:to>
    <xdr:pic>
      <xdr:nvPicPr>
        <xdr:cNvPr id="9" name="Imagen 8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56920" y="1540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2</xdr:col>
      <xdr:colOff>352425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1933575</xdr:colOff>
      <xdr:row>0</xdr:row>
      <xdr:rowOff>0</xdr:rowOff>
    </xdr:from>
    <xdr:to>
      <xdr:col>2</xdr:col>
      <xdr:colOff>2927986</xdr:colOff>
      <xdr:row>1</xdr:row>
      <xdr:rowOff>200761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955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1037820</xdr:colOff>
      <xdr:row>1</xdr:row>
      <xdr:rowOff>11205</xdr:rowOff>
    </xdr:from>
    <xdr:to>
      <xdr:col>2</xdr:col>
      <xdr:colOff>1320613</xdr:colOff>
      <xdr:row>2</xdr:row>
      <xdr:rowOff>45851</xdr:rowOff>
    </xdr:to>
    <xdr:pic>
      <xdr:nvPicPr>
        <xdr:cNvPr id="5" name="Imagen 4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99770" y="2207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144555</xdr:rowOff>
    </xdr:from>
    <xdr:to>
      <xdr:col>2</xdr:col>
      <xdr:colOff>1330138</xdr:colOff>
      <xdr:row>1</xdr:row>
      <xdr:rowOff>179201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1445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2</xdr:col>
      <xdr:colOff>295275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1876425</xdr:colOff>
      <xdr:row>0</xdr:row>
      <xdr:rowOff>0</xdr:rowOff>
    </xdr:from>
    <xdr:to>
      <xdr:col>2</xdr:col>
      <xdr:colOff>2870836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457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980670</xdr:colOff>
      <xdr:row>0</xdr:row>
      <xdr:rowOff>106455</xdr:rowOff>
    </xdr:from>
    <xdr:to>
      <xdr:col>2</xdr:col>
      <xdr:colOff>1263463</xdr:colOff>
      <xdr:row>1</xdr:row>
      <xdr:rowOff>141101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18820" y="1064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2</xdr:col>
      <xdr:colOff>390525</xdr:colOff>
      <xdr:row>2</xdr:row>
      <xdr:rowOff>114252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1971675</xdr:colOff>
      <xdr:row>0</xdr:row>
      <xdr:rowOff>0</xdr:rowOff>
    </xdr:from>
    <xdr:to>
      <xdr:col>2</xdr:col>
      <xdr:colOff>2966086</xdr:colOff>
      <xdr:row>1</xdr:row>
      <xdr:rowOff>200761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33625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1075920</xdr:colOff>
      <xdr:row>0</xdr:row>
      <xdr:rowOff>30255</xdr:rowOff>
    </xdr:from>
    <xdr:to>
      <xdr:col>2</xdr:col>
      <xdr:colOff>1358713</xdr:colOff>
      <xdr:row>1</xdr:row>
      <xdr:rowOff>64901</xdr:rowOff>
    </xdr:to>
    <xdr:pic>
      <xdr:nvPicPr>
        <xdr:cNvPr id="7" name="Imagen 6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7870" y="3025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2</xdr:col>
      <xdr:colOff>361950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0</xdr:rowOff>
    </xdr:from>
    <xdr:to>
      <xdr:col>2</xdr:col>
      <xdr:colOff>2937511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39780</xdr:rowOff>
    </xdr:from>
    <xdr:to>
      <xdr:col>2</xdr:col>
      <xdr:colOff>1330138</xdr:colOff>
      <xdr:row>1</xdr:row>
      <xdr:rowOff>74426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3978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38101</xdr:rowOff>
    </xdr:from>
    <xdr:to>
      <xdr:col>2</xdr:col>
      <xdr:colOff>361950</xdr:colOff>
      <xdr:row>2</xdr:row>
      <xdr:rowOff>123777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8101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1943100</xdr:colOff>
      <xdr:row>0</xdr:row>
      <xdr:rowOff>9525</xdr:rowOff>
    </xdr:from>
    <xdr:to>
      <xdr:col>2</xdr:col>
      <xdr:colOff>2937511</xdr:colOff>
      <xdr:row>2</xdr:row>
      <xdr:rowOff>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05050" y="9525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1047345</xdr:colOff>
      <xdr:row>0</xdr:row>
      <xdr:rowOff>49305</xdr:rowOff>
    </xdr:from>
    <xdr:to>
      <xdr:col>2</xdr:col>
      <xdr:colOff>1330138</xdr:colOff>
      <xdr:row>1</xdr:row>
      <xdr:rowOff>83951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09295" y="49305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28576</xdr:rowOff>
    </xdr:from>
    <xdr:to>
      <xdr:col>2</xdr:col>
      <xdr:colOff>457200</xdr:colOff>
      <xdr:row>2</xdr:row>
      <xdr:rowOff>114252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8576"/>
          <a:ext cx="685800" cy="504776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2</xdr:col>
      <xdr:colOff>2038350</xdr:colOff>
      <xdr:row>0</xdr:row>
      <xdr:rowOff>0</xdr:rowOff>
    </xdr:from>
    <xdr:to>
      <xdr:col>2</xdr:col>
      <xdr:colOff>3032761</xdr:colOff>
      <xdr:row>1</xdr:row>
      <xdr:rowOff>200761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00300" y="0"/>
          <a:ext cx="994411" cy="410311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>
    <xdr:from>
      <xdr:col>2</xdr:col>
      <xdr:colOff>1142595</xdr:colOff>
      <xdr:row>0</xdr:row>
      <xdr:rowOff>96930</xdr:rowOff>
    </xdr:from>
    <xdr:to>
      <xdr:col>2</xdr:col>
      <xdr:colOff>1425388</xdr:colOff>
      <xdr:row>1</xdr:row>
      <xdr:rowOff>131576</xdr:rowOff>
    </xdr:to>
    <xdr:pic>
      <xdr:nvPicPr>
        <xdr:cNvPr id="8" name="Imagen 7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04545" y="96930"/>
          <a:ext cx="282793" cy="244196"/>
        </a:xfrm>
        <a:prstGeom prst="rect">
          <a:avLst/>
        </a:prstGeom>
        <a:ln w="19050">
          <a:solidFill>
            <a:srgbClr val="185D87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33"/>
  <sheetViews>
    <sheetView showGridLines="0" tabSelected="1" zoomScaleNormal="100" workbookViewId="0">
      <pane ySplit="6" topLeftCell="A8" activePane="bottomLeft" state="frozen"/>
      <selection pane="bottomLeft" activeCell="A8" sqref="A8"/>
    </sheetView>
  </sheetViews>
  <sheetFormatPr baseColWidth="10" defaultColWidth="0" defaultRowHeight="14.25" zeroHeight="1" x14ac:dyDescent="0.2"/>
  <cols>
    <col min="1" max="1" width="136.7109375" style="94" customWidth="1"/>
    <col min="2" max="2" width="11.42578125" style="94" hidden="1" customWidth="1"/>
    <col min="3" max="16384" width="11.42578125" style="94" hidden="1"/>
  </cols>
  <sheetData>
    <row r="1" spans="1:1" x14ac:dyDescent="0.2">
      <c r="A1" s="93"/>
    </row>
    <row r="2" spans="1:1" x14ac:dyDescent="0.2">
      <c r="A2" s="93"/>
    </row>
    <row r="3" spans="1:1" x14ac:dyDescent="0.2">
      <c r="A3" s="93"/>
    </row>
    <row r="4" spans="1:1" x14ac:dyDescent="0.2">
      <c r="A4" s="92"/>
    </row>
    <row r="5" spans="1:1" ht="15" customHeight="1" x14ac:dyDescent="0.2">
      <c r="A5" s="149" t="s">
        <v>0</v>
      </c>
    </row>
    <row r="6" spans="1:1" ht="15" customHeight="1" x14ac:dyDescent="0.25">
      <c r="A6" s="148" t="s">
        <v>226</v>
      </c>
    </row>
    <row r="8" spans="1:1" ht="15" customHeight="1" x14ac:dyDescent="0.25">
      <c r="A8" s="95"/>
    </row>
    <row r="9" spans="1:1" s="96" customFormat="1" ht="15" customHeight="1" x14ac:dyDescent="0.25">
      <c r="A9" s="142" t="s">
        <v>1</v>
      </c>
    </row>
    <row r="10" spans="1:1" s="96" customFormat="1" ht="15" customHeight="1" x14ac:dyDescent="0.25">
      <c r="A10" s="142" t="s">
        <v>2</v>
      </c>
    </row>
    <row r="11" spans="1:1" s="96" customFormat="1" ht="15" customHeight="1" x14ac:dyDescent="0.25">
      <c r="A11" s="142" t="s">
        <v>3</v>
      </c>
    </row>
    <row r="12" spans="1:1" s="96" customFormat="1" ht="15" customHeight="1" x14ac:dyDescent="0.25">
      <c r="A12" s="142" t="s">
        <v>4</v>
      </c>
    </row>
    <row r="13" spans="1:1" s="96" customFormat="1" ht="15" customHeight="1" x14ac:dyDescent="0.25">
      <c r="A13" s="142" t="s">
        <v>5</v>
      </c>
    </row>
    <row r="14" spans="1:1" s="96" customFormat="1" ht="15" customHeight="1" x14ac:dyDescent="0.25">
      <c r="A14" s="142" t="s">
        <v>6</v>
      </c>
    </row>
    <row r="15" spans="1:1" s="96" customFormat="1" ht="15" customHeight="1" x14ac:dyDescent="0.25">
      <c r="A15" s="142" t="s">
        <v>7</v>
      </c>
    </row>
    <row r="16" spans="1:1" s="96" customFormat="1" ht="15" customHeight="1" x14ac:dyDescent="0.25">
      <c r="A16" s="142" t="s">
        <v>8</v>
      </c>
    </row>
    <row r="17" spans="1:1" s="96" customFormat="1" ht="15" customHeight="1" x14ac:dyDescent="0.25">
      <c r="A17" s="142" t="s">
        <v>9</v>
      </c>
    </row>
    <row r="18" spans="1:1" s="96" customFormat="1" ht="15" customHeight="1" x14ac:dyDescent="0.25">
      <c r="A18" s="142" t="s">
        <v>10</v>
      </c>
    </row>
    <row r="19" spans="1:1" s="96" customFormat="1" ht="15" customHeight="1" x14ac:dyDescent="0.25">
      <c r="A19" s="142" t="s">
        <v>11</v>
      </c>
    </row>
    <row r="20" spans="1:1" s="96" customFormat="1" ht="15" customHeight="1" x14ac:dyDescent="0.25">
      <c r="A20" s="142" t="s">
        <v>12</v>
      </c>
    </row>
    <row r="21" spans="1:1" s="96" customFormat="1" ht="15" customHeight="1" x14ac:dyDescent="0.25">
      <c r="A21" s="142" t="s">
        <v>13</v>
      </c>
    </row>
    <row r="22" spans="1:1" s="96" customFormat="1" ht="15" customHeight="1" x14ac:dyDescent="0.25">
      <c r="A22" s="142" t="s">
        <v>14</v>
      </c>
    </row>
    <row r="23" spans="1:1" s="96" customFormat="1" ht="15" customHeight="1" x14ac:dyDescent="0.25">
      <c r="A23" s="142" t="s">
        <v>15</v>
      </c>
    </row>
    <row r="24" spans="1:1" s="96" customFormat="1" ht="15" customHeight="1" x14ac:dyDescent="0.25">
      <c r="A24" s="142" t="s">
        <v>16</v>
      </c>
    </row>
    <row r="25" spans="1:1" ht="15" customHeight="1" x14ac:dyDescent="0.2">
      <c r="A25" s="143" t="s">
        <v>17</v>
      </c>
    </row>
    <row r="26" spans="1:1" ht="15" customHeight="1" x14ac:dyDescent="0.2">
      <c r="A26" s="143" t="s">
        <v>18</v>
      </c>
    </row>
    <row r="27" spans="1:1" ht="15" customHeight="1" x14ac:dyDescent="0.2">
      <c r="A27" s="143" t="s">
        <v>19</v>
      </c>
    </row>
    <row r="28" spans="1:1" ht="15" customHeight="1" x14ac:dyDescent="0.2">
      <c r="A28" s="143" t="s">
        <v>20</v>
      </c>
    </row>
    <row r="29" spans="1:1" ht="15" customHeight="1" x14ac:dyDescent="0.2">
      <c r="A29" s="143" t="s">
        <v>21</v>
      </c>
    </row>
    <row r="30" spans="1:1" ht="15" customHeight="1" x14ac:dyDescent="0.2">
      <c r="A30" s="143" t="s">
        <v>22</v>
      </c>
    </row>
    <row r="31" spans="1:1" ht="15" customHeight="1" x14ac:dyDescent="0.2">
      <c r="A31" s="143" t="s">
        <v>23</v>
      </c>
    </row>
    <row r="32" spans="1:1" ht="15" customHeight="1" x14ac:dyDescent="0.2">
      <c r="A32" s="143" t="s">
        <v>24</v>
      </c>
    </row>
    <row r="33" spans="1:1" ht="15" customHeight="1" x14ac:dyDescent="0.2">
      <c r="A33" s="143" t="s">
        <v>25</v>
      </c>
    </row>
  </sheetData>
  <hyperlinks>
    <hyperlink ref="A9" location="'C1 Aprop Resumen 2000-2026'!A1" display="Cuadro No. 1. Apropiaciones agregadas PGN 2000-2026 por fuente" xr:uid="{00000000-0004-0000-0000-000000000000}"/>
    <hyperlink ref="A10" location="'C2 Ejecución 00-18'!A1" display="Cuadro No. 2. Ejecución desagregada PGN 2000-2018 por compromisos, obligaciones y pagos" xr:uid="{00000000-0004-0000-0000-000001000000}"/>
    <hyperlink ref="A11" location="'C3 Ejecución Nación 00-18'!A1" display="Cuadro No. 3. Ejecución desagregada PGN 2000-2018 - Recurso Nación por compromisos, obligaciones y pagos" xr:uid="{00000000-0004-0000-0000-000002000000}"/>
    <hyperlink ref="A12" location="'C4 Ejecución Propios 00-18'!A1" display="Cuadro No. 4. Ejecución desagregada PGN 2000-2018 - Recurso Propios por compromisos, obligaciones y pagos" xr:uid="{00000000-0004-0000-0000-000003000000}"/>
    <hyperlink ref="A13" location="'C5 Ejecución PGN 2019-2026'!A1" display="Cuadro No. 5. Ejecución desagregada PGN por compromisos, obligaciones y pagos del 2019-2026" xr:uid="{00000000-0004-0000-0000-000004000000}"/>
    <hyperlink ref="A14" location="'C6 Ejec. Nac 19-26'!A1" display="Cuadro No. 6. Ejecución desagregada de gastos PGN Recurso Nación por compromisos, obligaciones y pagos del 2019 al 2026" xr:uid="{00000000-0004-0000-0000-000005000000}"/>
    <hyperlink ref="A15" location="'C7 Ejec. Prop 19-26'!A1" display="Cuadro No. 7. Ejecución desagregada PGN Recurso Propios por compromisos, obligaciones y pagos del 2019 al 2026" xr:uid="{00000000-0004-0000-0000-000006000000}"/>
    <hyperlink ref="A16" location="'C8 A Ejec. Sect. PGN 00-18'!A1" display="Cuadro No. 8.A Ejecución Sectorial PGN por compromisos, obligaciones y pagos del 2000-2018" xr:uid="{00000000-0004-0000-0000-000007000000}"/>
    <hyperlink ref="A17" location="'C8 B Ejec. Sect. PGN 19-26'!A1" display="Cuadro No. 8.B Ejecución Sectorial PGN por compromisos, obligaciones y pagos del 2019 al 2026" xr:uid="{00000000-0004-0000-0000-000008000000}"/>
    <hyperlink ref="A18" location="'C9 A Ejec. Sect. Nac 00-18'!A1" display="Cuadro No. 9.A Ejecución Sectorial PGN Recurso Nación por compromisos, obligaciones y pagos del 2000 al 2018" xr:uid="{00000000-0004-0000-0000-000009000000}"/>
    <hyperlink ref="A19" location="'C9 B Ejec. Sect. Nac 19-26'!A1" display="Cuadro No. 9.B Ejecución Sectorial PGN Recurso Nación por compromisos, obligaciones y pagos del 2019 al 2026" xr:uid="{00000000-0004-0000-0000-00000A000000}"/>
    <hyperlink ref="A20" location="'C10 A Ejec. Sect Prop 00-18'!A1" display="Cuadro No. 10.A Ejecución Sectorial PGN Recurso Propios por compromisos, obligación y pago del 2000 al 2018" xr:uid="{00000000-0004-0000-0000-00000B000000}"/>
    <hyperlink ref="A21" location="'C10 B Ejec. Sect Prop 19-26'!A1" display="Cuadro No. 10.B Ejecución Sectorial PGN Recurso Propios por compromisos, obligaciones y pagos del 2019 al 2026" xr:uid="{00000000-0004-0000-0000-00000C000000}"/>
    <hyperlink ref="A22" location="'C11 A Sec. Fto 00-18'!A1" display="Cuadro No. 11.A Ejecución Sectorial Funcionamiento PGN por compromisos, obligaciones y pagos del 2000 al 2018" xr:uid="{00000000-0004-0000-0000-00000D000000}"/>
    <hyperlink ref="A23" location="'C11 B Sec. Fto 19-26'!A1" display="Cuadro No. 11.B Ejecución Sectorial Funcionamiento PGN por compromisos, obligaciones y pagos del 2019 al 2026" xr:uid="{00000000-0004-0000-0000-00000E000000}"/>
    <hyperlink ref="A24" location="'C12 A Sec. Fto. Nac 00-18'!A1" display="Cuadro No. 12.A Ejecución Sectorial Funcionamiento PGN Recurso Nación por compromisos, obligaciones y pagos del 2000 al 2018" xr:uid="{00000000-0004-0000-0000-00000F000000}"/>
    <hyperlink ref="A25" location="'C12 B Sec. Fto. Nac 19-26'!A1" display="Cuadro No. 12.B Ejecución Sectorial Funcionamiento PGN Recurso Nación por compromisos, obligaciones y pagos del 2019 al 2026" xr:uid="{00000000-0004-0000-0000-000010000000}"/>
    <hyperlink ref="A26" location="'C13 A Sec. Fto. Prop 00-18'!A1" display="Cuadro No. 13.A Ejecución Sectorial Funcionamiento PGN Recurso Propios por compromisos, obligaciones y pagos del 2000 al 2018" xr:uid="{00000000-0004-0000-0000-000011000000}"/>
    <hyperlink ref="A27" location="'C13 B Sec. Fto. Prop 19-26'!A1" display="Cuadro No. 13.B Ejecución Sectorial Funcionamiento PGN Recurso Propios por compromisos, obligaciones y pagos del 2019 al 2026" xr:uid="{00000000-0004-0000-0000-000012000000}"/>
    <hyperlink ref="A28" location="'C14 A Sec. Invsión 00-18'!A1" display="Cuadro No. 14.A Ejecución Sectorial Inversión PGN por compromisos, obligaciones y pagos del 2000 al 2018" xr:uid="{00000000-0004-0000-0000-000013000000}"/>
    <hyperlink ref="A29" location="'C14 B Sec. Invsión 19-26'!A1" display="Cuadro No. 14.B Ejecución Sectorial Inversión PGN por compromisos, obligaciones y pagos del 2019 al 2026" xr:uid="{00000000-0004-0000-0000-000014000000}"/>
    <hyperlink ref="A30" location="'C15 A Sec. Invsión Nac 00-18'!A1" display="Cuadro No. 15.A Ejecución Sectorial Inversión PGN Recurso Nación por compromisos, obligaciones y pagos del 2000 al 2018" xr:uid="{00000000-0004-0000-0000-000015000000}"/>
    <hyperlink ref="A31" location="'C15 B Sec. Invsión Nac 19-26'!A1" display="Cuadro No. 15.B Ejecución Sectorial Inversión PGN Recurso Nación por compromisos, obligaciones y pagos del 2019 al 2026" xr:uid="{00000000-0004-0000-0000-000016000000}"/>
    <hyperlink ref="A32" location="'C16 A Sec. Invsión Prop 00-18'!A1" display="Cuadro No. 16.A Ejecución Sectorial Inversión PGN Recurso Propios por compromisos, obligaciones y pagos del 2000 al 2018" xr:uid="{00000000-0004-0000-0000-000017000000}"/>
    <hyperlink ref="A33" location="'C16 B Sec. Invsión Prop 19-26'!A1" display="Cuadro No. 16.B Ejecución Sectorial Inversión PGN Recurso Propios por compromisos, obligaciones y pagos del 2019-2026" xr:uid="{00000000-0004-0000-0000-000018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V276"/>
  <sheetViews>
    <sheetView showGridLines="0" zoomScaleNormal="100" workbookViewId="0">
      <pane xSplit="3" ySplit="7" topLeftCell="D65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2" customFormat="1" ht="16.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5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2" s="102" customFormat="1" ht="15" customHeight="1" x14ac:dyDescent="0.25">
      <c r="A5" s="169" t="s">
        <v>8</v>
      </c>
      <c r="B5" s="180"/>
      <c r="C5" s="18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5" customHeight="1" x14ac:dyDescent="0.25">
      <c r="A8" s="120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s="102" customFormat="1" ht="15" customHeight="1" x14ac:dyDescent="0.25">
      <c r="A9" s="99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1:22" ht="18" customHeight="1" x14ac:dyDescent="0.2">
      <c r="D10" s="164" t="s">
        <v>119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2" x14ac:dyDescent="0.2">
      <c r="C11" s="159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</row>
    <row r="12" spans="1:22" ht="9.9499999999999993" customHeight="1" x14ac:dyDescent="0.2">
      <c r="C12" s="181" t="s">
        <v>120</v>
      </c>
      <c r="D12" s="155" t="s">
        <v>27</v>
      </c>
      <c r="E12" s="155" t="s">
        <v>28</v>
      </c>
      <c r="F12" s="155" t="s">
        <v>29</v>
      </c>
      <c r="G12" s="155" t="s">
        <v>30</v>
      </c>
      <c r="H12" s="155" t="s">
        <v>121</v>
      </c>
      <c r="I12" s="155" t="s">
        <v>31</v>
      </c>
      <c r="J12" s="155" t="s">
        <v>32</v>
      </c>
      <c r="K12" s="155" t="s">
        <v>33</v>
      </c>
      <c r="L12" s="155" t="s">
        <v>34</v>
      </c>
      <c r="M12" s="155" t="s">
        <v>122</v>
      </c>
      <c r="N12" s="155">
        <v>2010</v>
      </c>
      <c r="O12" s="155">
        <v>2011</v>
      </c>
      <c r="P12" s="155">
        <v>2012</v>
      </c>
      <c r="Q12" s="155">
        <v>2013</v>
      </c>
      <c r="R12" s="155">
        <v>2014</v>
      </c>
      <c r="S12" s="155">
        <v>2015</v>
      </c>
      <c r="T12" s="155">
        <v>2016</v>
      </c>
      <c r="U12" s="155">
        <v>2017</v>
      </c>
      <c r="V12" s="155">
        <v>2018</v>
      </c>
    </row>
    <row r="13" spans="1:22" ht="9.9499999999999993" customHeight="1" thickBot="1" x14ac:dyDescent="0.25"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</row>
    <row r="14" spans="1:22" x14ac:dyDescent="0.2">
      <c r="C14" s="87" t="s">
        <v>123</v>
      </c>
      <c r="D14" s="56">
        <f>502.870515905*Deflactores!$A$5</f>
        <v>1876.6703094269608</v>
      </c>
      <c r="E14" s="56">
        <f>730.375774511*Deflactores!$B$5</f>
        <v>2532.042424629472</v>
      </c>
      <c r="F14" s="56">
        <f>760.035938714999*Deflactores!$C$5</f>
        <v>2462.6805975503257</v>
      </c>
      <c r="G14" s="56">
        <f>541.498867679*Deflactores!$D$5</f>
        <v>1647.6202925339428</v>
      </c>
      <c r="H14" s="56">
        <f>646.749844226999*Deflactores!$E$5</f>
        <v>1865.330850449446</v>
      </c>
      <c r="I14" s="56">
        <f>684.896573397*Deflactores!$F$5</f>
        <v>1883.8863696920816</v>
      </c>
      <c r="J14" s="56">
        <f>1028.791757464*Deflactores!$G$5</f>
        <v>2708.5231436917884</v>
      </c>
      <c r="K14" s="56">
        <f>1419.403948*Deflactores!$H$5</f>
        <v>3535.5652309609977</v>
      </c>
      <c r="L14" s="56">
        <f>1885.8719*Deflactores!$I$5</f>
        <v>4362.673280346783</v>
      </c>
      <c r="M14" s="56">
        <f>1639.7332562*Deflactores!$J$5</f>
        <v>3718.8258030040861</v>
      </c>
      <c r="N14" s="56">
        <f>1697.487840914*Deflactores!$K$5</f>
        <v>3731.4766421550171</v>
      </c>
      <c r="O14" s="56">
        <f>1744.571032593*Deflactores!$L$5</f>
        <v>3697.1937744242864</v>
      </c>
      <c r="P14" s="56">
        <f>2256.865825696*Deflactores!$M$5</f>
        <v>4668.9554129753706</v>
      </c>
      <c r="Q14" s="56">
        <f>3748.893145789*Deflactores!$N$5</f>
        <v>7608.0335474403591</v>
      </c>
      <c r="R14" s="56">
        <f>3461.546886102*Deflactores!$O$5</f>
        <v>6776.8577697410246</v>
      </c>
      <c r="S14" s="56">
        <f>3821.854176187*Deflactores!$P$5</f>
        <v>7007.8213551904819</v>
      </c>
      <c r="T14" s="56">
        <f>2589.323218248*Deflactores!$Q$5</f>
        <v>4489.6739149918485</v>
      </c>
      <c r="U14" s="56">
        <f>2842.220718388*Deflactores!$R$5</f>
        <v>4734.5349419347858</v>
      </c>
      <c r="V14" s="56">
        <f>2432.443231647*Deflactores!$S$5</f>
        <v>3927.0525707621528</v>
      </c>
    </row>
    <row r="15" spans="1:22" x14ac:dyDescent="0.2">
      <c r="C15" s="88" t="s">
        <v>124</v>
      </c>
      <c r="D15" s="57">
        <f>147.462385656*Deflactores!$A$5</f>
        <v>550.31717343747289</v>
      </c>
      <c r="E15" s="57">
        <f>161.862401862*Deflactores!$B$5</f>
        <v>561.13918721004336</v>
      </c>
      <c r="F15" s="57">
        <f>177.347796102*Deflactores!$C$5</f>
        <v>574.64516377623704</v>
      </c>
      <c r="G15" s="57">
        <f>213.131639417*Deflactores!$D$5</f>
        <v>648.49630358348907</v>
      </c>
      <c r="H15" s="57">
        <f>343.909085645*Deflactores!$E$5</f>
        <v>991.88926434178052</v>
      </c>
      <c r="I15" s="57">
        <f>316.354347659*Deflactores!$F$5</f>
        <v>870.16882066098924</v>
      </c>
      <c r="J15" s="57">
        <f>442.223359321*Deflactores!$G$5</f>
        <v>1164.2513606005159</v>
      </c>
      <c r="K15" s="57">
        <f>531.800187671*Deflactores!$H$5</f>
        <v>1324.6505732194296</v>
      </c>
      <c r="L15" s="57">
        <f>1475.307795815*Deflactores!$I$5</f>
        <v>3412.8966559655551</v>
      </c>
      <c r="M15" s="57">
        <f>1721.086434788*Deflactores!$J$5</f>
        <v>3903.3303854082824</v>
      </c>
      <c r="N15" s="57">
        <f>1918.519576732*Deflactores!$K$5</f>
        <v>4217.3562693903741</v>
      </c>
      <c r="O15" s="57">
        <f>1410.078614615*Deflactores!$L$5</f>
        <v>2988.3184909098777</v>
      </c>
      <c r="P15" s="57">
        <f>416.001383759*Deflactores!$M$5</f>
        <v>860.61470309509423</v>
      </c>
      <c r="Q15" s="57">
        <f>569.080069*Deflactores!$N$5</f>
        <v>1154.8956152551161</v>
      </c>
      <c r="R15" s="57">
        <f>589.780342128*Deflactores!$O$5</f>
        <v>1154.6449103543598</v>
      </c>
      <c r="S15" s="57">
        <f>716.815866512*Deflactores!$P$5</f>
        <v>1314.3666151317796</v>
      </c>
      <c r="T15" s="57">
        <f>699.37192265*Deflactores!$Q$5</f>
        <v>1212.6535057002154</v>
      </c>
      <c r="U15" s="57">
        <f>734.863679253*Deflactores!$R$5</f>
        <v>1224.1265234866689</v>
      </c>
      <c r="V15" s="57">
        <f>705.622561114*Deflactores!$S$5</f>
        <v>1139.1907759895635</v>
      </c>
    </row>
    <row r="16" spans="1:22" x14ac:dyDescent="0.2">
      <c r="C16" s="87" t="s">
        <v>125</v>
      </c>
      <c r="D16" s="56">
        <f>45.129433476*Deflactores!$A$5</f>
        <v>168.41923558244204</v>
      </c>
      <c r="E16" s="56">
        <f>75.9174265229999*Deflactores!$B$5</f>
        <v>263.1880073700766</v>
      </c>
      <c r="F16" s="56">
        <f>88.4200973889999*Deflactores!$C$5</f>
        <v>286.50021292618521</v>
      </c>
      <c r="G16" s="56">
        <f>73.44213883*Deflactores!$D$5</f>
        <v>223.4626247365203</v>
      </c>
      <c r="H16" s="56">
        <f>94.060336756*Deflactores!$E$5</f>
        <v>271.28518007504812</v>
      </c>
      <c r="I16" s="56">
        <f>99.325544478*Deflactores!$F$5</f>
        <v>273.20627182622201</v>
      </c>
      <c r="J16" s="56">
        <f>130.634067767*Deflactores!$G$5</f>
        <v>343.92324135032953</v>
      </c>
      <c r="K16" s="56">
        <f>137.227504215*Deflactores!$H$5</f>
        <v>341.8172771167379</v>
      </c>
      <c r="L16" s="56">
        <f>198.606499368*Deflactores!$I$5</f>
        <v>459.44545231093571</v>
      </c>
      <c r="M16" s="56">
        <f>237.043251318*Deflactores!$J$5</f>
        <v>537.60119586294502</v>
      </c>
      <c r="N16" s="56">
        <f>356.685774659*Deflactores!$K$5</f>
        <v>784.07904000795565</v>
      </c>
      <c r="O16" s="56">
        <f>379.576836664*Deflactores!$L$5</f>
        <v>804.42073794148814</v>
      </c>
      <c r="P16" s="56">
        <f>425.192068809*Deflactores!$M$5</f>
        <v>879.62819438224938</v>
      </c>
      <c r="Q16" s="56">
        <f>430.150279571*Deflactores!$N$5</f>
        <v>872.95039633045076</v>
      </c>
      <c r="R16" s="56">
        <f>376.768072066*Deflactores!$O$5</f>
        <v>737.61925537459888</v>
      </c>
      <c r="S16" s="56">
        <f>354.686305279*Deflactores!$P$5</f>
        <v>650.35926279312059</v>
      </c>
      <c r="T16" s="56">
        <f>306.516490806*Deflactores!$Q$5</f>
        <v>531.4744345503841</v>
      </c>
      <c r="U16" s="56">
        <f>380.331423347*Deflactores!$R$5</f>
        <v>633.55122341569859</v>
      </c>
      <c r="V16" s="56">
        <f>334.7780418*Deflactores!$S$5</f>
        <v>540.48166575103835</v>
      </c>
    </row>
    <row r="17" spans="3:22" x14ac:dyDescent="0.2">
      <c r="C17" s="88" t="s">
        <v>126</v>
      </c>
      <c r="D17" s="57">
        <f>252.244047566*Deflactores!$A$5</f>
        <v>941.35348926725067</v>
      </c>
      <c r="E17" s="57">
        <f>297.095778677*Deflactores!$B$5</f>
        <v>1029.961756730148</v>
      </c>
      <c r="F17" s="57">
        <f>293.965209835899*Deflactores!$C$5</f>
        <v>952.51077184804683</v>
      </c>
      <c r="G17" s="57">
        <f>214.21804198*Deflactores!$D$5</f>
        <v>651.80190404823611</v>
      </c>
      <c r="H17" s="57">
        <f>201.371701214*Deflactores!$E$5</f>
        <v>580.78846100212434</v>
      </c>
      <c r="I17" s="57">
        <f>225.673526507999*Deflactores!$F$5</f>
        <v>620.7408492060448</v>
      </c>
      <c r="J17" s="57">
        <f>317.885966922*Deflactores!$G$5</f>
        <v>836.90551777501764</v>
      </c>
      <c r="K17" s="57">
        <f>338.709333347*Deflactores!$H$5</f>
        <v>843.68438179349891</v>
      </c>
      <c r="L17" s="57">
        <f>327.398541101999*Deflactores!$I$5</f>
        <v>757.38594296368115</v>
      </c>
      <c r="M17" s="57">
        <f>480.084270815*Deflactores!$J$5</f>
        <v>1088.8050036020388</v>
      </c>
      <c r="N17" s="57">
        <f>467.240523727*Deflactores!$K$5</f>
        <v>1027.1043235377781</v>
      </c>
      <c r="O17" s="57">
        <f>590.689996335999*Deflactores!$L$5</f>
        <v>1251.8237069557329</v>
      </c>
      <c r="P17" s="57">
        <f>795.027825458*Deflactores!$M$5</f>
        <v>1644.7364424038949</v>
      </c>
      <c r="Q17" s="57">
        <f>1078.332831882*Deflactores!$N$5</f>
        <v>2188.3772199482073</v>
      </c>
      <c r="R17" s="57">
        <f>902.572983982*Deflactores!$O$5</f>
        <v>1767.0160019541399</v>
      </c>
      <c r="S17" s="57">
        <f>893.41317536*Deflactores!$P$5</f>
        <v>1638.1786537817939</v>
      </c>
      <c r="T17" s="57">
        <f>853.455904355*Deflactores!$Q$5</f>
        <v>1479.8224819422389</v>
      </c>
      <c r="U17" s="57">
        <f>988.926138671*Deflactores!$R$5</f>
        <v>1647.3405208255633</v>
      </c>
      <c r="V17" s="57">
        <f>844.063954732*Deflactores!$S$5</f>
        <v>1362.6971763174952</v>
      </c>
    </row>
    <row r="18" spans="3:22" x14ac:dyDescent="0.2">
      <c r="C18" s="87" t="s">
        <v>127</v>
      </c>
      <c r="D18" s="56">
        <f>194.10744778*Deflactores!$A$5</f>
        <v>724.39260717402556</v>
      </c>
      <c r="E18" s="56">
        <f>222.859320268*Deflactores!$B$5</f>
        <v>772.60127366692132</v>
      </c>
      <c r="F18" s="56">
        <f>196.468797251*Deflactores!$C$5</f>
        <v>636.60133734217857</v>
      </c>
      <c r="G18" s="56">
        <f>230.374907985*Deflactores!$D$5</f>
        <v>700.96245060245406</v>
      </c>
      <c r="H18" s="56">
        <f>230.193360479*Deflactores!$E$5</f>
        <v>663.91477431790611</v>
      </c>
      <c r="I18" s="56">
        <f>252.557433626*Deflactores!$F$5</f>
        <v>694.68811095459057</v>
      </c>
      <c r="J18" s="56">
        <f>301.754682913*Deflactores!$G$5</f>
        <v>794.43632441411467</v>
      </c>
      <c r="K18" s="56">
        <f>290.367705615*Deflactores!$H$5</f>
        <v>723.27117704079581</v>
      </c>
      <c r="L18" s="56">
        <f>321.209*Deflactores!$I$5</f>
        <v>743.06739588564301</v>
      </c>
      <c r="M18" s="56">
        <f>349.769350642*Deflactores!$J$5</f>
        <v>793.2578554159677</v>
      </c>
      <c r="N18" s="56">
        <f>379.682733535*Deflactores!$K$5</f>
        <v>834.6317525624022</v>
      </c>
      <c r="O18" s="56">
        <f>403.797018673*Deflactores!$L$5</f>
        <v>855.74951989770489</v>
      </c>
      <c r="P18" s="56">
        <f>427.242213704*Deflactores!$M$5</f>
        <v>883.86948998605089</v>
      </c>
      <c r="Q18" s="56">
        <f>467.87731726*Deflactores!$N$5</f>
        <v>949.51394648281178</v>
      </c>
      <c r="R18" s="56">
        <f>471.858594278*Deflactores!$O$5</f>
        <v>923.78311953268064</v>
      </c>
      <c r="S18" s="56">
        <f>476.201646874*Deflactores!$P$5</f>
        <v>873.17200408465055</v>
      </c>
      <c r="T18" s="56">
        <f>514.24660542*Deflactores!$Q$5</f>
        <v>891.66140169610435</v>
      </c>
      <c r="U18" s="56">
        <f>555.652081499*Deflactores!$R$5</f>
        <v>925.59813472469341</v>
      </c>
      <c r="V18" s="56">
        <f>587.450488892*Deflactores!$S$5</f>
        <v>948.40813655362615</v>
      </c>
    </row>
    <row r="19" spans="3:22" x14ac:dyDescent="0.2">
      <c r="C19" s="88" t="s">
        <v>128</v>
      </c>
      <c r="D19" s="57">
        <f>65.209411522*Deflactores!$A$5</f>
        <v>243.35601835455506</v>
      </c>
      <c r="E19" s="57">
        <f>68.516762193*Deflactores!$B$5</f>
        <v>237.53163060080632</v>
      </c>
      <c r="F19" s="57">
        <f>67.359684435*Deflactores!$C$5</f>
        <v>218.25992622881938</v>
      </c>
      <c r="G19" s="57">
        <f>67.172533656*Deflactores!$D$5</f>
        <v>204.38607753128815</v>
      </c>
      <c r="H19" s="57">
        <f>96.980442216*Deflactores!$E$5</f>
        <v>279.7072351396522</v>
      </c>
      <c r="I19" s="57">
        <f>106.06837541*Deflactores!$F$5</f>
        <v>291.75319960968142</v>
      </c>
      <c r="J19" s="57">
        <f>131.089528776*Deflactores!$G$5</f>
        <v>345.12234376826359</v>
      </c>
      <c r="K19" s="57">
        <f>150.247173095*Deflactores!$H$5</f>
        <v>374.24771291735249</v>
      </c>
      <c r="L19" s="57">
        <f>183.245690033*Deflactores!$I$5</f>
        <v>423.91059310321015</v>
      </c>
      <c r="M19" s="57">
        <f>204.394866031*Deflactores!$J$5</f>
        <v>463.55643451372123</v>
      </c>
      <c r="N19" s="57">
        <f>220.204642342*Deflactores!$K$5</f>
        <v>484.06148167214002</v>
      </c>
      <c r="O19" s="57">
        <f>243.312715371999*Deflactores!$L$5</f>
        <v>515.64209178376825</v>
      </c>
      <c r="P19" s="57">
        <f>349.130995151*Deflactores!$M$5</f>
        <v>722.27468336317077</v>
      </c>
      <c r="Q19" s="57">
        <f>415.68063493*Deflactores!$N$5</f>
        <v>843.58558448674057</v>
      </c>
      <c r="R19" s="57">
        <f>393.155245505999*Deflactores!$O$5</f>
        <v>769.70131212697947</v>
      </c>
      <c r="S19" s="57">
        <f>441.348925431*Deflactores!$P$5</f>
        <v>809.26541990973146</v>
      </c>
      <c r="T19" s="57">
        <f>381.006816285999*Deflactores!$Q$5</f>
        <v>660.6345443697727</v>
      </c>
      <c r="U19" s="57">
        <f>403.435953241*Deflactores!$R$5</f>
        <v>672.0384539789045</v>
      </c>
      <c r="V19" s="57">
        <f>404.419264465*Deflactores!$S$5</f>
        <v>652.91378294886999</v>
      </c>
    </row>
    <row r="20" spans="3:22" x14ac:dyDescent="0.2">
      <c r="C20" s="87" t="s">
        <v>129</v>
      </c>
      <c r="D20" s="56">
        <f>6664.87368560295*Deflactores!$A$5</f>
        <v>24872.745898300007</v>
      </c>
      <c r="E20" s="56">
        <f>7870.9053344965*Deflactores!$B$5</f>
        <v>27286.592631759599</v>
      </c>
      <c r="F20" s="56">
        <f>8848.59431268584*Deflactores!$C$5</f>
        <v>28671.356733851691</v>
      </c>
      <c r="G20" s="56">
        <f>9951.8655951397*Deflactores!$D$5</f>
        <v>30280.57246620618</v>
      </c>
      <c r="H20" s="56">
        <f>11171.455131368*Deflactores!$E$5</f>
        <v>32220.27819095775</v>
      </c>
      <c r="I20" s="56">
        <f>12109.4277170426*Deflactores!$F$5</f>
        <v>33308.366119806291</v>
      </c>
      <c r="J20" s="56">
        <f>13324.4777921817*Deflactores!$G$5</f>
        <v>35079.651655348978</v>
      </c>
      <c r="K20" s="56">
        <f>14808.7773423891*Deflactores!$H$5</f>
        <v>36886.890697019473</v>
      </c>
      <c r="L20" s="56">
        <f>18603.8541245079*Deflactores!$I$5</f>
        <v>43037.142289706899</v>
      </c>
      <c r="M20" s="56">
        <f>20541.7900067603*Deflactores!$J$5</f>
        <v>46587.662004285259</v>
      </c>
      <c r="N20" s="56">
        <f>21043.5349949551*Deflactores!$K$5</f>
        <v>46258.628432805897</v>
      </c>
      <c r="O20" s="56">
        <f>22001.8294634344*Deflactores!$L$5</f>
        <v>46627.523556463806</v>
      </c>
      <c r="P20" s="56">
        <f>23961.7743183799*Deflactores!$M$5</f>
        <v>49571.602633396353</v>
      </c>
      <c r="Q20" s="56">
        <f>26462.909724982*Deflactores!$N$5</f>
        <v>53704.03933136812</v>
      </c>
      <c r="R20" s="56">
        <f>27039.9698040033*Deflactores!$O$5</f>
        <v>52937.613006355459</v>
      </c>
      <c r="S20" s="56">
        <f>27313.6586414323*Deflactores!$P$5</f>
        <v>50082.821450497649</v>
      </c>
      <c r="T20" s="56">
        <f>28917.9990818539*Deflactores!$Q$5</f>
        <v>50141.436664444489</v>
      </c>
      <c r="U20" s="56">
        <f>29980.0795453865*Deflactores!$R$5</f>
        <v>49940.433285603765</v>
      </c>
      <c r="V20" s="56">
        <f>31442.3882201376*Deflactores!$S$5</f>
        <v>50762.093801131719</v>
      </c>
    </row>
    <row r="21" spans="3:22" x14ac:dyDescent="0.2">
      <c r="C21" s="88" t="s">
        <v>130</v>
      </c>
      <c r="D21" s="57">
        <f>40.031901078*Deflactores!$A$5</f>
        <v>149.39567504329946</v>
      </c>
      <c r="E21" s="57">
        <f>78.919547301*Deflactores!$B$5</f>
        <v>273.59565975811915</v>
      </c>
      <c r="F21" s="57">
        <f>38.875657759*Deflactores!$C$5</f>
        <v>125.96552768539064</v>
      </c>
      <c r="G21" s="57">
        <f>39.6662662215*Deflactores!$D$5</f>
        <v>120.69267187154938</v>
      </c>
      <c r="H21" s="57">
        <f>89.682200974*Deflactores!$E$5</f>
        <v>258.65793042896263</v>
      </c>
      <c r="I21" s="57">
        <f>72.727015362*Deflactores!$F$5</f>
        <v>200.04397491625497</v>
      </c>
      <c r="J21" s="57">
        <f>103.039490708*Deflactores!$G$5</f>
        <v>271.27437916569704</v>
      </c>
      <c r="K21" s="57">
        <f>86.478482597*Deflactores!$H$5</f>
        <v>215.40754253011204</v>
      </c>
      <c r="L21" s="57">
        <f>156.150002593*Deflactores!$I$5</f>
        <v>361.22890639526577</v>
      </c>
      <c r="M21" s="57">
        <f>146.521894787*Deflactores!$J$5</f>
        <v>332.30368474790805</v>
      </c>
      <c r="N21" s="57">
        <f>142.875385563*Deflactores!$K$5</f>
        <v>314.07362757907202</v>
      </c>
      <c r="O21" s="57">
        <f>175.599228686*Deflactores!$L$5</f>
        <v>372.13983435608651</v>
      </c>
      <c r="P21" s="57">
        <f>331.976815893999*Deflactores!$M$5</f>
        <v>686.78648677424655</v>
      </c>
      <c r="Q21" s="57">
        <f>388.716914916*Deflactores!$N$5</f>
        <v>788.86519677424235</v>
      </c>
      <c r="R21" s="57">
        <f>352.960951687*Deflactores!$O$5</f>
        <v>691.01076673521311</v>
      </c>
      <c r="S21" s="57">
        <f>436.371406503*Deflactores!$P$5</f>
        <v>800.13855063856943</v>
      </c>
      <c r="T21" s="57">
        <f>408.787614976*Deflactores!$Q$5</f>
        <v>708.80416890221341</v>
      </c>
      <c r="U21" s="57">
        <f>590.46427808*Deflactores!$R$5</f>
        <v>983.58784680156771</v>
      </c>
      <c r="V21" s="57">
        <f>569.193689811*Deflactores!$S$5</f>
        <v>918.93348784152272</v>
      </c>
    </row>
    <row r="22" spans="3:22" x14ac:dyDescent="0.2">
      <c r="C22" s="87" t="s">
        <v>131</v>
      </c>
      <c r="D22" s="56">
        <f>5235.26438328*Deflactores!$A$5</f>
        <v>19537.564679886887</v>
      </c>
      <c r="E22" s="56">
        <f>7757.8366176925*Deflactores!$B$5</f>
        <v>26894.609767818332</v>
      </c>
      <c r="F22" s="56">
        <f>8755.453902674*Deflactores!$C$5</f>
        <v>28369.561688512324</v>
      </c>
      <c r="G22" s="56">
        <f>10167.971275037*Deflactores!$D$5</f>
        <v>30938.117892029139</v>
      </c>
      <c r="H22" s="56">
        <f>11584.321929913*Deflactores!$E$5</f>
        <v>33411.052619937713</v>
      </c>
      <c r="I22" s="56">
        <f>12622.644606891*Deflactores!$F$5</f>
        <v>34720.027881648297</v>
      </c>
      <c r="J22" s="56">
        <f>13594.329739221*Deflactores!$G$5</f>
        <v>35790.096931201428</v>
      </c>
      <c r="K22" s="56">
        <f>14382.471192177*Deflactores!$H$5</f>
        <v>35825.013135978101</v>
      </c>
      <c r="L22" s="56">
        <f>16273.788039058*Deflactores!$I$5</f>
        <v>37646.894387696957</v>
      </c>
      <c r="M22" s="56">
        <f>18860.763135137*Deflactores!$J$5</f>
        <v>42775.184528391786</v>
      </c>
      <c r="N22" s="56">
        <f>20860.213156443*Deflactores!$K$5</f>
        <v>45855.64400963825</v>
      </c>
      <c r="O22" s="56">
        <f>21770.7063794149*Deflactores!$L$5</f>
        <v>46137.714422070145</v>
      </c>
      <c r="P22" s="56">
        <f>23375.519944662*Deflactores!$M$5</f>
        <v>48358.772211496303</v>
      </c>
      <c r="Q22" s="56">
        <f>25277.959412202*Deflactores!$N$5</f>
        <v>51299.291748256393</v>
      </c>
      <c r="R22" s="56">
        <f>26933.831212576*Deflactores!$O$5</f>
        <v>52729.819738879756</v>
      </c>
      <c r="S22" s="56">
        <f>29064.662956158*Deflactores!$P$5</f>
        <v>53293.494821088607</v>
      </c>
      <c r="T22" s="56">
        <f>31612.857536642*Deflactores!$Q$5</f>
        <v>54814.100016702185</v>
      </c>
      <c r="U22" s="56">
        <f>35595.553160417*Deflactores!$R$5</f>
        <v>59294.61745359256</v>
      </c>
      <c r="V22" s="56">
        <f>38244.224913605*Deflactores!$S$5</f>
        <v>61743.30393810969</v>
      </c>
    </row>
    <row r="23" spans="3:22" x14ac:dyDescent="0.2">
      <c r="C23" s="88" t="s">
        <v>132</v>
      </c>
      <c r="D23" s="57">
        <f>42.822493772*Deflactores!$A$5</f>
        <v>159.80993137548609</v>
      </c>
      <c r="E23" s="57">
        <f>54.143454326*Deflactores!$B$5</f>
        <v>187.70272530083125</v>
      </c>
      <c r="F23" s="57">
        <f>55.42238912*Deflactores!$C$5</f>
        <v>179.58051113539366</v>
      </c>
      <c r="G23" s="57">
        <f>41.64250792584*Deflactores!$D$5</f>
        <v>126.70578866527212</v>
      </c>
      <c r="H23" s="57">
        <f>50.0477508*Deflactores!$E$5</f>
        <v>144.3457843803973</v>
      </c>
      <c r="I23" s="57">
        <f>50.679495106*Deflactores!$F$5</f>
        <v>139.39974846060187</v>
      </c>
      <c r="J23" s="57">
        <f>73.7477745*Deflactores!$G$5</f>
        <v>194.15742066343563</v>
      </c>
      <c r="K23" s="57">
        <f>122.694552557*Deflactores!$H$5</f>
        <v>305.61743516359871</v>
      </c>
      <c r="L23" s="57">
        <f>115.013341134999*Deflactores!$I$5</f>
        <v>266.06559557574917</v>
      </c>
      <c r="M23" s="57">
        <f>163.92961532*Deflactores!$J$5</f>
        <v>371.78344771839727</v>
      </c>
      <c r="N23" s="57">
        <f>158.065175529*Deflactores!$K$5</f>
        <v>347.46435067659388</v>
      </c>
      <c r="O23" s="57">
        <f>166.849637*Deflactores!$L$5</f>
        <v>353.59720392953824</v>
      </c>
      <c r="P23" s="57">
        <f>183.758158342*Deflactores!$M$5</f>
        <v>380.15492028848388</v>
      </c>
      <c r="Q23" s="57">
        <f>222.128543*Deflactores!$N$5</f>
        <v>450.78943071138821</v>
      </c>
      <c r="R23" s="57">
        <f>237.491982593*Deflactores!$O$5</f>
        <v>464.95091369366105</v>
      </c>
      <c r="S23" s="57">
        <f>261.591623623*Deflactores!$P$5</f>
        <v>479.65916067293557</v>
      </c>
      <c r="T23" s="57">
        <f>294.470123572*Deflactores!$Q$5</f>
        <v>510.58702259665478</v>
      </c>
      <c r="U23" s="57">
        <f>368.599677029*Deflactores!$R$5</f>
        <v>614.00863036050885</v>
      </c>
      <c r="V23" s="57">
        <f>461.126243087*Deflactores!$S$5</f>
        <v>744.46423858967671</v>
      </c>
    </row>
    <row r="24" spans="3:22" x14ac:dyDescent="0.2">
      <c r="C24" s="87" t="s">
        <v>133</v>
      </c>
      <c r="D24" s="56">
        <f>646.961704317*Deflactores!$A$5</f>
        <v>2414.4064593704416</v>
      </c>
      <c r="E24" s="56">
        <f>672.22750337026*Deflactores!$B$5</f>
        <v>2330.4559336950115</v>
      </c>
      <c r="F24" s="56">
        <f>704.592162803*Deflactores!$C$5</f>
        <v>2283.0307885896359</v>
      </c>
      <c r="G24" s="56">
        <f>736.541162227*Deflactores!$D$5</f>
        <v>2241.0760901002018</v>
      </c>
      <c r="H24" s="56">
        <f>791.570870265*Deflactores!$E$5</f>
        <v>2283.018044460754</v>
      </c>
      <c r="I24" s="56">
        <f>875.02590564184*Deflactores!$F$5</f>
        <v>2406.8588467161289</v>
      </c>
      <c r="J24" s="56">
        <f>966.475895626839*Deflactores!$G$5</f>
        <v>2544.4627760026965</v>
      </c>
      <c r="K24" s="56">
        <f>1104.70214083732*Deflactores!$H$5</f>
        <v>2751.6807214859236</v>
      </c>
      <c r="L24" s="56">
        <f>1290.569836764*Deflactores!$I$5</f>
        <v>2985.5339290393013</v>
      </c>
      <c r="M24" s="56">
        <f>1480.874252265*Deflactores!$J$5</f>
        <v>3358.5422260020055</v>
      </c>
      <c r="N24" s="56">
        <f>1626.553948093*Deflactores!$K$5</f>
        <v>3575.5472989108443</v>
      </c>
      <c r="O24" s="56">
        <f>1725.857917926*Deflactores!$L$5</f>
        <v>3657.5358815931259</v>
      </c>
      <c r="P24" s="56">
        <f>2048.572646491*Deflactores!$M$5</f>
        <v>4238.042969948272</v>
      </c>
      <c r="Q24" s="56">
        <f>2287.377278269*Deflactores!$N$5</f>
        <v>4642.0216293096873</v>
      </c>
      <c r="R24" s="56">
        <f>2696.67336166*Deflactores!$O$5</f>
        <v>5279.4234556789179</v>
      </c>
      <c r="S24" s="56">
        <f>3018.396446261*Deflactores!$P$5</f>
        <v>5534.5866428745521</v>
      </c>
      <c r="T24" s="56">
        <f>3247.993591445*Deflactores!$Q$5</f>
        <v>5631.7542749406703</v>
      </c>
      <c r="U24" s="56">
        <f>3440.189197783*Deflactores!$R$5</f>
        <v>5730.6231913642432</v>
      </c>
      <c r="V24" s="56">
        <f>3748.83873655699*Deflactores!$S$5</f>
        <v>6052.3043688056487</v>
      </c>
    </row>
    <row r="25" spans="3:22" x14ac:dyDescent="0.2">
      <c r="C25" s="88" t="s">
        <v>134</v>
      </c>
      <c r="D25" s="57">
        <f>7366.947957585*Deflactores!$A$5</f>
        <v>27492.827807198737</v>
      </c>
      <c r="E25" s="57">
        <f>7243.27536926699*Deflactores!$B$5</f>
        <v>25110.745958868745</v>
      </c>
      <c r="F25" s="57">
        <f>6488.700006024*Deflactores!$C$5</f>
        <v>21024.789479267074</v>
      </c>
      <c r="G25" s="57">
        <f>5355.27287352454*Deflactores!$D$5</f>
        <v>16294.505464609996</v>
      </c>
      <c r="H25" s="57">
        <f>6453.260336993*Deflactores!$E$5</f>
        <v>18612.243512732675</v>
      </c>
      <c r="I25" s="57">
        <f>7567.80345635401*Deflactores!$F$5</f>
        <v>20816.109079392267</v>
      </c>
      <c r="J25" s="57">
        <f>6496.52971387102*Deflactores!$G$5</f>
        <v>17103.559545496046</v>
      </c>
      <c r="K25" s="57">
        <f>7777.42236669518*Deflactores!$H$5</f>
        <v>19372.627605362894</v>
      </c>
      <c r="L25" s="57">
        <f>8281.097938069*Deflactores!$I$5</f>
        <v>19157.040680413375</v>
      </c>
      <c r="M25" s="57">
        <f>8721.02018793399*Deflactores!$J$5</f>
        <v>19778.799253341913</v>
      </c>
      <c r="N25" s="57">
        <f>9501.68139641099*Deflactores!$K$5</f>
        <v>20886.925571623433</v>
      </c>
      <c r="O25" s="57">
        <f>8577.206432302*Deflactores!$L$5</f>
        <v>18177.30183008092</v>
      </c>
      <c r="P25" s="57">
        <f>10208.986314365*Deflactores!$M$5</f>
        <v>21120.131011220546</v>
      </c>
      <c r="Q25" s="57">
        <f>14356.20747294*Deflactores!$N$5</f>
        <v>29134.601553215063</v>
      </c>
      <c r="R25" s="57">
        <f>17469.210691712*Deflactores!$O$5</f>
        <v>34200.419668642622</v>
      </c>
      <c r="S25" s="57">
        <f>18203.9531109518*Deflactores!$P$5</f>
        <v>33379.099640868226</v>
      </c>
      <c r="T25" s="57">
        <f>18671.8082959741*Deflactores!$Q$5</f>
        <v>32375.382903678197</v>
      </c>
      <c r="U25" s="57">
        <f>21204.2139496264*Deflactores!$R$5</f>
        <v>35321.708553903511</v>
      </c>
      <c r="V25" s="57">
        <f>12971.794703872*Deflactores!$S$5</f>
        <v>20942.285138036896</v>
      </c>
    </row>
    <row r="26" spans="3:22" x14ac:dyDescent="0.2">
      <c r="C26" s="87" t="s">
        <v>135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3:22" x14ac:dyDescent="0.2">
      <c r="C27" s="88" t="s">
        <v>136</v>
      </c>
      <c r="D27" s="57">
        <f>1201.117389216*Deflactores!$A$5</f>
        <v>4482.4686896217409</v>
      </c>
      <c r="E27" s="57">
        <f>1316.739251351*Deflactores!$B$5</f>
        <v>4564.8278091202883</v>
      </c>
      <c r="F27" s="57">
        <f>1268.002129679*Deflactores!$C$5</f>
        <v>4108.6007691853647</v>
      </c>
      <c r="G27" s="57">
        <f>1264.980385529*Deflactores!$D$5</f>
        <v>3848.9597619814535</v>
      </c>
      <c r="H27" s="57">
        <f>1435.936598341*Deflactores!$E$5</f>
        <v>4141.4727194503848</v>
      </c>
      <c r="I27" s="57">
        <f>1768.01077890105*Deflactores!$F$5</f>
        <v>4863.1158881703323</v>
      </c>
      <c r="J27" s="57">
        <f>2970.999536595*Deflactores!$G$5</f>
        <v>7821.8171426657455</v>
      </c>
      <c r="K27" s="57">
        <f>3892.14683632*Deflactores!$H$5</f>
        <v>9694.8716027439423</v>
      </c>
      <c r="L27" s="57">
        <f>5071.039032539*Deflactores!$I$5</f>
        <v>11731.06534481663</v>
      </c>
      <c r="M27" s="57">
        <f>5966.859436697*Deflactores!$J$5</f>
        <v>13532.512530428747</v>
      </c>
      <c r="N27" s="57">
        <f>6427.499033196*Deflactores!$K$5</f>
        <v>14129.151285661514</v>
      </c>
      <c r="O27" s="57">
        <f>6897.57159564*Deflactores!$L$5</f>
        <v>14617.724521163371</v>
      </c>
      <c r="P27" s="57">
        <f>8818.534210922*Deflactores!$M$5</f>
        <v>18243.593646465546</v>
      </c>
      <c r="Q27" s="57">
        <f>9573.606581372*Deflactores!$N$5</f>
        <v>19428.753290258079</v>
      </c>
      <c r="R27" s="57">
        <f>9906.983800907*Deflactores!$O$5</f>
        <v>19395.438616022475</v>
      </c>
      <c r="S27" s="57">
        <f>10974.148296176*Deflactores!$P$5</f>
        <v>20122.397987904424</v>
      </c>
      <c r="T27" s="57">
        <f>10882.870635556*Deflactores!$Q$5</f>
        <v>18870.004358029422</v>
      </c>
      <c r="U27" s="57">
        <f>11437.7891081949*Deflactores!$R$5</f>
        <v>19052.922892611656</v>
      </c>
      <c r="V27" s="57">
        <f>11264.565844549*Deflactores!$S$5</f>
        <v>18186.053299341856</v>
      </c>
    </row>
    <row r="28" spans="3:22" x14ac:dyDescent="0.2">
      <c r="C28" s="87" t="s">
        <v>137</v>
      </c>
      <c r="D28" s="56">
        <f>93.781670512*Deflactores!$A$5</f>
        <v>349.98527663049731</v>
      </c>
      <c r="E28" s="56">
        <f>80.957396358*Deflactores!$B$5</f>
        <v>280.66040703943452</v>
      </c>
      <c r="F28" s="56">
        <f>97.996496342*Deflactores!$C$5</f>
        <v>317.52981388930237</v>
      </c>
      <c r="G28" s="56">
        <f>85.40912443378*Deflactores!$D$5</f>
        <v>259.87460913412707</v>
      </c>
      <c r="H28" s="56">
        <f>123.573872716*Deflactores!$E$5</f>
        <v>356.40697735640094</v>
      </c>
      <c r="I28" s="56">
        <f>263.357154131*Deflactores!$F$5</f>
        <v>724.39397757171025</v>
      </c>
      <c r="J28" s="56">
        <f>138.690704354*Deflactores!$G$5</f>
        <v>365.13412926606702</v>
      </c>
      <c r="K28" s="56">
        <f>163.997302716*Deflactores!$H$5</f>
        <v>408.49763893574521</v>
      </c>
      <c r="L28" s="56">
        <f>196.061682732319*Deflactores!$I$5</f>
        <v>453.55841218913986</v>
      </c>
      <c r="M28" s="56">
        <f>198.949024679999*Deflactores!$J$5</f>
        <v>451.20556265173167</v>
      </c>
      <c r="N28" s="56">
        <f>245.032028166*Deflactores!$K$5</f>
        <v>538.63790222437433</v>
      </c>
      <c r="O28" s="56">
        <f>251.644502951*Deflactores!$L$5</f>
        <v>533.29928807523879</v>
      </c>
      <c r="P28" s="56">
        <f>334.485674247*Deflactores!$M$5</f>
        <v>691.9767589004241</v>
      </c>
      <c r="Q28" s="56">
        <f>431.34005182*Deflactores!$N$5</f>
        <v>875.36492958925351</v>
      </c>
      <c r="R28" s="56">
        <f>596.003968751*Deflactores!$O$5</f>
        <v>1166.8292411821126</v>
      </c>
      <c r="S28" s="56">
        <f>389.395793514*Deflactores!$P$5</f>
        <v>714.0032119517565</v>
      </c>
      <c r="T28" s="56">
        <f>340.37015970877*Deflactores!$Q$5</f>
        <v>590.17391753821244</v>
      </c>
      <c r="U28" s="56">
        <f>399.429544353*Deflactores!$R$5</f>
        <v>665.36462926529384</v>
      </c>
      <c r="V28" s="56">
        <f>622.19599437*Deflactores!$S$5</f>
        <v>1004.5029406726198</v>
      </c>
    </row>
    <row r="29" spans="3:22" x14ac:dyDescent="0.2">
      <c r="C29" s="88" t="s">
        <v>138</v>
      </c>
      <c r="D29" s="57">
        <f>164.617405215*Deflactores!$A$5</f>
        <v>614.33825808204585</v>
      </c>
      <c r="E29" s="57">
        <f>191.475974999999*Deflactores!$B$5</f>
        <v>663.80253688163339</v>
      </c>
      <c r="F29" s="57">
        <f>194.823589679*Deflactores!$C$5</f>
        <v>631.27050946927909</v>
      </c>
      <c r="G29" s="57">
        <f>241.0721394636*Deflactores!$D$5</f>
        <v>733.5109501655636</v>
      </c>
      <c r="H29" s="57">
        <f>252.85680243*Deflactores!$E$5</f>
        <v>729.2797957801032</v>
      </c>
      <c r="I29" s="57">
        <f>269.18878301828*Deflactores!$F$5</f>
        <v>740.43453989977036</v>
      </c>
      <c r="J29" s="57">
        <f>313.162736*Deflactores!$G$5</f>
        <v>824.47056174779129</v>
      </c>
      <c r="K29" s="57">
        <f>314.113713421*Deflactores!$H$5</f>
        <v>782.41963840115704</v>
      </c>
      <c r="L29" s="57">
        <f>416.638740236*Deflactores!$I$5</f>
        <v>963.82935637618925</v>
      </c>
      <c r="M29" s="57">
        <f>399.585633481999*Deflactores!$J$5</f>
        <v>906.2384742664168</v>
      </c>
      <c r="N29" s="57">
        <f>408.071502612*Deflactores!$K$5</f>
        <v>897.03692929304668</v>
      </c>
      <c r="O29" s="57">
        <f>370.013607793*Deflactores!$L$5</f>
        <v>784.15380149424948</v>
      </c>
      <c r="P29" s="57">
        <f>220.984705*Deflactores!$M$5</f>
        <v>457.1683982481884</v>
      </c>
      <c r="Q29" s="57">
        <f>226.425717*Deflactores!$N$5</f>
        <v>459.51014978227221</v>
      </c>
      <c r="R29" s="57">
        <f>165.418545*Deflactores!$O$5</f>
        <v>323.84884238990276</v>
      </c>
      <c r="S29" s="57">
        <f>81.952073188*Deflactores!$P$5</f>
        <v>150.26881249613103</v>
      </c>
      <c r="T29" s="57">
        <f>94.3245*Deflactores!$Q$5</f>
        <v>163.55094034231456</v>
      </c>
      <c r="U29" s="57">
        <f>93.594885526*Deflactores!$R$5</f>
        <v>155.90916393029423</v>
      </c>
      <c r="V29" s="57">
        <f>95.960207596*Deflactores!$S$5</f>
        <v>154.92274394234636</v>
      </c>
    </row>
    <row r="30" spans="3:22" x14ac:dyDescent="0.2">
      <c r="C30" s="87" t="s">
        <v>139</v>
      </c>
      <c r="D30" s="56">
        <f>636.389560684*Deflactores!$A$5</f>
        <v>2374.9521119081683</v>
      </c>
      <c r="E30" s="56">
        <f>807.580767556*Deflactores!$B$5</f>
        <v>2799.6941247615646</v>
      </c>
      <c r="F30" s="56">
        <f>779.818446641*Deflactores!$C$5</f>
        <v>2526.7801959490753</v>
      </c>
      <c r="G30" s="56">
        <f>775.15312679325*Deflactores!$D$5</f>
        <v>2358.5608350390735</v>
      </c>
      <c r="H30" s="56">
        <f>1002.3379383122*Deflactores!$E$5</f>
        <v>2890.904258576687</v>
      </c>
      <c r="I30" s="56">
        <f>1042.25330177063*Deflactores!$F$5</f>
        <v>2866.8369287257678</v>
      </c>
      <c r="J30" s="56">
        <f>1363.43850119429*Deflactores!$G$5</f>
        <v>3589.5551346448283</v>
      </c>
      <c r="K30" s="56">
        <f>1565.02518952216*Deflactores!$H$5</f>
        <v>3898.2903023831068</v>
      </c>
      <c r="L30" s="56">
        <f>1813.57789659499*Deflactores!$I$5</f>
        <v>4195.4322726281061</v>
      </c>
      <c r="M30" s="56">
        <f>2247.660641906*Deflactores!$J$5</f>
        <v>5097.5720349098328</v>
      </c>
      <c r="N30" s="56">
        <f>3144.55376386961*Deflactores!$K$5</f>
        <v>6912.4671394182706</v>
      </c>
      <c r="O30" s="56">
        <f>6589.23311235299*Deflactores!$L$5</f>
        <v>13964.276137849471</v>
      </c>
      <c r="P30" s="56">
        <f>2675.15154238889*Deflactores!$M$5</f>
        <v>5534.2958948452997</v>
      </c>
      <c r="Q30" s="56">
        <f>3424.975978426*Deflactores!$N$5</f>
        <v>6950.6734733988524</v>
      </c>
      <c r="R30" s="56">
        <f>3614.0608916104*Deflactores!$O$5</f>
        <v>7075.4426964319391</v>
      </c>
      <c r="S30" s="56">
        <f>3583.61973111*Deflactores!$P$5</f>
        <v>6570.9903420778382</v>
      </c>
      <c r="T30" s="56">
        <f>3725.897809151*Deflactores!$Q$5</f>
        <v>6460.4009595175767</v>
      </c>
      <c r="U30" s="56">
        <f>4186.99125571126*Deflactores!$R$5</f>
        <v>6974.6365134455436</v>
      </c>
      <c r="V30" s="56">
        <f>3863.998058346*Deflactores!$S$5</f>
        <v>6238.223079998982</v>
      </c>
    </row>
    <row r="31" spans="3:22" x14ac:dyDescent="0.2">
      <c r="C31" s="88" t="s">
        <v>140</v>
      </c>
      <c r="D31" s="57">
        <f>386.144118322*Deflactores!$A$5</f>
        <v>1441.0572485256803</v>
      </c>
      <c r="E31" s="57">
        <f>635.650528905*Deflactores!$B$5</f>
        <v>2203.6520960778148</v>
      </c>
      <c r="F31" s="57">
        <f>431.020439883*Deflactores!$C$5</f>
        <v>1396.5993190297056</v>
      </c>
      <c r="G31" s="57">
        <f>431.450541862069*Deflactores!$D$5</f>
        <v>1312.7759085511352</v>
      </c>
      <c r="H31" s="57">
        <f>3048.17606754899*Deflactores!$E$5</f>
        <v>8791.4313503957474</v>
      </c>
      <c r="I31" s="57">
        <f>3025.480241108*Deflactores!$F$5</f>
        <v>8321.92948451542</v>
      </c>
      <c r="J31" s="57">
        <f>1170.949296033*Deflactores!$G$5</f>
        <v>3082.784485183794</v>
      </c>
      <c r="K31" s="57">
        <f>4100.811942*Deflactores!$H$5</f>
        <v>10214.631388953168</v>
      </c>
      <c r="L31" s="57">
        <f>1854.205581086*Deflactores!$I$5</f>
        <v>4289.4181438695659</v>
      </c>
      <c r="M31" s="57">
        <f>7335.24881039799*Deflactores!$J$5</f>
        <v>16635.945172435953</v>
      </c>
      <c r="N31" s="57">
        <f>2410.941794472*Deflactores!$K$5</f>
        <v>5299.8158660291429</v>
      </c>
      <c r="O31" s="57">
        <f>2946.99259999999*Deflactores!$L$5</f>
        <v>6245.4336856665532</v>
      </c>
      <c r="P31" s="57">
        <f>2809.265616633*Deflactores!$M$5</f>
        <v>5811.7482031610198</v>
      </c>
      <c r="Q31" s="57">
        <f>3504.351208229*Deflactores!$N$5</f>
        <v>7111.7581956602316</v>
      </c>
      <c r="R31" s="57">
        <f>3046.67754875862*Deflactores!$O$5</f>
        <v>5964.6456042808604</v>
      </c>
      <c r="S31" s="57">
        <f>3448.632175928*Deflactores!$P$5</f>
        <v>6323.4747048294412</v>
      </c>
      <c r="T31" s="57">
        <f>3290.714423059*Deflactores!$Q$5</f>
        <v>5705.8286902057962</v>
      </c>
      <c r="U31" s="57">
        <f>3919.927051289*Deflactores!$R$5</f>
        <v>6529.7643754736755</v>
      </c>
      <c r="V31" s="57">
        <f>4192.09876769189*Deflactores!$S$5</f>
        <v>6767.9245412056407</v>
      </c>
    </row>
    <row r="32" spans="3:22" x14ac:dyDescent="0.2">
      <c r="C32" s="87" t="s">
        <v>141</v>
      </c>
      <c r="D32" s="56">
        <f>381.319260334*Deflactores!$A$5</f>
        <v>1423.0512858635311</v>
      </c>
      <c r="E32" s="56">
        <f>386.423269198*Deflactores!$B$5</f>
        <v>1339.6393276165747</v>
      </c>
      <c r="F32" s="56">
        <f>414.977807931999*Deflactores!$C$5</f>
        <v>1344.6177265458455</v>
      </c>
      <c r="G32" s="56">
        <f>424.217197282*Deflactores!$D$5</f>
        <v>1290.7669884510899</v>
      </c>
      <c r="H32" s="56">
        <f>487.315061684*Deflactores!$E$5</f>
        <v>1405.4952259544634</v>
      </c>
      <c r="I32" s="56">
        <f>510.267212959549*Deflactores!$F$5</f>
        <v>1403.5483381489375</v>
      </c>
      <c r="J32" s="56">
        <f>572.81673095*Deflactores!$G$5</f>
        <v>1508.0674603152013</v>
      </c>
      <c r="K32" s="56">
        <f>647.106329961*Deflactores!$H$5</f>
        <v>1611.8643633256168</v>
      </c>
      <c r="L32" s="56">
        <f>744.337243308*Deflactores!$I$5</f>
        <v>1721.9092150144418</v>
      </c>
      <c r="M32" s="56">
        <f>850.879748751*Deflactores!$J$5</f>
        <v>1929.7489716357275</v>
      </c>
      <c r="N32" s="56">
        <f>994.759660481*Deflactores!$K$5</f>
        <v>2186.7151847427958</v>
      </c>
      <c r="O32" s="56">
        <f>1004.824759893*Deflactores!$L$5</f>
        <v>2129.4815615171783</v>
      </c>
      <c r="P32" s="56">
        <f>1190.62004141099*Deflactores!$M$5</f>
        <v>2463.1290987041575</v>
      </c>
      <c r="Q32" s="56">
        <f>1325.27364643099*Deflactores!$N$5</f>
        <v>2689.5208717568166</v>
      </c>
      <c r="R32" s="56">
        <f>1408.792842327*Deflactores!$O$5</f>
        <v>2758.0700286946653</v>
      </c>
      <c r="S32" s="56">
        <f>1554.328863375*Deflactores!$P$5</f>
        <v>2850.0456845309304</v>
      </c>
      <c r="T32" s="56">
        <f>1589.501273765*Deflactores!$Q$5</f>
        <v>2756.0647339723241</v>
      </c>
      <c r="U32" s="56">
        <f>1780.736956557*Deflactores!$R$5</f>
        <v>2966.3288599188895</v>
      </c>
      <c r="V32" s="56">
        <f>1887.10331351*Deflactores!$S$5</f>
        <v>3046.6297515997617</v>
      </c>
    </row>
    <row r="33" spans="3:22" x14ac:dyDescent="0.2">
      <c r="C33" s="88" t="s">
        <v>142</v>
      </c>
      <c r="D33" s="57">
        <f>509.125333395*Deflactores!$A$5</f>
        <v>1900.0127602231514</v>
      </c>
      <c r="E33" s="57">
        <f>1099.332188813*Deflactores!$B$5</f>
        <v>3811.128241074171</v>
      </c>
      <c r="F33" s="57">
        <f>901.756571036*Deflactores!$C$5</f>
        <v>2921.8860557548051</v>
      </c>
      <c r="G33" s="57">
        <f>437.634885789*Deflactores!$D$5</f>
        <v>1331.5930310941521</v>
      </c>
      <c r="H33" s="57">
        <f>348.056709425*Deflactores!$E$5</f>
        <v>1003.851680200015</v>
      </c>
      <c r="I33" s="57">
        <f>307.417150541*Deflactores!$F$5</f>
        <v>845.58603767180921</v>
      </c>
      <c r="J33" s="57">
        <f>409.142557694*Deflactores!$G$5</f>
        <v>1077.1587918969396</v>
      </c>
      <c r="K33" s="57">
        <f>449.952289433*Deflactores!$H$5</f>
        <v>1120.7772617176167</v>
      </c>
      <c r="L33" s="57">
        <f>659.739426838*Deflactores!$I$5</f>
        <v>1526.2052366639768</v>
      </c>
      <c r="M33" s="57">
        <f>1188.397739238*Deflactores!$J$5</f>
        <v>2695.2214088478254</v>
      </c>
      <c r="N33" s="57">
        <f>1077.612169303*Deflactores!$K$5</f>
        <v>2368.8444430276559</v>
      </c>
      <c r="O33" s="57">
        <f>950.256311713*Deflactores!$L$5</f>
        <v>2013.8370144497976</v>
      </c>
      <c r="P33" s="57">
        <f>1062.662911678*Deflactores!$M$5</f>
        <v>2198.4141445879136</v>
      </c>
      <c r="Q33" s="57">
        <f>712.036053013*Deflactores!$N$5</f>
        <v>1445.0116254700058</v>
      </c>
      <c r="R33" s="57">
        <f>507.902211443*Deflactores!$O$5</f>
        <v>994.34766049409507</v>
      </c>
      <c r="S33" s="57">
        <f>439.438618305*Deflactores!$P$5</f>
        <v>805.76264600591082</v>
      </c>
      <c r="T33" s="57">
        <f>572.412897608*Deflactores!$Q$5</f>
        <v>992.51697775082209</v>
      </c>
      <c r="U33" s="57">
        <f>550.7762706*Deflactores!$R$5</f>
        <v>917.47607125431136</v>
      </c>
      <c r="V33" s="57">
        <f>495.047022141*Deflactores!$S$5</f>
        <v>799.22756496587772</v>
      </c>
    </row>
    <row r="34" spans="3:22" x14ac:dyDescent="0.2">
      <c r="C34" s="87" t="s">
        <v>143</v>
      </c>
      <c r="D34" s="56">
        <f>788.707673448*Deflactores!$A$5</f>
        <v>2943.3904489574384</v>
      </c>
      <c r="E34" s="56">
        <f>823.168221627*Deflactores!$B$5</f>
        <v>2853.7321917088975</v>
      </c>
      <c r="F34" s="56">
        <f>1165.51511752217*Deflactores!$C$5</f>
        <v>3776.5207141734222</v>
      </c>
      <c r="G34" s="56">
        <f>806.840237526*Deflactores!$D$5</f>
        <v>2454.9753056340483</v>
      </c>
      <c r="H34" s="56">
        <f>837.547150965*Deflactores!$E$5</f>
        <v>2415.6210524771468</v>
      </c>
      <c r="I34" s="56">
        <f>684.5817152984*Deflactores!$F$5</f>
        <v>1883.0203164756117</v>
      </c>
      <c r="J34" s="56">
        <f>217.030193064*Deflactores!$G$5</f>
        <v>571.38025895810176</v>
      </c>
      <c r="K34" s="56">
        <f>362.348109058*Deflactores!$H$5</f>
        <v>902.56574084851616</v>
      </c>
      <c r="L34" s="56">
        <f>355.455206462999*Deflactores!$I$5</f>
        <v>822.29070362428899</v>
      </c>
      <c r="M34" s="56">
        <f>325.413780968999*Deflactores!$J$5</f>
        <v>738.02074864610131</v>
      </c>
      <c r="N34" s="56">
        <f>335.653365453*Deflactores!$K$5</f>
        <v>737.84486867028227</v>
      </c>
      <c r="O34" s="56">
        <f>335.138720933*Deflactores!$L$5</f>
        <v>710.2449653542285</v>
      </c>
      <c r="P34" s="56">
        <f>930.42907869*Deflactores!$M$5</f>
        <v>1924.8516388871572</v>
      </c>
      <c r="Q34" s="56">
        <f>649.436007799999*Deflactores!$N$5</f>
        <v>1317.9705961499878</v>
      </c>
      <c r="R34" s="56">
        <f>707.207942463*Deflactores!$O$5</f>
        <v>1384.5392818295404</v>
      </c>
      <c r="S34" s="56">
        <f>687.6824029588*Deflactores!$P$5</f>
        <v>1260.9469662841441</v>
      </c>
      <c r="T34" s="56">
        <f>814.212984293*Deflactores!$Q$5</f>
        <v>1411.7784798227644</v>
      </c>
      <c r="U34" s="56">
        <f>1859.948124808*Deflactores!$R$5</f>
        <v>3098.2778114727071</v>
      </c>
      <c r="V34" s="56">
        <f>1633.707439144*Deflactores!$S$5</f>
        <v>2637.5353452420254</v>
      </c>
    </row>
    <row r="35" spans="3:22" x14ac:dyDescent="0.2">
      <c r="C35" s="88" t="s">
        <v>144</v>
      </c>
      <c r="D35" s="57">
        <f>707.148125698999*Deflactores!$A$5</f>
        <v>2639.017102599315</v>
      </c>
      <c r="E35" s="57">
        <f>807.420378193*Deflactores!$B$5</f>
        <v>2799.1380922564517</v>
      </c>
      <c r="F35" s="57">
        <f>831.691492484*Deflactores!$C$5</f>
        <v>2694.8600682632418</v>
      </c>
      <c r="G35" s="57">
        <f>817.380614751999*Deflactores!$D$5</f>
        <v>2487.046544273855</v>
      </c>
      <c r="H35" s="57">
        <f>1038.009006604*Deflactores!$E$5</f>
        <v>2993.7853721124943</v>
      </c>
      <c r="I35" s="57">
        <f>1075.526495704*Deflactores!$F$5</f>
        <v>2958.3586547234577</v>
      </c>
      <c r="J35" s="57">
        <f>1221.275173988*Deflactores!$G$5</f>
        <v>3215.2785532775451</v>
      </c>
      <c r="K35" s="57">
        <f>1319.399935559*Deflactores!$H$5</f>
        <v>3286.4672135564483</v>
      </c>
      <c r="L35" s="57">
        <f>1470.09922161099*Deflactores!$I$5</f>
        <v>3400.8474242502207</v>
      </c>
      <c r="M35" s="57">
        <f>1687.143017745*Deflactores!$J$5</f>
        <v>3826.3485625024227</v>
      </c>
      <c r="N35" s="57">
        <f>1861.532493312*Deflactores!$K$5</f>
        <v>4092.0852862581646</v>
      </c>
      <c r="O35" s="57">
        <f>2138.20537953*Deflactores!$L$5</f>
        <v>4531.4059845926122</v>
      </c>
      <c r="P35" s="57">
        <f>2448.66053116199*Deflactores!$M$5</f>
        <v>5065.7361688669143</v>
      </c>
      <c r="Q35" s="57">
        <f>2832.355980476*Deflactores!$N$5</f>
        <v>5748.0057392298822</v>
      </c>
      <c r="R35" s="57">
        <f>3025.92628639999*Deflactores!$O$5</f>
        <v>5924.0197343521204</v>
      </c>
      <c r="S35" s="57">
        <f>3237.784205559*Deflactores!$P$5</f>
        <v>5936.8600300318249</v>
      </c>
      <c r="T35" s="57">
        <f>3498.414218222*Deflactores!$Q$5</f>
        <v>6065.9630859122635</v>
      </c>
      <c r="U35" s="57">
        <f>3814.417756771*Deflactores!$R$5</f>
        <v>6354.0083413407328</v>
      </c>
      <c r="V35" s="57">
        <f>4194.44147758799*Deflactores!$S$5</f>
        <v>6771.7067239922053</v>
      </c>
    </row>
    <row r="36" spans="3:22" x14ac:dyDescent="0.2">
      <c r="C36" s="87" t="s">
        <v>145</v>
      </c>
      <c r="D36" s="56">
        <f>226.4053553*Deflactores!$A$5</f>
        <v>844.92567121799584</v>
      </c>
      <c r="E36" s="56">
        <f>201.112026465999*Deflactores!$B$5</f>
        <v>697.208479369472</v>
      </c>
      <c r="F36" s="56">
        <f>270.428137998*Deflactores!$C$5</f>
        <v>876.24557544648871</v>
      </c>
      <c r="G36" s="56">
        <f>348.938481203999*Deflactores!$D$5</f>
        <v>1061.7162043974824</v>
      </c>
      <c r="H36" s="56">
        <f>174.450295233*Deflactores!$E$5</f>
        <v>503.14278460640168</v>
      </c>
      <c r="I36" s="56">
        <f>211.061735874*Deflactores!$F$5</f>
        <v>580.54944764061588</v>
      </c>
      <c r="J36" s="56">
        <f>569.464674603999*Deflactores!$G$5</f>
        <v>1499.2424263603389</v>
      </c>
      <c r="K36" s="56">
        <f>474.676507649*Deflactores!$H$5</f>
        <v>1182.362328047996</v>
      </c>
      <c r="L36" s="56">
        <f>390.84472041*Deflactores!$I$5</f>
        <v>904.15887659035366</v>
      </c>
      <c r="M36" s="56">
        <f>447.546432516999*Deflactores!$J$5</f>
        <v>1015.0109568087217</v>
      </c>
      <c r="N36" s="56">
        <f>778.106172484*Deflactores!$K$5</f>
        <v>1710.4599737087535</v>
      </c>
      <c r="O36" s="56">
        <f>659.637462740999*Deflactores!$L$5</f>
        <v>1397.9410841175052</v>
      </c>
      <c r="P36" s="56">
        <f>498.437517713*Deflactores!$M$5</f>
        <v>1031.1568015517421</v>
      </c>
      <c r="Q36" s="56">
        <f>655.378920231999*Deflactores!$N$5</f>
        <v>1330.031189875617</v>
      </c>
      <c r="R36" s="56">
        <f>1197.477943088*Deflactores!$O$5</f>
        <v>2344.3674084818649</v>
      </c>
      <c r="S36" s="56">
        <f>963.446732458*Deflactores!$P$5</f>
        <v>1766.5934583207159</v>
      </c>
      <c r="T36" s="56">
        <f>812.23910952231*Deflactores!$Q$5</f>
        <v>1408.3559429965492</v>
      </c>
      <c r="U36" s="56">
        <f>853.204318697*Deflactores!$R$5</f>
        <v>1421.2568479803622</v>
      </c>
      <c r="V36" s="56">
        <f>1910.48985121199*Deflactores!$S$5</f>
        <v>3084.3860954309152</v>
      </c>
    </row>
    <row r="37" spans="3:22" x14ac:dyDescent="0.2">
      <c r="C37" s="88" t="s">
        <v>146</v>
      </c>
      <c r="D37" s="57">
        <f>210.610382934*Deflactores!$A$5</f>
        <v>785.98016787277425</v>
      </c>
      <c r="E37" s="57">
        <f>223.327388449*Deflactores!$B$5</f>
        <v>774.22395685723484</v>
      </c>
      <c r="F37" s="57">
        <f>240.728144389*Deflactores!$C$5</f>
        <v>780.01118140991957</v>
      </c>
      <c r="G37" s="57">
        <f>224.253779236*Deflactores!$D$5</f>
        <v>682.33767307836911</v>
      </c>
      <c r="H37" s="57">
        <f>243.185298303*Deflactores!$E$5</f>
        <v>701.3856181790178</v>
      </c>
      <c r="I37" s="57">
        <f>302.131545396*Deflactores!$F$5</f>
        <v>831.04737610594373</v>
      </c>
      <c r="J37" s="57">
        <f>303.904030715999*Deflactores!$G$5</f>
        <v>800.09496060169079</v>
      </c>
      <c r="K37" s="57">
        <f>305.120220859*Deflactores!$H$5</f>
        <v>760.01792558929901</v>
      </c>
      <c r="L37" s="57">
        <f>295.144210031*Deflactores!$I$5</f>
        <v>682.77053120697258</v>
      </c>
      <c r="M37" s="57">
        <f>304.44280863*Deflactores!$J$5</f>
        <v>690.45972446520113</v>
      </c>
      <c r="N37" s="57">
        <f>382.636706422*Deflactores!$K$5</f>
        <v>841.12527820878597</v>
      </c>
      <c r="O37" s="57">
        <f>380.007571092*Deflactores!$L$5</f>
        <v>805.33357474542424</v>
      </c>
      <c r="P37" s="57">
        <f>640.276306143*Deflactores!$M$5</f>
        <v>1324.589832204279</v>
      </c>
      <c r="Q37" s="57">
        <f>638.0313*Deflactores!$N$5</f>
        <v>1294.8257914924825</v>
      </c>
      <c r="R37" s="57">
        <f>665.587063376*Deflactores!$O$5</f>
        <v>1303.055833213939</v>
      </c>
      <c r="S37" s="57">
        <f>841.271113334999*Deflactores!$P$5</f>
        <v>1542.5700201402497</v>
      </c>
      <c r="T37" s="57">
        <f>1020.00322145331*Deflactores!$Q$5</f>
        <v>1768.6018586992664</v>
      </c>
      <c r="U37" s="57">
        <f>966.734113853*Deflactores!$R$5</f>
        <v>1610.3733295538398</v>
      </c>
      <c r="V37" s="57">
        <f>924.616509491*Deflactores!$S$5</f>
        <v>1492.7450693709338</v>
      </c>
    </row>
    <row r="38" spans="3:22" x14ac:dyDescent="0.2">
      <c r="C38" s="87" t="s">
        <v>147</v>
      </c>
      <c r="D38" s="58">
        <f>5730.56534656399*Deflactores!$A$5</f>
        <v>21385.986058008082</v>
      </c>
      <c r="E38" s="58">
        <f>7095.8145836105*Deflactores!$B$5</f>
        <v>24599.533815364386</v>
      </c>
      <c r="F38" s="58">
        <f>8178.81912091717*Deflactores!$C$5</f>
        <v>26501.140451345389</v>
      </c>
      <c r="G38" s="58">
        <f>9171.95870093499*Deflactores!$D$5</f>
        <v>27907.547328246812</v>
      </c>
      <c r="H38" s="58">
        <f>11960.2773892731*Deflactores!$E$5</f>
        <v>34495.368794110844</v>
      </c>
      <c r="I38" s="58">
        <f>15073.795754959*Deflactores!$F$5</f>
        <v>41462.19949888569</v>
      </c>
      <c r="J38" s="58">
        <f>17178.31898431*Deflactores!$G$5</f>
        <v>45225.745833555411</v>
      </c>
      <c r="K38" s="58">
        <f>18911.667335078*Deflactores!$H$5</f>
        <v>47106.698261348371</v>
      </c>
      <c r="L38" s="58">
        <f>20192.815106375*Deflactores!$I$5</f>
        <v>46712.958032602903</v>
      </c>
      <c r="M38" s="58">
        <f>23698.0216447692*Deflactores!$J$5</f>
        <v>53745.823620697411</v>
      </c>
      <c r="N38" s="58">
        <f>27265.795036021*Deflactores!$K$5</f>
        <v>59936.61624811199</v>
      </c>
      <c r="O38" s="58">
        <f>26562.115058937*Deflactores!$L$5</f>
        <v>56291.939162533534</v>
      </c>
      <c r="P38" s="58">
        <f>29906.185385089*Deflactores!$M$5</f>
        <v>61869.272220511913</v>
      </c>
      <c r="Q38" s="58">
        <f>31067.5030671314*Deflactores!$N$5</f>
        <v>63048.637658675281</v>
      </c>
      <c r="R38" s="58">
        <f>36812.3627051545*Deflactores!$O$5</f>
        <v>72069.555730293199</v>
      </c>
      <c r="S38" s="58">
        <f>36635.243095477*Deflactores!$P$5</f>
        <v>67175.048309461359</v>
      </c>
      <c r="T38" s="58">
        <f>38108.0993434689*Deflactores!$Q$5</f>
        <v>66076.316145674544</v>
      </c>
      <c r="U38" s="58">
        <f>40592.0373217235*Deflactores!$R$5</f>
        <v>67617.696901815769</v>
      </c>
      <c r="V38" s="58">
        <f>50734.649963184*Deflactores!$S$5</f>
        <v>81908.442907313583</v>
      </c>
    </row>
    <row r="39" spans="3:22" ht="22.5" customHeight="1" x14ac:dyDescent="0.2">
      <c r="C39" s="89" t="s">
        <v>148</v>
      </c>
      <c r="D39" s="59">
        <f>0*Deflactores!$A$5</f>
        <v>0</v>
      </c>
      <c r="E39" s="59">
        <f>0*Deflactores!$B$5</f>
        <v>0</v>
      </c>
      <c r="F39" s="59">
        <f>0*Deflactores!$C$5</f>
        <v>0</v>
      </c>
      <c r="G39" s="59">
        <f>0*Deflactores!$D$5</f>
        <v>0</v>
      </c>
      <c r="H39" s="59">
        <f>0*Deflactores!$E$5</f>
        <v>0</v>
      </c>
      <c r="I39" s="59">
        <f>0*Deflactores!$F$5</f>
        <v>0</v>
      </c>
      <c r="J39" s="59">
        <f>0*Deflactores!$G$5</f>
        <v>0</v>
      </c>
      <c r="K39" s="59">
        <f>0*Deflactores!$H$5</f>
        <v>0</v>
      </c>
      <c r="L39" s="59">
        <f>0*Deflactores!$I$5</f>
        <v>0</v>
      </c>
      <c r="M39" s="59">
        <f>0*Deflactores!$J$5</f>
        <v>0</v>
      </c>
      <c r="N39" s="59">
        <f>0*Deflactores!$K$5</f>
        <v>0</v>
      </c>
      <c r="O39" s="59">
        <f>0*Deflactores!$L$5</f>
        <v>0</v>
      </c>
      <c r="P39" s="59">
        <f>0*Deflactores!$M$5</f>
        <v>0</v>
      </c>
      <c r="Q39" s="59">
        <f>0*Deflactores!$N$5</f>
        <v>0</v>
      </c>
      <c r="R39" s="59">
        <f>0*Deflactores!$O$5</f>
        <v>0</v>
      </c>
      <c r="S39" s="59">
        <f>0*Deflactores!$P$5</f>
        <v>0</v>
      </c>
      <c r="T39" s="59">
        <f>0*Deflactores!$Q$5</f>
        <v>0</v>
      </c>
      <c r="U39" s="59">
        <f>0.25044*Deflactores!$R$5</f>
        <v>0.4171797507445662</v>
      </c>
      <c r="V39" s="59">
        <f>160.90533445*Deflactores!$S$5</f>
        <v>259.77325969221897</v>
      </c>
    </row>
    <row r="40" spans="3:22" x14ac:dyDescent="0.2">
      <c r="C40" s="87" t="s">
        <v>149</v>
      </c>
      <c r="D40" s="56">
        <f>334.318513916999*Deflactores!$A$5</f>
        <v>1247.6484683749143</v>
      </c>
      <c r="E40" s="56">
        <f>327.903808344*Deflactores!$B$5</f>
        <v>1136.7660085391772</v>
      </c>
      <c r="F40" s="56">
        <f>325.492404538999*Deflactores!$C$5</f>
        <v>1054.665692076931</v>
      </c>
      <c r="G40" s="56">
        <f>271.135209702*Deflactores!$D$5</f>
        <v>824.98394768625997</v>
      </c>
      <c r="H40" s="56">
        <f>309.323411999999*Deflactores!$E$5</f>
        <v>892.13860400616954</v>
      </c>
      <c r="I40" s="56">
        <f>292.649355166*Deflactores!$F$5</f>
        <v>804.96552722104673</v>
      </c>
      <c r="J40" s="56">
        <f>437.141329174999*Deflactores!$G$5</f>
        <v>1150.8717858055995</v>
      </c>
      <c r="K40" s="56">
        <f>540.615260559*Deflactores!$H$5</f>
        <v>1346.607863992866</v>
      </c>
      <c r="L40" s="56">
        <f>703.76607537*Deflactores!$I$5</f>
        <v>1628.0540860867691</v>
      </c>
      <c r="M40" s="56">
        <f>1092.063487867*Deflactores!$J$5</f>
        <v>2476.7405685300632</v>
      </c>
      <c r="N40" s="56">
        <f>1184.36738755799*Deflactores!$K$5</f>
        <v>2603.5174661535034</v>
      </c>
      <c r="O40" s="56">
        <f>1294.955338668*Deflactores!$L$5</f>
        <v>2744.3427219840642</v>
      </c>
      <c r="P40" s="56">
        <f>1474.308792*Deflactores!$M$5</f>
        <v>3050.0182759791528</v>
      </c>
      <c r="Q40" s="56">
        <f>1516.77774389599*Deflactores!$N$5</f>
        <v>3078.1608092867968</v>
      </c>
      <c r="R40" s="56">
        <f>2040.420543842*Deflactores!$O$5</f>
        <v>3994.6417804110633</v>
      </c>
      <c r="S40" s="56">
        <f>1634.969576201*Deflactores!$P$5</f>
        <v>2997.9099628074064</v>
      </c>
      <c r="T40" s="56">
        <f>1274.410011687*Deflactores!$Q$5</f>
        <v>2209.7223498992194</v>
      </c>
      <c r="U40" s="56">
        <f>1335.59284942*Deflactores!$R$5</f>
        <v>2224.8134963155267</v>
      </c>
      <c r="V40" s="56">
        <f>1384.485573537*Deflactores!$S$5</f>
        <v>2235.1796580511555</v>
      </c>
    </row>
    <row r="41" spans="3:22" x14ac:dyDescent="0.2">
      <c r="C41" s="88" t="s">
        <v>150</v>
      </c>
      <c r="D41" s="57">
        <f>1272.637955917*Deflactores!$A$5</f>
        <v>4749.3774062714028</v>
      </c>
      <c r="E41" s="57">
        <f>1884.60475694616*Deflactores!$B$5</f>
        <v>6533.4850426016192</v>
      </c>
      <c r="F41" s="57">
        <f>2025.51988676029*Deflactores!$C$5</f>
        <v>6563.1219143538356</v>
      </c>
      <c r="G41" s="57">
        <f>1241.8409258063*Deflactores!$D$5</f>
        <v>3778.5532557577089</v>
      </c>
      <c r="H41" s="57">
        <f>1534.25048471805*Deflactores!$E$5</f>
        <v>4425.0258225916459</v>
      </c>
      <c r="I41" s="57">
        <f>1831.45123641792*Deflactores!$F$5</f>
        <v>5037.6161234544479</v>
      </c>
      <c r="J41" s="57">
        <f>2957.48060612917*Deflactores!$G$5</f>
        <v>7786.2255510933937</v>
      </c>
      <c r="K41" s="57">
        <f>3252.877691367*Deflactores!$H$5</f>
        <v>8102.5287286053435</v>
      </c>
      <c r="L41" s="57">
        <f>2687.3349615972*Deflactores!$I$5</f>
        <v>6216.7342502435358</v>
      </c>
      <c r="M41" s="57">
        <f>4000.116025209*Deflactores!$J$5</f>
        <v>9072.0454886858515</v>
      </c>
      <c r="N41" s="57">
        <f>4343.529378435*Deflactores!$K$5</f>
        <v>9548.0969168046249</v>
      </c>
      <c r="O41" s="57">
        <f>5408.984451701*Deflactores!$L$5</f>
        <v>11463.026306852676</v>
      </c>
      <c r="P41" s="57">
        <f>8338.604*Deflactores!$M$5</f>
        <v>17250.724362602094</v>
      </c>
      <c r="Q41" s="57">
        <f>8560.41277005908*Deflactores!$N$5</f>
        <v>17372.569716398088</v>
      </c>
      <c r="R41" s="57">
        <f>7669.527677511*Deflactores!$O$5</f>
        <v>15015.049612721819</v>
      </c>
      <c r="S41" s="57">
        <f>7253.677195703*Deflactores!$P$5</f>
        <v>13300.474484984248</v>
      </c>
      <c r="T41" s="57">
        <f>5954.637484851*Deflactores!$Q$5</f>
        <v>10324.852610350184</v>
      </c>
      <c r="U41" s="57">
        <f>6585.772815713*Deflactores!$R$5</f>
        <v>10970.496173612401</v>
      </c>
      <c r="V41" s="57">
        <f>5414.277752147*Deflactores!$S$5</f>
        <v>8741.0686871375256</v>
      </c>
    </row>
    <row r="42" spans="3:22" x14ac:dyDescent="0.2">
      <c r="C42" s="87" t="s">
        <v>151</v>
      </c>
      <c r="D42" s="56">
        <f>200.532198267*Deflactores!$A$5</f>
        <v>748.3692335680596</v>
      </c>
      <c r="E42" s="56">
        <f>233.650858074*Deflactores!$B$5</f>
        <v>810.01301773808689</v>
      </c>
      <c r="F42" s="56">
        <f>191.792879*Deflactores!$C$5</f>
        <v>621.45035228226391</v>
      </c>
      <c r="G42" s="56">
        <f>228.117521445*Deflactores!$D$5</f>
        <v>694.09389354094264</v>
      </c>
      <c r="H42" s="56">
        <f>270.140974258*Deflactores!$E$5</f>
        <v>779.13013470638782</v>
      </c>
      <c r="I42" s="56">
        <f>276.768046283*Deflactores!$F$5</f>
        <v>761.28217049294813</v>
      </c>
      <c r="J42" s="56">
        <f>258.257964155*Deflactores!$G$5</f>
        <v>679.92153696956404</v>
      </c>
      <c r="K42" s="56">
        <f>409.197776365*Deflactores!$H$5</f>
        <v>1019.262650876217</v>
      </c>
      <c r="L42" s="56">
        <f>443.669079992*Deflactores!$I$5</f>
        <v>1026.3598713131776</v>
      </c>
      <c r="M42" s="56">
        <f>721.815874974*Deflactores!$J$5</f>
        <v>1637.0391286031679</v>
      </c>
      <c r="N42" s="56">
        <f>635.328425819*Deflactores!$K$5</f>
        <v>1396.6009793414614</v>
      </c>
      <c r="O42" s="56">
        <f>1145.79693681*Deflactores!$L$5</f>
        <v>2428.2377858996829</v>
      </c>
      <c r="P42" s="56">
        <f>3079.534603837*Deflactores!$M$5</f>
        <v>6370.8748629731217</v>
      </c>
      <c r="Q42" s="56">
        <f>3596.473839854*Deflactores!$N$5</f>
        <v>7298.7125964995184</v>
      </c>
      <c r="R42" s="56">
        <f>3718.86679761*Deflactores!$O$5</f>
        <v>7280.6268934855125</v>
      </c>
      <c r="S42" s="56">
        <f>3889.412206489*Deflactores!$P$5</f>
        <v>7131.696988754632</v>
      </c>
      <c r="T42" s="56">
        <f>3243.988700619*Deflactores!$Q$5</f>
        <v>5624.8101229911699</v>
      </c>
      <c r="U42" s="56">
        <f>3847.385042274*Deflactores!$R$5</f>
        <v>6408.9248241264959</v>
      </c>
      <c r="V42" s="56">
        <f>3805.344905369*Deflactores!$S$5</f>
        <v>6143.5306274948898</v>
      </c>
    </row>
    <row r="43" spans="3:22" ht="21.75" customHeight="1" x14ac:dyDescent="0.2">
      <c r="C43" s="79" t="s">
        <v>152</v>
      </c>
      <c r="D43" s="44">
        <f t="shared" ref="D43:V43" si="0">+SUM(D14:D42)</f>
        <v>127061.81947214236</v>
      </c>
      <c r="E43" s="44">
        <f t="shared" si="0"/>
        <v>143347.67210441493</v>
      </c>
      <c r="F43" s="44">
        <f t="shared" si="0"/>
        <v>141900.78307788813</v>
      </c>
      <c r="G43" s="44">
        <f t="shared" si="0"/>
        <v>135105.69626355032</v>
      </c>
      <c r="H43" s="44">
        <f t="shared" si="0"/>
        <v>158106.95203872811</v>
      </c>
      <c r="I43" s="44">
        <f t="shared" si="0"/>
        <v>170310.13358259294</v>
      </c>
      <c r="J43" s="44">
        <f t="shared" si="0"/>
        <v>176374.11325182032</v>
      </c>
      <c r="K43" s="44">
        <f t="shared" si="0"/>
        <v>193938.33639991435</v>
      </c>
      <c r="L43" s="44">
        <f t="shared" si="0"/>
        <v>199888.87686687964</v>
      </c>
      <c r="M43" s="44">
        <f t="shared" si="0"/>
        <v>238159.58477640955</v>
      </c>
      <c r="N43" s="44">
        <f t="shared" si="0"/>
        <v>241516.00856821411</v>
      </c>
      <c r="O43" s="44">
        <f t="shared" si="0"/>
        <v>246099.63864670208</v>
      </c>
      <c r="P43" s="44">
        <f t="shared" si="0"/>
        <v>267303.11946781899</v>
      </c>
      <c r="Q43" s="44">
        <f t="shared" si="0"/>
        <v>293086.47183310171</v>
      </c>
      <c r="R43" s="44">
        <f t="shared" si="0"/>
        <v>305427.3388833545</v>
      </c>
      <c r="S43" s="44">
        <f t="shared" si="0"/>
        <v>294512.00718811306</v>
      </c>
      <c r="T43" s="44">
        <f t="shared" si="0"/>
        <v>283876.92650821735</v>
      </c>
      <c r="U43" s="44">
        <f t="shared" si="0"/>
        <v>298690.83617186075</v>
      </c>
      <c r="V43" s="44">
        <f t="shared" si="0"/>
        <v>299205.98137629044</v>
      </c>
    </row>
    <row r="44" spans="3:22" x14ac:dyDescent="0.2">
      <c r="C44" s="1" t="s">
        <v>52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64" t="s">
        <v>153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7"/>
      <c r="I49" s="27"/>
      <c r="J49" s="27"/>
      <c r="L49" s="179"/>
      <c r="M49" s="160"/>
      <c r="N49" s="160"/>
      <c r="O49" s="160"/>
      <c r="P49" s="160"/>
      <c r="Q49" s="160"/>
      <c r="R49" s="28"/>
      <c r="S49" s="28"/>
      <c r="T49" s="28"/>
      <c r="U49" s="28"/>
      <c r="V49" s="28"/>
    </row>
    <row r="50" spans="3:22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81" t="s">
        <v>120</v>
      </c>
      <c r="D51" s="155">
        <v>2000</v>
      </c>
      <c r="E51" s="155">
        <v>2001</v>
      </c>
      <c r="F51" s="155">
        <v>2002</v>
      </c>
      <c r="G51" s="155">
        <v>2003</v>
      </c>
      <c r="H51" s="155">
        <v>2004</v>
      </c>
      <c r="I51" s="155">
        <v>2005</v>
      </c>
      <c r="J51" s="155">
        <v>2006</v>
      </c>
      <c r="K51" s="155">
        <v>2007</v>
      </c>
      <c r="L51" s="155">
        <v>2008</v>
      </c>
      <c r="M51" s="155">
        <v>2009</v>
      </c>
      <c r="N51" s="155">
        <v>2010</v>
      </c>
      <c r="O51" s="155">
        <v>2011</v>
      </c>
      <c r="P51" s="155">
        <v>2012</v>
      </c>
      <c r="Q51" s="155">
        <v>2013</v>
      </c>
      <c r="R51" s="155">
        <v>2014</v>
      </c>
      <c r="S51" s="155">
        <v>2015</v>
      </c>
      <c r="T51" s="155">
        <v>2016</v>
      </c>
      <c r="U51" s="155">
        <v>2017</v>
      </c>
      <c r="V51" s="155">
        <v>2018</v>
      </c>
    </row>
    <row r="52" spans="3:22" ht="12" customHeight="1" thickBot="1" x14ac:dyDescent="0.25">
      <c r="C52" s="162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  <row r="53" spans="3:22" x14ac:dyDescent="0.2">
      <c r="C53" s="87" t="s">
        <v>123</v>
      </c>
      <c r="D53" s="56">
        <f>437.772975322099*Deflactores!$A$5</f>
        <v>1633.7317839721773</v>
      </c>
      <c r="E53" s="56">
        <f>691.2373474328*Deflactores!$B$5</f>
        <v>2396.3586283512909</v>
      </c>
      <c r="F53" s="56">
        <f>678.64487245202*Deflactores!$C$5</f>
        <v>2198.9559636354375</v>
      </c>
      <c r="G53" s="56">
        <f>526.75695628973*Deflactores!$D$5</f>
        <v>1602.7650327994072</v>
      </c>
      <c r="H53" s="56">
        <f>615.15224813619*Deflactores!$E$5</f>
        <v>1774.1982876597751</v>
      </c>
      <c r="I53" s="56">
        <f>647.47283632228*Deflactores!$F$5</f>
        <v>1780.9481000080566</v>
      </c>
      <c r="J53" s="56">
        <f>1000.64058537453*Deflactores!$G$5</f>
        <v>2634.4089212816734</v>
      </c>
      <c r="K53" s="56">
        <f>1385.44889225979*Deflactores!$H$5</f>
        <v>3450.987253944952</v>
      </c>
      <c r="L53" s="56">
        <f>1874.29002976156*Deflactores!$I$5</f>
        <v>4335.8804129066948</v>
      </c>
      <c r="M53" s="56">
        <f>1516.33457748141*Deflactores!$J$5</f>
        <v>3438.9643141063266</v>
      </c>
      <c r="N53" s="56">
        <f>1557.25255313864*Deflactores!$K$5</f>
        <v>3423.2065690934724</v>
      </c>
      <c r="O53" s="56">
        <f>1676.81744824431*Deflactores!$L$5</f>
        <v>3553.6065397580169</v>
      </c>
      <c r="P53" s="56">
        <f>2110.25766694508*Deflactores!$M$5</f>
        <v>4365.6556117231794</v>
      </c>
      <c r="Q53" s="56">
        <f>3550.42018242567*Deflactores!$N$5</f>
        <v>7205.2509380655811</v>
      </c>
      <c r="R53" s="56">
        <f>3274.14595522476*Deflactores!$O$5</f>
        <v>6409.9728202489086</v>
      </c>
      <c r="S53" s="56">
        <f>3668.24413134228*Deflactores!$P$5</f>
        <v>6726.15918206472</v>
      </c>
      <c r="T53" s="56">
        <f>2436.64179645656*Deflactores!$Q$5</f>
        <v>4224.9368625103443</v>
      </c>
      <c r="U53" s="56">
        <f>2750.49879433034*Deflactores!$R$5</f>
        <v>4581.7457332772765</v>
      </c>
      <c r="V53" s="56">
        <f>2231.12005060111*Deflactores!$S$5</f>
        <v>3602.0268084363615</v>
      </c>
    </row>
    <row r="54" spans="3:22" x14ac:dyDescent="0.2">
      <c r="C54" s="88" t="s">
        <v>124</v>
      </c>
      <c r="D54" s="57">
        <f>114.7625210845*Deflactores!$A$5</f>
        <v>428.28403961339762</v>
      </c>
      <c r="E54" s="57">
        <f>146.59238863423*Deflactores!$B$5</f>
        <v>508.20161361205078</v>
      </c>
      <c r="F54" s="57">
        <f>153.30075990833*Deflactores!$C$5</f>
        <v>496.72757271749617</v>
      </c>
      <c r="G54" s="57">
        <f>197.280858766939*Deflactores!$D$5</f>
        <v>600.26708389280918</v>
      </c>
      <c r="H54" s="57">
        <f>331.86547496804*Deflactores!$E$5</f>
        <v>957.15354890703384</v>
      </c>
      <c r="I54" s="57">
        <f>304.586095056209*Deflactores!$F$5</f>
        <v>837.7988957195771</v>
      </c>
      <c r="J54" s="57">
        <f>429.19925191781*Deflactores!$G$5</f>
        <v>1129.962500807914</v>
      </c>
      <c r="K54" s="57">
        <f>513.113175788739*Deflactores!$H$5</f>
        <v>1278.1034647838278</v>
      </c>
      <c r="L54" s="57">
        <f>1448.84971989962*Deflactores!$I$5</f>
        <v>3351.6899850111731</v>
      </c>
      <c r="M54" s="57">
        <f>1690.50644003852*Deflactores!$J$5</f>
        <v>3833.9766212517634</v>
      </c>
      <c r="N54" s="57">
        <f>1822.63861248783*Deflactores!$K$5</f>
        <v>4006.5874085590781</v>
      </c>
      <c r="O54" s="57">
        <f>1383.4728418138*Deflactores!$L$5</f>
        <v>2931.9340297864237</v>
      </c>
      <c r="P54" s="57">
        <f>367.48455596827*Deflactores!$M$5</f>
        <v>760.2441346923116</v>
      </c>
      <c r="Q54" s="57">
        <f>499.74645001158*Deflactores!$N$5</f>
        <v>1014.1894177947107</v>
      </c>
      <c r="R54" s="57">
        <f>550.630166198461*Deflactores!$O$5</f>
        <v>1077.9984910901699</v>
      </c>
      <c r="S54" s="57">
        <f>555.113737143099*Deflactores!$P$5</f>
        <v>1017.8666485889136</v>
      </c>
      <c r="T54" s="57">
        <f>662.96550900902*Deflactores!$Q$5</f>
        <v>1149.5277728792248</v>
      </c>
      <c r="U54" s="57">
        <f>709.381797146699*Deflactores!$R$5</f>
        <v>1181.6791299967749</v>
      </c>
      <c r="V54" s="57">
        <f>691.98283396686*Deflactores!$S$5</f>
        <v>1117.170148802551</v>
      </c>
    </row>
    <row r="55" spans="3:22" x14ac:dyDescent="0.2">
      <c r="C55" s="87" t="s">
        <v>125</v>
      </c>
      <c r="D55" s="56">
        <f>36.7875792416*Deflactores!$A$5</f>
        <v>137.28813985873987</v>
      </c>
      <c r="E55" s="56">
        <f>75.3068143556*Deflactores!$B$5</f>
        <v>261.0711574322666</v>
      </c>
      <c r="F55" s="56">
        <f>81.36366189837*Deflactores!$C$5</f>
        <v>263.63583785463197</v>
      </c>
      <c r="G55" s="56">
        <f>73.01505192838*Deflactores!$D$5</f>
        <v>222.16312608973513</v>
      </c>
      <c r="H55" s="56">
        <f>93.2499057075299*Deflactores!$E$5</f>
        <v>268.94776623511103</v>
      </c>
      <c r="I55" s="56">
        <f>98.56362393661*Deflactores!$F$5</f>
        <v>271.11052222187845</v>
      </c>
      <c r="J55" s="56">
        <f>129.417718857449*Deflactores!$G$5</f>
        <v>340.72093228396972</v>
      </c>
      <c r="K55" s="56">
        <f>132.83661082054*Deflactores!$H$5</f>
        <v>330.88008757306818</v>
      </c>
      <c r="L55" s="56">
        <f>195.93364181315*Deflactores!$I$5</f>
        <v>453.26220930449551</v>
      </c>
      <c r="M55" s="56">
        <f>190.88779504053*Deflactores!$J$5</f>
        <v>432.92313246142623</v>
      </c>
      <c r="N55" s="56">
        <f>351.17318956412*Deflactores!$K$5</f>
        <v>771.9610842714593</v>
      </c>
      <c r="O55" s="56">
        <f>366.99315033341*Deflactores!$L$5</f>
        <v>777.75267691584156</v>
      </c>
      <c r="P55" s="56">
        <f>407.80303115372*Deflactores!$M$5</f>
        <v>843.6541277972259</v>
      </c>
      <c r="Q55" s="56">
        <f>424.288768768829*Deflactores!$N$5</f>
        <v>861.0549997194023</v>
      </c>
      <c r="R55" s="56">
        <f>373.12421581008*Deflactores!$O$5</f>
        <v>730.48548068014179</v>
      </c>
      <c r="S55" s="56">
        <f>351.76707124661*Deflactores!$P$5</f>
        <v>645.00650215655662</v>
      </c>
      <c r="T55" s="56">
        <f>304.86812616273*Deflactores!$Q$5</f>
        <v>528.61630556550926</v>
      </c>
      <c r="U55" s="56">
        <f>378.878783558729*Deflactores!$R$5</f>
        <v>631.13143462480048</v>
      </c>
      <c r="V55" s="56">
        <f>330.47588643464*Deflactores!$S$5</f>
        <v>533.53606058025878</v>
      </c>
    </row>
    <row r="56" spans="3:22" x14ac:dyDescent="0.2">
      <c r="C56" s="88" t="s">
        <v>126</v>
      </c>
      <c r="D56" s="57">
        <f>199.63703093384*Deflactores!$A$5</f>
        <v>745.02854465714381</v>
      </c>
      <c r="E56" s="57">
        <f>269.581845381589*Deflactores!$B$5</f>
        <v>934.57736857865302</v>
      </c>
      <c r="F56" s="57">
        <f>251.10586882589*Deflactores!$C$5</f>
        <v>813.63725001486273</v>
      </c>
      <c r="G56" s="57">
        <f>199.504073061899*Deflactores!$D$5</f>
        <v>607.03166495782273</v>
      </c>
      <c r="H56" s="57">
        <f>190.88998944129*Deflactores!$E$5</f>
        <v>550.55751389068939</v>
      </c>
      <c r="I56" s="57">
        <f>213.83459788814*Deflactores!$F$5</f>
        <v>588.17652179513539</v>
      </c>
      <c r="J56" s="57">
        <f>304.59921334947*Deflactores!$G$5</f>
        <v>801.92518351919387</v>
      </c>
      <c r="K56" s="57">
        <f>311.190195963349*Deflactores!$H$5</f>
        <v>775.13750656691593</v>
      </c>
      <c r="L56" s="57">
        <f>309.51334726782*Deflactores!$I$5</f>
        <v>716.0113102252667</v>
      </c>
      <c r="M56" s="57">
        <f>448.524067217*Deflactores!$J$5</f>
        <v>1017.2281791127332</v>
      </c>
      <c r="N56" s="57">
        <f>435.842599232919*Deflactores!$K$5</f>
        <v>958.08431700935103</v>
      </c>
      <c r="O56" s="57">
        <f>547.63778648451*Deflactores!$L$5</f>
        <v>1160.5850246295963</v>
      </c>
      <c r="P56" s="57">
        <f>760.86127526696*Deflactores!$M$5</f>
        <v>1574.0534192303946</v>
      </c>
      <c r="Q56" s="57">
        <f>1038.88559676939*Deflactores!$N$5</f>
        <v>2108.3226874717047</v>
      </c>
      <c r="R56" s="57">
        <f>844.823357106417*Deflactores!$O$5</f>
        <v>1653.9564304767921</v>
      </c>
      <c r="S56" s="57">
        <f>857.87168216474*Deflactores!$P$5</f>
        <v>1573.0091251898916</v>
      </c>
      <c r="T56" s="57">
        <f>837.11241790756*Deflactores!$Q$5</f>
        <v>1451.4842180028522</v>
      </c>
      <c r="U56" s="57">
        <f>975.53562455054*Deflactores!$R$5</f>
        <v>1625.0347735682758</v>
      </c>
      <c r="V56" s="57">
        <f>825.4969023386*Deflactores!$S$5</f>
        <v>1332.7216398345297</v>
      </c>
    </row>
    <row r="57" spans="3:22" x14ac:dyDescent="0.2">
      <c r="C57" s="87" t="s">
        <v>127</v>
      </c>
      <c r="D57" s="56">
        <f>168.793936681919*Deflactores!$A$5</f>
        <v>629.9247209038889</v>
      </c>
      <c r="E57" s="56">
        <f>203.409355607469*Deflactores!$B$5</f>
        <v>705.17278357087321</v>
      </c>
      <c r="F57" s="56">
        <f>189.84707649563*Deflactores!$C$5</f>
        <v>615.14553190458741</v>
      </c>
      <c r="G57" s="56">
        <f>223.61736213158*Deflactores!$D$5</f>
        <v>680.40124477104393</v>
      </c>
      <c r="H57" s="56">
        <f>224.132323363319*Deflactores!$E$5</f>
        <v>646.43376582827625</v>
      </c>
      <c r="I57" s="56">
        <f>249.61787514109*Deflactores!$F$5</f>
        <v>686.60251908899261</v>
      </c>
      <c r="J57" s="56">
        <f>297.62011859314*Deflactores!$G$5</f>
        <v>783.55116415872158</v>
      </c>
      <c r="K57" s="56">
        <f>286.39307326238*Deflactores!$H$5</f>
        <v>713.37084389632594</v>
      </c>
      <c r="L57" s="56">
        <f>312.0485894547*Deflactores!$I$5</f>
        <v>721.87620133897883</v>
      </c>
      <c r="M57" s="56">
        <f>335.887497991439*Deflactores!$J$5</f>
        <v>761.77456895140972</v>
      </c>
      <c r="N57" s="56">
        <f>368.035832550679*Deflactores!$K$5</f>
        <v>809.02913089467631</v>
      </c>
      <c r="O57" s="56">
        <f>375.31122420842*Deflactores!$L$5</f>
        <v>795.38081034883714</v>
      </c>
      <c r="P57" s="56">
        <f>382.08341104164*Deflactores!$M$5</f>
        <v>790.44593164540845</v>
      </c>
      <c r="Q57" s="56">
        <f>428.707244751663*Deflactores!$N$5</f>
        <v>870.02188999839575</v>
      </c>
      <c r="R57" s="56">
        <f>454.902859662509*Deflactores!$O$5</f>
        <v>890.58795978141359</v>
      </c>
      <c r="S57" s="56">
        <f>468.02706454525*Deflactores!$P$5</f>
        <v>858.18294119205996</v>
      </c>
      <c r="T57" s="56">
        <f>507.71892556345*Deflactores!$Q$5</f>
        <v>880.34294065160009</v>
      </c>
      <c r="U57" s="56">
        <f>551.0496349074*Deflactores!$R$5</f>
        <v>917.93143802329234</v>
      </c>
      <c r="V57" s="56">
        <f>579.751784429928*Deflactores!$S$5</f>
        <v>935.97898024034725</v>
      </c>
    </row>
    <row r="58" spans="3:22" x14ac:dyDescent="0.2">
      <c r="C58" s="88" t="s">
        <v>128</v>
      </c>
      <c r="D58" s="57">
        <f>50.2083482027*Deflactores!$A$5</f>
        <v>187.37331654413015</v>
      </c>
      <c r="E58" s="57">
        <f>67.65723371515*Deflactores!$B$5</f>
        <v>234.55184588306903</v>
      </c>
      <c r="F58" s="57">
        <f>61.22777350512*Deflactores!$C$5</f>
        <v>198.39121041723081</v>
      </c>
      <c r="G58" s="57">
        <f>66.6935053212399*Deflactores!$D$5</f>
        <v>202.92853652398662</v>
      </c>
      <c r="H58" s="57">
        <f>96.2966306809599*Deflactores!$E$5</f>
        <v>277.73501239605332</v>
      </c>
      <c r="I58" s="57">
        <f>102.11999415021*Deflactores!$F$5</f>
        <v>280.89272530365156</v>
      </c>
      <c r="J58" s="57">
        <f>124.36151077956*Deflactores!$G$5</f>
        <v>327.40933982716206</v>
      </c>
      <c r="K58" s="57">
        <f>137.32401063971*Deflactores!$H$5</f>
        <v>342.05766306201429</v>
      </c>
      <c r="L58" s="57">
        <f>179.98887085076*Deflactores!$I$5</f>
        <v>416.3764450917364</v>
      </c>
      <c r="M58" s="57">
        <f>181.894734120309*Deflactores!$J$5</f>
        <v>412.52735962968569</v>
      </c>
      <c r="N58" s="57">
        <f>209.94047858991*Deflactores!$K$5</f>
        <v>461.49844094275517</v>
      </c>
      <c r="O58" s="57">
        <f>234.98881451057*Deflactores!$L$5</f>
        <v>498.00160947101398</v>
      </c>
      <c r="P58" s="57">
        <f>344.15970777569*Deflactores!$M$5</f>
        <v>711.99019111018015</v>
      </c>
      <c r="Q58" s="57">
        <f>402.464585830079*Deflactores!$N$5</f>
        <v>816.7648293980659</v>
      </c>
      <c r="R58" s="57">
        <f>390.73343232641*Deflactores!$O$5</f>
        <v>764.9599973324714</v>
      </c>
      <c r="S58" s="57">
        <f>437.55135377114*Deflactores!$P$5</f>
        <v>802.30212341829269</v>
      </c>
      <c r="T58" s="57">
        <f>378.67447633411*Deflactores!$Q$5</f>
        <v>656.59045834409119</v>
      </c>
      <c r="U58" s="57">
        <f>402.51590132034*Deflactores!$R$5</f>
        <v>670.50584325005525</v>
      </c>
      <c r="V58" s="57">
        <f>401.522439260274*Deflactores!$S$5</f>
        <v>648.23700993346631</v>
      </c>
    </row>
    <row r="59" spans="3:22" x14ac:dyDescent="0.2">
      <c r="C59" s="87" t="s">
        <v>129</v>
      </c>
      <c r="D59" s="56">
        <f>6479.66873203493*Deflactores!$A$5</f>
        <v>24181.576647912771</v>
      </c>
      <c r="E59" s="56">
        <f>7677.89777679142*Deflactores!$B$5</f>
        <v>26617.480454934488</v>
      </c>
      <c r="F59" s="56">
        <f>8532.74534950185*Deflactores!$C$5</f>
        <v>27647.93787460052</v>
      </c>
      <c r="G59" s="56">
        <f>9733.24557787875*Deflactores!$D$5</f>
        <v>29615.376658249683</v>
      </c>
      <c r="H59" s="56">
        <f>11018.1958636463*Deflactores!$E$5</f>
        <v>31778.253747116931</v>
      </c>
      <c r="I59" s="56">
        <f>11967.5805491702*Deflactores!$F$5</f>
        <v>32918.199258832166</v>
      </c>
      <c r="J59" s="56">
        <f>13185.8152867049*Deflactores!$G$5</f>
        <v>34714.591765899633</v>
      </c>
      <c r="K59" s="56">
        <f>14504.2717606848*Deflactores!$H$5</f>
        <v>36128.403763948554</v>
      </c>
      <c r="L59" s="56">
        <f>18452.0406745672*Deflactores!$I$5</f>
        <v>42685.945327891226</v>
      </c>
      <c r="M59" s="56">
        <f>19999.0727737828*Deflactores!$J$5</f>
        <v>45356.80885051746</v>
      </c>
      <c r="N59" s="56">
        <f>20503.3384651204*Deflactores!$K$5</f>
        <v>45071.149686468591</v>
      </c>
      <c r="O59" s="56">
        <f>21455.8204813948*Deflactores!$L$5</f>
        <v>45470.390386497034</v>
      </c>
      <c r="P59" s="56">
        <f>23600.8829682838*Deflactores!$M$5</f>
        <v>48824.998381011283</v>
      </c>
      <c r="Q59" s="56">
        <f>26071.6207063182*Deflactores!$N$5</f>
        <v>52909.954286804204</v>
      </c>
      <c r="R59" s="56">
        <f>26757.722117678*Deflactores!$O$5</f>
        <v>52385.041428098157</v>
      </c>
      <c r="S59" s="56">
        <f>26858.1427377388*Deflactores!$P$5</f>
        <v>49247.57920148097</v>
      </c>
      <c r="T59" s="56">
        <f>28746.7110357143*Deflactores!$Q$5</f>
        <v>49844.437252674172</v>
      </c>
      <c r="U59" s="56">
        <f>29902.7155260488*Deflactores!$R$5</f>
        <v>49811.5612910985</v>
      </c>
      <c r="V59" s="56">
        <f>31327.2233895731*Deflactores!$S$5</f>
        <v>50576.166196308033</v>
      </c>
    </row>
    <row r="60" spans="3:22" x14ac:dyDescent="0.2">
      <c r="C60" s="88" t="s">
        <v>130</v>
      </c>
      <c r="D60" s="57">
        <f>34.607287836*Deflactores!$A$5</f>
        <v>129.1514764088563</v>
      </c>
      <c r="E60" s="57">
        <f>77.90444459615*Deflactores!$B$5</f>
        <v>270.07653548848253</v>
      </c>
      <c r="F60" s="57">
        <f>35.01230633751*Deflactores!$C$5</f>
        <v>113.44743465506939</v>
      </c>
      <c r="G60" s="57">
        <f>38.11787093671*Deflactores!$D$5</f>
        <v>115.98136471218481</v>
      </c>
      <c r="H60" s="57">
        <f>88.83277149663*Deflactores!$E$5</f>
        <v>256.20803883090099</v>
      </c>
      <c r="I60" s="57">
        <f>72.26924072877*Deflactores!$F$5</f>
        <v>198.78481342322044</v>
      </c>
      <c r="J60" s="57">
        <f>100.43509634449*Deflactores!$G$5</f>
        <v>264.41773168802308</v>
      </c>
      <c r="K60" s="57">
        <f>83.53250446911*Deflactores!$H$5</f>
        <v>208.06946385644369</v>
      </c>
      <c r="L60" s="57">
        <f>153.595224243549*Deflactores!$I$5</f>
        <v>355.31882138771124</v>
      </c>
      <c r="M60" s="57">
        <f>136.87539838532*Deflactores!$J$5</f>
        <v>310.42595579930514</v>
      </c>
      <c r="N60" s="57">
        <f>140.17559955577*Deflactores!$K$5</f>
        <v>308.13886434720621</v>
      </c>
      <c r="O60" s="57">
        <f>173.25545670939*Deflactores!$L$5</f>
        <v>367.17277999217612</v>
      </c>
      <c r="P60" s="57">
        <f>310.36695906249*Deflactores!$M$5</f>
        <v>642.08048038329002</v>
      </c>
      <c r="Q60" s="57">
        <f>369.69504137496*Deflactores!$N$5</f>
        <v>750.26205541825084</v>
      </c>
      <c r="R60" s="57">
        <f>337.52356759051*Deflactores!$O$5</f>
        <v>660.78816400843561</v>
      </c>
      <c r="S60" s="57">
        <f>428.83673213947*Deflactores!$P$5</f>
        <v>786.32283463398039</v>
      </c>
      <c r="T60" s="57">
        <f>401.46790667735*Deflactores!$Q$5</f>
        <v>696.1123955530237</v>
      </c>
      <c r="U60" s="57">
        <f>583.23011535326*Deflactores!$R$5</f>
        <v>971.53727100222648</v>
      </c>
      <c r="V60" s="57">
        <f>564.94688930808*Deflactores!$S$5</f>
        <v>912.07725020541818</v>
      </c>
    </row>
    <row r="61" spans="3:22" x14ac:dyDescent="0.2">
      <c r="C61" s="87" t="s">
        <v>131</v>
      </c>
      <c r="D61" s="56">
        <f>4966.66650145369*Deflactores!$A$5</f>
        <v>18535.180061867974</v>
      </c>
      <c r="E61" s="56">
        <f>7510.17082824635*Deflactores!$B$5</f>
        <v>26036.01025248411</v>
      </c>
      <c r="F61" s="56">
        <f>8706.01301076033*Deflactores!$C$5</f>
        <v>28209.362520237162</v>
      </c>
      <c r="G61" s="56">
        <f>10123.9942065193*Deflactores!$D$5</f>
        <v>30804.308728574211</v>
      </c>
      <c r="H61" s="56">
        <f>11562.7238435908*Deflactores!$E$5</f>
        <v>33348.760255916161</v>
      </c>
      <c r="I61" s="56">
        <f>12593.3588928467*Deflactores!$F$5</f>
        <v>34639.474175208918</v>
      </c>
      <c r="J61" s="56">
        <f>13405.8864409477*Deflactores!$G$5</f>
        <v>35293.978031585619</v>
      </c>
      <c r="K61" s="56">
        <f>14342.5996341433*Deflactores!$H$5</f>
        <v>35725.69786037469</v>
      </c>
      <c r="L61" s="56">
        <f>16212.7604688173*Deflactores!$I$5</f>
        <v>37505.716532481245</v>
      </c>
      <c r="M61" s="56">
        <f>18740.270112275*Deflactores!$J$5</f>
        <v>42501.912908872648</v>
      </c>
      <c r="N61" s="56">
        <f>20359.2488212598*Deflactores!$K$5</f>
        <v>44754.406834188274</v>
      </c>
      <c r="O61" s="56">
        <f>21747.0212534519*Deflactores!$L$5</f>
        <v>46087.519561201283</v>
      </c>
      <c r="P61" s="56">
        <f>23234.00657033*Deflactores!$M$5</f>
        <v>48066.012390521108</v>
      </c>
      <c r="Q61" s="56">
        <f>25161.4734121365*Deflactores!$N$5</f>
        <v>51062.89413385628</v>
      </c>
      <c r="R61" s="56">
        <f>26917.8016882465*Deflactores!$O$5</f>
        <v>52698.437871156471</v>
      </c>
      <c r="S61" s="56">
        <f>29044.0094032917*Deflactores!$P$5</f>
        <v>53255.62409076644</v>
      </c>
      <c r="T61" s="56">
        <f>31352.9855548074*Deflactores!$Q$5</f>
        <v>54363.503331878303</v>
      </c>
      <c r="U61" s="56">
        <f>35561.394989685*Deflactores!$R$5</f>
        <v>59237.717209414848</v>
      </c>
      <c r="V61" s="56">
        <f>38231.1493711988*Deflactores!$S$5</f>
        <v>61722.194157724145</v>
      </c>
    </row>
    <row r="62" spans="3:22" x14ac:dyDescent="0.2">
      <c r="C62" s="88" t="s">
        <v>132</v>
      </c>
      <c r="D62" s="57">
        <f>37.9357221610399*Deflactores!$A$5</f>
        <v>141.57291229964133</v>
      </c>
      <c r="E62" s="57">
        <f>43.74125574359*Deflactores!$B$5</f>
        <v>151.64072949091138</v>
      </c>
      <c r="F62" s="57">
        <f>45.0327713900499*Deflactores!$C$5</f>
        <v>145.91590569216686</v>
      </c>
      <c r="G62" s="57">
        <f>37.0417230598499*Deflactores!$D$5</f>
        <v>112.70696621291944</v>
      </c>
      <c r="H62" s="57">
        <f>42.7364158682*Deflactores!$E$5</f>
        <v>123.25871535673861</v>
      </c>
      <c r="I62" s="57">
        <f>47.6472184506799*Deflactores!$F$5</f>
        <v>131.05912466136178</v>
      </c>
      <c r="J62" s="57">
        <f>60.59695555355*Deflactores!$G$5</f>
        <v>159.5349645477657</v>
      </c>
      <c r="K62" s="57">
        <f>64.16375565032*Deflactores!$H$5</f>
        <v>159.82423036429984</v>
      </c>
      <c r="L62" s="57">
        <f>71.8701926633299*Deflactores!$I$5</f>
        <v>166.26058704500807</v>
      </c>
      <c r="M62" s="57">
        <f>102.8132636148*Deflactores!$J$5</f>
        <v>233.17488754716359</v>
      </c>
      <c r="N62" s="57">
        <f>114.64424579867*Deflactores!$K$5</f>
        <v>252.01495707025148</v>
      </c>
      <c r="O62" s="57">
        <f>118.000883446693*Deflactores!$L$5</f>
        <v>250.07415777575815</v>
      </c>
      <c r="P62" s="57">
        <f>135.681172121969*Deflactores!$M$5</f>
        <v>280.69428665408014</v>
      </c>
      <c r="Q62" s="57">
        <f>159.66349977117*Deflactores!$N$5</f>
        <v>324.0223754910848</v>
      </c>
      <c r="R62" s="57">
        <f>171.542293114309*Deflactores!$O$5</f>
        <v>335.83763565311472</v>
      </c>
      <c r="S62" s="57">
        <f>199.176363133748*Deflactores!$P$5</f>
        <v>365.21340340892129</v>
      </c>
      <c r="T62" s="57">
        <f>271.39512760458*Deflactores!$Q$5</f>
        <v>470.57687370780138</v>
      </c>
      <c r="U62" s="57">
        <f>346.774477040299*Deflactores!$R$5</f>
        <v>577.65249120048406</v>
      </c>
      <c r="V62" s="57">
        <f>431.26827186416*Deflactores!$S$5</f>
        <v>696.26010328946506</v>
      </c>
    </row>
    <row r="63" spans="3:22" x14ac:dyDescent="0.2">
      <c r="C63" s="87" t="s">
        <v>133</v>
      </c>
      <c r="D63" s="56">
        <f>621.66257003819*Deflactores!$A$5</f>
        <v>2319.9922261760298</v>
      </c>
      <c r="E63" s="56">
        <f>662.09425572521*Deflactores!$B$5</f>
        <v>2295.3263280427409</v>
      </c>
      <c r="F63" s="56">
        <f>692.0325868084*Deflactores!$C$5</f>
        <v>2242.3350496912171</v>
      </c>
      <c r="G63" s="56">
        <f>724.705619105259*Deflactores!$D$5</f>
        <v>2205.0640461523999</v>
      </c>
      <c r="H63" s="56">
        <f>788.246250748479*Deflactores!$E$5</f>
        <v>2273.4293056221927</v>
      </c>
      <c r="I63" s="56">
        <f>872.62971486798*Deflactores!$F$5</f>
        <v>2400.2678498950072</v>
      </c>
      <c r="J63" s="56">
        <f>963.59571577924*Deflactores!$G$5</f>
        <v>2536.8800618930441</v>
      </c>
      <c r="K63" s="56">
        <f>1093.93799798726*Deflactores!$H$5</f>
        <v>2724.8685308791592</v>
      </c>
      <c r="L63" s="56">
        <f>1265.06454587822*Deflactores!$I$5</f>
        <v>2926.5313790491005</v>
      </c>
      <c r="M63" s="56">
        <f>1460.85801262998*Deflactores!$J$5</f>
        <v>3313.1464836442947</v>
      </c>
      <c r="N63" s="56">
        <f>1540.06855911967*Deflactores!$K$5</f>
        <v>3385.4321174860947</v>
      </c>
      <c r="O63" s="56">
        <f>1685.74540275958*Deflactores!$L$5</f>
        <v>3572.5271667978559</v>
      </c>
      <c r="P63" s="56">
        <f>1968.10937487859*Deflactores!$M$5</f>
        <v>4071.5822866134035</v>
      </c>
      <c r="Q63" s="56">
        <f>2249.6213327482*Deflactores!$N$5</f>
        <v>4565.3994133737033</v>
      </c>
      <c r="R63" s="56">
        <f>2525.33817248688*Deflactores!$O$5</f>
        <v>4943.9912786254336</v>
      </c>
      <c r="S63" s="56">
        <f>2776.9792729191*Deflactores!$P$5</f>
        <v>5091.919721306399</v>
      </c>
      <c r="T63" s="56">
        <f>3155.13900121914*Deflactores!$Q$5</f>
        <v>5470.7520374886853</v>
      </c>
      <c r="U63" s="56">
        <f>3419.02655118799*Deflactores!$R$5</f>
        <v>5695.3707251783244</v>
      </c>
      <c r="V63" s="56">
        <f>3632.80374438744*Deflactores!$S$5</f>
        <v>5864.9719335120762</v>
      </c>
    </row>
    <row r="64" spans="3:22" x14ac:dyDescent="0.2">
      <c r="C64" s="88" t="s">
        <v>134</v>
      </c>
      <c r="D64" s="57">
        <f>6902.14519474525*Deflactores!$A$5</f>
        <v>25758.223138258934</v>
      </c>
      <c r="E64" s="57">
        <f>6828.36047360969*Deflactores!$B$5</f>
        <v>23672.332808982472</v>
      </c>
      <c r="F64" s="57">
        <f>6201.83914303808*Deflactores!$C$5</f>
        <v>20095.298325642991</v>
      </c>
      <c r="G64" s="57">
        <f>5266.88877383413*Deflactores!$D$5</f>
        <v>16025.57888898955</v>
      </c>
      <c r="H64" s="57">
        <f>6210.24264069256*Deflactores!$E$5</f>
        <v>17911.34128575779</v>
      </c>
      <c r="I64" s="57">
        <f>6937.29513371029*Deflactores!$F$5</f>
        <v>19081.8238148091</v>
      </c>
      <c r="J64" s="57">
        <f>6232.1311786476*Deflactores!$G$5</f>
        <v>16407.471589293789</v>
      </c>
      <c r="K64" s="57">
        <f>6506.79114436849*Deflactores!$H$5</f>
        <v>16207.637415387939</v>
      </c>
      <c r="L64" s="57">
        <f>7306.68374088197*Deflactores!$I$5</f>
        <v>16902.883978646718</v>
      </c>
      <c r="M64" s="57">
        <f>6662.59528598208*Deflactores!$J$5</f>
        <v>15110.403579849983</v>
      </c>
      <c r="N64" s="57">
        <f>7484.33866059888*Deflactores!$K$5</f>
        <v>16452.332806675691</v>
      </c>
      <c r="O64" s="57">
        <f>8348.41414722647*Deflactores!$L$5</f>
        <v>17692.432256865381</v>
      </c>
      <c r="P64" s="57">
        <f>9455.62279502625*Deflactores!$M$5</f>
        <v>19561.588787971588</v>
      </c>
      <c r="Q64" s="57">
        <f>12163.5466044414*Deflactores!$N$5</f>
        <v>24684.7981587291</v>
      </c>
      <c r="R64" s="57">
        <f>13230.7859025256*Deflactores!$O$5</f>
        <v>25902.625962775583</v>
      </c>
      <c r="S64" s="57">
        <f>16946.8775256457*Deflactores!$P$5</f>
        <v>31074.102975457616</v>
      </c>
      <c r="T64" s="57">
        <f>17794.7566484425*Deflactores!$Q$5</f>
        <v>30854.647339932093</v>
      </c>
      <c r="U64" s="57">
        <f>20607.1576692571*Deflactores!$R$5</f>
        <v>34327.13983395086</v>
      </c>
      <c r="V64" s="57">
        <f>11647.5774460185*Deflactores!$S$5</f>
        <v>18804.405528332663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955.57240336052*Deflactores!$A$5</f>
        <v>3566.1155330753822</v>
      </c>
      <c r="E66" s="57">
        <f>1088.50260558619*Deflactores!$B$5</f>
        <v>3773.5846024044772</v>
      </c>
      <c r="F66" s="57">
        <f>1154.86908727304*Deflactores!$C$5</f>
        <v>3742.0252767868783</v>
      </c>
      <c r="G66" s="57">
        <f>1222.847637157*Deflactores!$D$5</f>
        <v>3720.7623171825758</v>
      </c>
      <c r="H66" s="57">
        <f>1421.40739869371*Deflactores!$E$5</f>
        <v>4099.5681645806089</v>
      </c>
      <c r="I66" s="57">
        <f>1740.2543793306*Deflactores!$F$5</f>
        <v>4786.7687361278759</v>
      </c>
      <c r="J66" s="57">
        <f>2900.86617718351*Deflactores!$G$5</f>
        <v>7637.175473705327</v>
      </c>
      <c r="K66" s="57">
        <f>3686.16162911534*Deflactores!$H$5</f>
        <v>9181.787122662523</v>
      </c>
      <c r="L66" s="57">
        <f>4943.36804548744*Deflactores!$I$5</f>
        <v>11435.718240972865</v>
      </c>
      <c r="M66" s="57">
        <f>5835.53909588716*Deflactores!$J$5</f>
        <v>13234.685142945818</v>
      </c>
      <c r="N66" s="57">
        <f>6226.18537359522*Deflactores!$K$5</f>
        <v>13686.616617405758</v>
      </c>
      <c r="O66" s="57">
        <f>6432.60756136893*Deflactores!$L$5</f>
        <v>13632.346396270907</v>
      </c>
      <c r="P66" s="57">
        <f>8435.22398345239*Deflactores!$M$5</f>
        <v>17450.6097034165</v>
      </c>
      <c r="Q66" s="57">
        <f>9290.5017006243*Deflactores!$N$5</f>
        <v>18854.217995062489</v>
      </c>
      <c r="R66" s="57">
        <f>9664.29957804149*Deflactores!$O$5</f>
        <v>18920.322572405425</v>
      </c>
      <c r="S66" s="57">
        <f>10773.9968528909*Deflactores!$P$5</f>
        <v>19755.396659788628</v>
      </c>
      <c r="T66" s="57">
        <f>10705.7668250264*Deflactores!$Q$5</f>
        <v>18562.920888195782</v>
      </c>
      <c r="U66" s="57">
        <f>11289.4629035593*Deflactores!$R$5</f>
        <v>18805.842996913016</v>
      </c>
      <c r="V66" s="57">
        <f>11040.3555083082*Deflactores!$S$5</f>
        <v>17824.077420163903</v>
      </c>
    </row>
    <row r="67" spans="3:22" x14ac:dyDescent="0.2">
      <c r="C67" s="87" t="s">
        <v>137</v>
      </c>
      <c r="D67" s="56">
        <f>66.03584360601*Deflactores!$A$5</f>
        <v>246.440193118765</v>
      </c>
      <c r="E67" s="56">
        <f>72.95631562552*Deflactores!$B$5</f>
        <v>252.92252667081382</v>
      </c>
      <c r="F67" s="56">
        <f>89.76650122942*Deflactores!$C$5</f>
        <v>290.86285217173958</v>
      </c>
      <c r="G67" s="56">
        <f>82.67968846464*Deflactores!$D$5</f>
        <v>251.56974580319766</v>
      </c>
      <c r="H67" s="56">
        <f>114.590854202259*Deflactores!$E$5</f>
        <v>330.49850329427431</v>
      </c>
      <c r="I67" s="56">
        <f>229.63783854279*Deflactores!$F$5</f>
        <v>631.64514293101877</v>
      </c>
      <c r="J67" s="56">
        <f>133.75692158876*Deflactores!$G$5</f>
        <v>352.14484867682415</v>
      </c>
      <c r="K67" s="56">
        <f>156.93007931908*Deflactores!$H$5</f>
        <v>390.89403190281308</v>
      </c>
      <c r="L67" s="56">
        <f>183.82813079848*Deflactores!$I$5</f>
        <v>425.25797982918255</v>
      </c>
      <c r="M67" s="56">
        <f>174.43035167034*Deflactores!$J$5</f>
        <v>395.59854638919245</v>
      </c>
      <c r="N67" s="56">
        <f>194.71342990017*Deflactores!$K$5</f>
        <v>428.02581442654525</v>
      </c>
      <c r="O67" s="56">
        <f>223.543426033979*Deflactores!$L$5</f>
        <v>473.74589375009856</v>
      </c>
      <c r="P67" s="56">
        <f>302.573223839543*Deflactores!$M$5</f>
        <v>625.95696881154947</v>
      </c>
      <c r="Q67" s="56">
        <f>364.46315614219*Deflactores!$N$5</f>
        <v>739.64442594220588</v>
      </c>
      <c r="R67" s="56">
        <f>576.374161908276*Deflactores!$O$5</f>
        <v>1128.3989054398078</v>
      </c>
      <c r="S67" s="56">
        <f>376.5287008104*Deflactores!$P$5</f>
        <v>690.4098766567231</v>
      </c>
      <c r="T67" s="56">
        <f>332.633595945929*Deflactores!$Q$5</f>
        <v>576.75935103183372</v>
      </c>
      <c r="U67" s="56">
        <f>389.38334658361*Deflactores!$R$5</f>
        <v>648.62980143681295</v>
      </c>
      <c r="V67" s="56">
        <f>598.5097216007*Deflactores!$S$5</f>
        <v>966.26269022802001</v>
      </c>
    </row>
    <row r="68" spans="3:22" x14ac:dyDescent="0.2">
      <c r="C68" s="88" t="s">
        <v>138</v>
      </c>
      <c r="D68" s="57">
        <f>158.14755313817*Deflactores!$A$5</f>
        <v>590.1933163625655</v>
      </c>
      <c r="E68" s="57">
        <f>184.55636509589*Deflactores!$B$5</f>
        <v>639.81386358421912</v>
      </c>
      <c r="F68" s="57">
        <f>184.06349915717*Deflactores!$C$5</f>
        <v>596.40549216391651</v>
      </c>
      <c r="G68" s="57">
        <f>236.57292460869*Deflactores!$D$5</f>
        <v>719.82117510251703</v>
      </c>
      <c r="H68" s="57">
        <f>248.18565265057*Deflactores!$E$5</f>
        <v>715.80744651180919</v>
      </c>
      <c r="I68" s="57">
        <f>254.4271104723*Deflactores!$F$5</f>
        <v>699.83087099061106</v>
      </c>
      <c r="J68" s="57">
        <f>296.28398323634*Deflactores!$G$5</f>
        <v>780.03349062494601</v>
      </c>
      <c r="K68" s="57">
        <f>289.8032503068*Deflactores!$H$5</f>
        <v>721.86518647347691</v>
      </c>
      <c r="L68" s="57">
        <f>385.937150510559*Deflactores!$I$5</f>
        <v>892.80597182957672</v>
      </c>
      <c r="M68" s="57">
        <f>316.43178405234*Deflactores!$J$5</f>
        <v>717.65006837241879</v>
      </c>
      <c r="N68" s="57">
        <f>326.16582094716*Deflactores!$K$5</f>
        <v>716.9890193017909</v>
      </c>
      <c r="O68" s="57">
        <f>309.44802866312*Deflactores!$L$5</f>
        <v>655.79979473846163</v>
      </c>
      <c r="P68" s="57">
        <f>184.391399158743*Deflactores!$M$5</f>
        <v>381.46495525174424</v>
      </c>
      <c r="Q68" s="57">
        <f>180.96254408515*Deflactores!$N$5</f>
        <v>367.24682531334685</v>
      </c>
      <c r="R68" s="57">
        <f>140.76598687586*Deflactores!$O$5</f>
        <v>275.58519449931993</v>
      </c>
      <c r="S68" s="57">
        <f>78.46766439643*Deflactores!$P$5</f>
        <v>143.87973713791337</v>
      </c>
      <c r="T68" s="57">
        <f>91.8446310290399*Deflactores!$Q$5</f>
        <v>159.25105110753194</v>
      </c>
      <c r="U68" s="57">
        <f>91.9497718633*Deflactores!$R$5</f>
        <v>153.16875461967425</v>
      </c>
      <c r="V68" s="57">
        <f>93.36722012821*Deflactores!$S$5</f>
        <v>150.73650108625139</v>
      </c>
    </row>
    <row r="69" spans="3:22" x14ac:dyDescent="0.2">
      <c r="C69" s="87" t="s">
        <v>139</v>
      </c>
      <c r="D69" s="56">
        <f>580.31561788222*Deflactores!$A$5</f>
        <v>2165.6888915357767</v>
      </c>
      <c r="E69" s="56">
        <f>763.51949045687*Deflactores!$B$5</f>
        <v>2646.9439558871291</v>
      </c>
      <c r="F69" s="56">
        <f>689.66002362423*Deflactores!$C$5</f>
        <v>2234.6474325372228</v>
      </c>
      <c r="G69" s="56">
        <f>736.439726587369*Deflactores!$D$5</f>
        <v>2240.7674515633225</v>
      </c>
      <c r="H69" s="56">
        <f>914.761726263839*Deflactores!$E$5</f>
        <v>2638.3203398367332</v>
      </c>
      <c r="I69" s="56">
        <f>1013.22163435947*Deflactores!$F$5</f>
        <v>2786.9820066109573</v>
      </c>
      <c r="J69" s="56">
        <f>1280.65207535157*Deflactores!$G$5</f>
        <v>3371.6014537840274</v>
      </c>
      <c r="K69" s="56">
        <f>1285.61844928143*Deflactores!$H$5</f>
        <v>3202.3215772832409</v>
      </c>
      <c r="L69" s="56">
        <f>1732.00426884774*Deflactores!$I$5</f>
        <v>4006.7242876616383</v>
      </c>
      <c r="M69" s="56">
        <f>2078.58167424458*Deflactores!$J$5</f>
        <v>4714.1101362704549</v>
      </c>
      <c r="N69" s="56">
        <f>2782.58355294405*Deflactores!$K$5</f>
        <v>6116.7716683406188</v>
      </c>
      <c r="O69" s="56">
        <f>6389.82115603839*Deflactores!$L$5</f>
        <v>13541.671021945251</v>
      </c>
      <c r="P69" s="56">
        <f>2387.14040202186*Deflactores!$M$5</f>
        <v>4938.464650690963</v>
      </c>
      <c r="Q69" s="56">
        <f>3115.59527918507*Deflactores!$N$5</f>
        <v>6322.813823304672</v>
      </c>
      <c r="R69" s="56">
        <f>3333.17558854089*Deflactores!$O$5</f>
        <v>6525.5383296428472</v>
      </c>
      <c r="S69" s="56">
        <f>3392.22046937378*Deflactores!$P$5</f>
        <v>6220.0371732939466</v>
      </c>
      <c r="T69" s="56">
        <f>3626.66929729606*Deflactores!$Q$5</f>
        <v>6288.346865166227</v>
      </c>
      <c r="U69" s="56">
        <f>3945.68803605702*Deflactores!$R$5</f>
        <v>6572.6766946098251</v>
      </c>
      <c r="V69" s="56">
        <f>3539.64337003864*Deflactores!$S$5</f>
        <v>5714.5693741348096</v>
      </c>
    </row>
    <row r="70" spans="3:22" x14ac:dyDescent="0.2">
      <c r="C70" s="88" t="s">
        <v>140</v>
      </c>
      <c r="D70" s="57">
        <f>330.15994525066*Deflactores!$A$5</f>
        <v>1232.1290412082874</v>
      </c>
      <c r="E70" s="57">
        <f>478.951404913*Deflactores!$B$5</f>
        <v>1660.4127887285779</v>
      </c>
      <c r="F70" s="57">
        <f>349.56365287683*Deflactores!$C$5</f>
        <v>1132.6617357122057</v>
      </c>
      <c r="G70" s="57">
        <f>421.53975330564*Deflactores!$D$5</f>
        <v>1282.6203213186509</v>
      </c>
      <c r="H70" s="57">
        <f>3015.66044356787*Deflactores!$E$5</f>
        <v>8697.6510471224028</v>
      </c>
      <c r="I70" s="57">
        <f>2935.78660395311*Deflactores!$F$5</f>
        <v>8075.216875564668</v>
      </c>
      <c r="J70" s="57">
        <f>977.399939826779*Deflactores!$G$5</f>
        <v>2573.2227522793191</v>
      </c>
      <c r="K70" s="57">
        <f>2551.31523512721*Deflactores!$H$5</f>
        <v>6355.0206769869064</v>
      </c>
      <c r="L70" s="57">
        <f>1808.79432449306*Deflactores!$I$5</f>
        <v>4184.3662176146645</v>
      </c>
      <c r="M70" s="57">
        <f>6479.49845113747*Deflactores!$J$5</f>
        <v>14695.14992118694</v>
      </c>
      <c r="N70" s="57">
        <f>2317.16586265565*Deflactores!$K$5</f>
        <v>5093.6743604849153</v>
      </c>
      <c r="O70" s="57">
        <f>2838.39031447581*Deflactores!$L$5</f>
        <v>6015.2775691045053</v>
      </c>
      <c r="P70" s="57">
        <f>2669.6344690426*Deflactores!$M$5</f>
        <v>5522.8822923304051</v>
      </c>
      <c r="Q70" s="57">
        <f>3356.63427130803*Deflactores!$N$5</f>
        <v>6811.9802697723635</v>
      </c>
      <c r="R70" s="57">
        <f>2969.82547417988*Deflactores!$O$5</f>
        <v>5814.1881366034158</v>
      </c>
      <c r="S70" s="57">
        <f>3376.12343167831*Deflactores!$P$5</f>
        <v>6190.521352093735</v>
      </c>
      <c r="T70" s="57">
        <f>3180.19607053378*Deflactores!$Q$5</f>
        <v>5514.1989388624743</v>
      </c>
      <c r="U70" s="57">
        <f>3818.76839318629*Deflactores!$R$5</f>
        <v>6361.255575869206</v>
      </c>
      <c r="V70" s="57">
        <f>4088.39594508207*Deflactores!$S$5</f>
        <v>6600.5017496573091</v>
      </c>
    </row>
    <row r="71" spans="3:22" x14ac:dyDescent="0.2">
      <c r="C71" s="87" t="s">
        <v>141</v>
      </c>
      <c r="D71" s="56">
        <f>361.77505461269*Deflactores!$A$5</f>
        <v>1350.1139601734244</v>
      </c>
      <c r="E71" s="56">
        <f>375.8356454713*Deflactores!$B$5</f>
        <v>1302.9345060882777</v>
      </c>
      <c r="F71" s="56">
        <f>401.71414465092*Deflactores!$C$5</f>
        <v>1301.6405927671724</v>
      </c>
      <c r="G71" s="56">
        <f>408.68281518214*Deflactores!$D$5</f>
        <v>1243.5004756153182</v>
      </c>
      <c r="H71" s="56">
        <f>465.538405797869*Deflactores!$E$5</f>
        <v>1342.6878385130767</v>
      </c>
      <c r="I71" s="56">
        <f>486.088231294359*Deflactores!$F$5</f>
        <v>1337.0412832717875</v>
      </c>
      <c r="J71" s="56">
        <f>553.09433050918*Deflactores!$G$5</f>
        <v>1456.1438541475197</v>
      </c>
      <c r="K71" s="56">
        <f>611.0460886441*Deflactores!$H$5</f>
        <v>1522.0426211783313</v>
      </c>
      <c r="L71" s="56">
        <f>697.76312445925*Deflactores!$I$5</f>
        <v>1614.1671865886842</v>
      </c>
      <c r="M71" s="56">
        <f>785.795111611909*Deflactores!$J$5</f>
        <v>1782.1405560249336</v>
      </c>
      <c r="N71" s="56">
        <f>885.08833330378*Deflactores!$K$5</f>
        <v>1945.631869851075</v>
      </c>
      <c r="O71" s="56">
        <f>935.677935422809*Deflactores!$L$5</f>
        <v>1982.9416934486246</v>
      </c>
      <c r="P71" s="56">
        <f>1049.39794638836*Deflactores!$M$5</f>
        <v>2170.9718700907597</v>
      </c>
      <c r="Q71" s="56">
        <f>1185.61132421116*Deflactores!$N$5</f>
        <v>2406.089044964041</v>
      </c>
      <c r="R71" s="56">
        <f>1329.02943188358*Deflactores!$O$5</f>
        <v>2601.9128811561454</v>
      </c>
      <c r="S71" s="56">
        <f>1485.21346584375*Deflactores!$P$5</f>
        <v>2723.3144340792978</v>
      </c>
      <c r="T71" s="56">
        <f>1526.31122285591*Deflactores!$Q$5</f>
        <v>2646.498372672128</v>
      </c>
      <c r="U71" s="56">
        <f>1716.440433585*Deflactores!$R$5</f>
        <v>2859.2245338240114</v>
      </c>
      <c r="V71" s="56">
        <f>1822.01308541054*Deflactores!$S$5</f>
        <v>2941.5449774665526</v>
      </c>
    </row>
    <row r="72" spans="3:22" x14ac:dyDescent="0.2">
      <c r="C72" s="88" t="s">
        <v>142</v>
      </c>
      <c r="D72" s="57">
        <f>355.75222452703*Deflactores!$A$5</f>
        <v>1327.6372667841927</v>
      </c>
      <c r="E72" s="57">
        <f>1066.81610735055*Deflactores!$B$5</f>
        <v>3698.4025721529179</v>
      </c>
      <c r="F72" s="57">
        <f>860.56471074003*Deflactores!$C$5</f>
        <v>2788.4155315853841</v>
      </c>
      <c r="G72" s="57">
        <f>411.4768416796*Deflactores!$D$5</f>
        <v>1252.0018687480949</v>
      </c>
      <c r="H72" s="57">
        <f>290.41419766199*Deflactores!$E$5</f>
        <v>837.60138041455582</v>
      </c>
      <c r="I72" s="57">
        <f>177.54647266862*Deflactores!$F$5</f>
        <v>488.3618824202253</v>
      </c>
      <c r="J72" s="57">
        <f>283.50669281857*Deflactores!$G$5</f>
        <v>746.39443144788754</v>
      </c>
      <c r="K72" s="57">
        <f>411.06141936896*Deflactores!$H$5</f>
        <v>1023.9047623885943</v>
      </c>
      <c r="L72" s="57">
        <f>618.1270302684*Deflactores!$I$5</f>
        <v>1429.9413861631087</v>
      </c>
      <c r="M72" s="57">
        <f>1092.90296861242*Deflactores!$J$5</f>
        <v>2478.6444651823927</v>
      </c>
      <c r="N72" s="57">
        <f>1004.585384557*Deflactores!$K$5</f>
        <v>2208.3144321707555</v>
      </c>
      <c r="O72" s="57">
        <f>872.71652694894*Deflactores!$L$5</f>
        <v>1849.5103094065626</v>
      </c>
      <c r="P72" s="57">
        <f>975.624302681009*Deflactores!$M$5</f>
        <v>2018.3505448880846</v>
      </c>
      <c r="Q72" s="57">
        <f>567.119652641309*Deflactores!$N$5</f>
        <v>1150.9171307147858</v>
      </c>
      <c r="R72" s="57">
        <f>437.578761757919*Deflactores!$O$5</f>
        <v>856.67163527347634</v>
      </c>
      <c r="S72" s="57">
        <f>406.87129643653*Deflactores!$P$5</f>
        <v>746.04661207315542</v>
      </c>
      <c r="T72" s="57">
        <f>548.85429944133*Deflactores!$Q$5</f>
        <v>951.66830234511508</v>
      </c>
      <c r="U72" s="57">
        <f>531.199813610129*Deflactores!$R$5</f>
        <v>884.86585943712532</v>
      </c>
      <c r="V72" s="57">
        <f>471.396406257921*Deflactores!$S$5</f>
        <v>761.04488070201239</v>
      </c>
    </row>
    <row r="73" spans="3:22" x14ac:dyDescent="0.2">
      <c r="C73" s="87" t="s">
        <v>143</v>
      </c>
      <c r="D73" s="56">
        <f>762.34415926158*Deflactores!$A$5</f>
        <v>2845.0040398104011</v>
      </c>
      <c r="E73" s="56">
        <f>772.33627741254*Deflactores!$B$5</f>
        <v>2677.5096994396486</v>
      </c>
      <c r="F73" s="56">
        <f>979.075133744269*Deflactores!$C$5</f>
        <v>3172.4148985540837</v>
      </c>
      <c r="G73" s="56">
        <f>803.92326195932*Deflactores!$D$5</f>
        <v>2446.0998149851243</v>
      </c>
      <c r="H73" s="56">
        <f>758.98363363872*Deflactores!$E$5</f>
        <v>2189.0311987699783</v>
      </c>
      <c r="I73" s="56">
        <f>650.43693364789*Deflactores!$F$5</f>
        <v>1789.1011887619704</v>
      </c>
      <c r="J73" s="56">
        <f>214.751704586039*Deflactores!$G$5</f>
        <v>565.38163121792149</v>
      </c>
      <c r="K73" s="56">
        <f>356.11692727985*Deflactores!$H$5</f>
        <v>887.04461335435417</v>
      </c>
      <c r="L73" s="56">
        <f>317.12580321259*Deflactores!$I$5</f>
        <v>733.62155095692242</v>
      </c>
      <c r="M73" s="56">
        <f>293.709694345749*Deflactores!$J$5</f>
        <v>666.11760528457035</v>
      </c>
      <c r="N73" s="56">
        <f>282.71764181632*Deflactores!$K$5</f>
        <v>621.47972511821604</v>
      </c>
      <c r="O73" s="56">
        <f>307.59308730923*Deflactores!$L$5</f>
        <v>651.86869792589391</v>
      </c>
      <c r="P73" s="56">
        <f>853.245139847519*Deflactores!$M$5</f>
        <v>1765.1751685581216</v>
      </c>
      <c r="Q73" s="56">
        <f>601.7833129881*Deflactores!$N$5</f>
        <v>1221.2638385401858</v>
      </c>
      <c r="R73" s="56">
        <f>664.644879273289*Deflactores!$O$5</f>
        <v>1301.2112683800437</v>
      </c>
      <c r="S73" s="56">
        <f>662.845175982059*Deflactores!$P$5</f>
        <v>1215.4049749921137</v>
      </c>
      <c r="T73" s="56">
        <f>799.97051618476*Deflactores!$Q$5</f>
        <v>1387.0832092207672</v>
      </c>
      <c r="U73" s="56">
        <f>1830.74185974987*Deflactores!$R$5</f>
        <v>3049.6263884686723</v>
      </c>
      <c r="V73" s="56">
        <f>1514.57058621244*Deflactores!$S$5</f>
        <v>2445.1951177331553</v>
      </c>
    </row>
    <row r="74" spans="3:22" x14ac:dyDescent="0.2">
      <c r="C74" s="88" t="s">
        <v>144</v>
      </c>
      <c r="D74" s="57">
        <f>693.862779051269*Deflactores!$A$5</f>
        <v>2589.4373105540994</v>
      </c>
      <c r="E74" s="57">
        <f>784.09983190526*Deflactores!$B$5</f>
        <v>2718.2911986069093</v>
      </c>
      <c r="F74" s="57">
        <f>812.050661123999*Deflactores!$C$5</f>
        <v>2631.2195325382991</v>
      </c>
      <c r="G74" s="57">
        <f>812.517173549489*Deflactores!$D$5</f>
        <v>2472.2485365676762</v>
      </c>
      <c r="H74" s="57">
        <f>1029.04818081038*Deflactores!$E$5</f>
        <v>2967.94090543416</v>
      </c>
      <c r="I74" s="57">
        <f>1073.3435872458*Deflactores!$F$5</f>
        <v>2952.354315308688</v>
      </c>
      <c r="J74" s="57">
        <f>1206.12366606427*Deflactores!$G$5</f>
        <v>3175.3888384003458</v>
      </c>
      <c r="K74" s="57">
        <f>1307.56467704722*Deflactores!$H$5</f>
        <v>3256.9870021249912</v>
      </c>
      <c r="L74" s="57">
        <f>1451.32637262575*Deflactores!$I$5</f>
        <v>3357.4193384592973</v>
      </c>
      <c r="M74" s="57">
        <f>1672.32797060951*Deflactores!$J$5</f>
        <v>3792.7488417235318</v>
      </c>
      <c r="N74" s="57">
        <f>1821.33226706957*Deflactores!$K$5</f>
        <v>4003.715754755538</v>
      </c>
      <c r="O74" s="57">
        <f>2040.10172878113*Deflactores!$L$5</f>
        <v>4323.4991696675052</v>
      </c>
      <c r="P74" s="57">
        <f>2328.11987771129*Deflactores!$M$5</f>
        <v>4816.3642611511905</v>
      </c>
      <c r="Q74" s="57">
        <f>2773.10784260678*Deflactores!$N$5</f>
        <v>5627.7670973153427</v>
      </c>
      <c r="R74" s="57">
        <f>3002.92687640084*Deflactores!$O$5</f>
        <v>5878.9925440580964</v>
      </c>
      <c r="S74" s="57">
        <f>3180.34400385011*Deflactores!$P$5</f>
        <v>5831.5366310675017</v>
      </c>
      <c r="T74" s="57">
        <f>3463.96809289669*Deflactores!$Q$5</f>
        <v>6006.2363321197317</v>
      </c>
      <c r="U74" s="57">
        <f>3755.62860572644*Deflactores!$R$5</f>
        <v>6256.0781250044683</v>
      </c>
      <c r="V74" s="57">
        <f>4164.08767681703*Deflactores!$S$5</f>
        <v>6722.7020977796992</v>
      </c>
    </row>
    <row r="75" spans="3:22" x14ac:dyDescent="0.2">
      <c r="C75" s="87" t="s">
        <v>145</v>
      </c>
      <c r="D75" s="56">
        <f>213.591417667759*Deflactores!$A$5</f>
        <v>797.1051378188605</v>
      </c>
      <c r="E75" s="56">
        <f>190.29845082374*Deflactores!$B$5</f>
        <v>659.72033526108976</v>
      </c>
      <c r="F75" s="56">
        <f>225.21973370676*Deflactores!$C$5</f>
        <v>729.76058122045117</v>
      </c>
      <c r="G75" s="56">
        <f>319.841530285569*Deflactores!$D$5</f>
        <v>973.18282114304395</v>
      </c>
      <c r="H75" s="56">
        <f>170.40343939764*Deflactores!$E$5</f>
        <v>491.47099975109853</v>
      </c>
      <c r="I75" s="56">
        <f>204.54425544935*Deflactores!$F$5</f>
        <v>562.62237220521865</v>
      </c>
      <c r="J75" s="56">
        <f>500.73476428234*Deflactores!$G$5</f>
        <v>1318.2956493090182</v>
      </c>
      <c r="K75" s="56">
        <f>449.18787901601*Deflactores!$H$5</f>
        <v>1118.8732069231362</v>
      </c>
      <c r="L75" s="56">
        <f>373.339049002379*Deflactores!$I$5</f>
        <v>863.662210350956</v>
      </c>
      <c r="M75" s="56">
        <f>437.78163838632*Deflactores!$J$5</f>
        <v>992.8649350476295</v>
      </c>
      <c r="N75" s="56">
        <f>752.35192913935*Deflactores!$K$5</f>
        <v>1653.8461028104543</v>
      </c>
      <c r="O75" s="56">
        <f>605.953412411271*Deflactores!$L$5</f>
        <v>1284.1708030817456</v>
      </c>
      <c r="P75" s="56">
        <f>451.40929354003*Deflactores!$M$5</f>
        <v>933.86582425259621</v>
      </c>
      <c r="Q75" s="56">
        <f>575.782583905603*Deflactores!$N$5</f>
        <v>1168.4977522782333</v>
      </c>
      <c r="R75" s="56">
        <f>1127.73245555775*Deflactores!$O$5</f>
        <v>2207.8228910664147</v>
      </c>
      <c r="S75" s="56">
        <f>887.15110964104*Deflactores!$P$5</f>
        <v>1626.6964161427022</v>
      </c>
      <c r="T75" s="56">
        <f>771.58108813077*Deflactores!$Q$5</f>
        <v>1337.8582713307117</v>
      </c>
      <c r="U75" s="56">
        <f>821.23630697009*Deflactores!$R$5</f>
        <v>1368.0049426775684</v>
      </c>
      <c r="V75" s="56">
        <f>1865.02368607651*Deflactores!$S$5</f>
        <v>3010.9833461478052</v>
      </c>
    </row>
    <row r="76" spans="3:22" x14ac:dyDescent="0.2">
      <c r="C76" s="88" t="s">
        <v>146</v>
      </c>
      <c r="D76" s="57">
        <f>196.05632938777*Deflactores!$A$5</f>
        <v>731.66566879568006</v>
      </c>
      <c r="E76" s="57">
        <f>209.260306430209*Deflactores!$B$5</f>
        <v>725.4566651351505</v>
      </c>
      <c r="F76" s="57">
        <f>223.820796787*Deflactores!$C$5</f>
        <v>725.22772345149565</v>
      </c>
      <c r="G76" s="57">
        <f>221.48140373266*Deflactores!$D$5</f>
        <v>673.90215749288723</v>
      </c>
      <c r="H76" s="57">
        <f>219.751676286769*Deflactores!$E$5</f>
        <v>633.7992732037186</v>
      </c>
      <c r="I76" s="57">
        <f>272.16130197029*Deflactores!$F$5</f>
        <v>748.61079330043833</v>
      </c>
      <c r="J76" s="57">
        <f>288.2726260095*Deflactores!$G$5</f>
        <v>758.94181069667059</v>
      </c>
      <c r="K76" s="57">
        <f>265.82117353012*Deflactores!$H$5</f>
        <v>662.12870558138138</v>
      </c>
      <c r="L76" s="57">
        <f>266.583756418809*Deflactores!$I$5</f>
        <v>616.70033426067448</v>
      </c>
      <c r="M76" s="57">
        <f>287.529935215579*Deflactores!$J$5</f>
        <v>652.10224783375861</v>
      </c>
      <c r="N76" s="57">
        <f>341.67855737322*Deflactores!$K$5</f>
        <v>751.08965450786229</v>
      </c>
      <c r="O76" s="57">
        <f>368.805453212746*Deflactores!$L$5</f>
        <v>781.5934118573665</v>
      </c>
      <c r="P76" s="57">
        <f>619.316080014001*Deflactores!$M$5</f>
        <v>1281.2277678192604</v>
      </c>
      <c r="Q76" s="57">
        <f>629.982303033665*Deflactores!$N$5</f>
        <v>1278.4910930730548</v>
      </c>
      <c r="R76" s="57">
        <f>652.988602378229*Deflactores!$O$5</f>
        <v>1278.3911439554131</v>
      </c>
      <c r="S76" s="57">
        <f>830.032656746236*Deflactores!$P$5</f>
        <v>1521.9629816580307</v>
      </c>
      <c r="T76" s="57">
        <f>1000.35973781491*Deflactores!$Q$5</f>
        <v>1734.5416705121127</v>
      </c>
      <c r="U76" s="57">
        <f>939.988474275101*Deflactores!$R$5</f>
        <v>1565.8207850217686</v>
      </c>
      <c r="V76" s="57">
        <f>845.454577244755*Deflactores!$S$5</f>
        <v>1364.9422637434313</v>
      </c>
    </row>
    <row r="77" spans="3:22" x14ac:dyDescent="0.2">
      <c r="C77" s="90" t="s">
        <v>147</v>
      </c>
      <c r="D77" s="58">
        <f>5124.95480396952*Deflactores!$A$5</f>
        <v>19125.898643024895</v>
      </c>
      <c r="E77" s="58">
        <f>6915.30727533842*Deflactores!$B$5</f>
        <v>23973.757087204718</v>
      </c>
      <c r="F77" s="58">
        <f>7867.25433911232*Deflactores!$C$5</f>
        <v>25491.603265080143</v>
      </c>
      <c r="G77" s="58">
        <f>9069.32475818043*Deflactores!$D$5</f>
        <v>27595.262710718442</v>
      </c>
      <c r="H77" s="58">
        <f>11820.3915039295*Deflactores!$E$5</f>
        <v>34091.915341739747</v>
      </c>
      <c r="I77" s="58">
        <f>14870.2616699005*Deflactores!$F$5</f>
        <v>40902.35571589278</v>
      </c>
      <c r="J77" s="58">
        <f>16883.1208377712*Deflactores!$G$5</f>
        <v>44448.57104956785</v>
      </c>
      <c r="K77" s="58">
        <f>18273.8419003237*Deflactores!$H$5</f>
        <v>45517.951496400041</v>
      </c>
      <c r="L77" s="58">
        <f>20079.0025546579*Deflactores!$I$5</f>
        <v>46449.670277827892</v>
      </c>
      <c r="M77" s="58">
        <f>22716.5355786957*Deflactores!$J$5</f>
        <v>51519.866627996205</v>
      </c>
      <c r="N77" s="58">
        <f>24080.2150237379*Deflactores!$K$5</f>
        <v>52933.963786607543</v>
      </c>
      <c r="O77" s="58">
        <f>25992.3780461411*Deflactores!$L$5</f>
        <v>55084.520205429078</v>
      </c>
      <c r="P77" s="58">
        <f>29286.6915226597*Deflactores!$M$5</f>
        <v>60587.676660260877</v>
      </c>
      <c r="Q77" s="58">
        <f>30508.0525599635*Deflactores!$N$5</f>
        <v>61913.284352740993</v>
      </c>
      <c r="R77" s="58">
        <f>35948.8693606166*Deflactores!$O$5</f>
        <v>70379.048054506406</v>
      </c>
      <c r="S77" s="58">
        <f>36153.2501128256*Deflactores!$P$5</f>
        <v>66291.257206723269</v>
      </c>
      <c r="T77" s="58">
        <f>37945.7445195225*Deflactores!$Q$5</f>
        <v>65794.80620790075</v>
      </c>
      <c r="U77" s="58">
        <f>40424.521151762*Deflactores!$R$5</f>
        <v>67338.650607173433</v>
      </c>
      <c r="V77" s="58">
        <f>48571.4761310625*Deflactores!$S$5</f>
        <v>78416.11172033404</v>
      </c>
    </row>
    <row r="78" spans="3:22" ht="22.5" customHeight="1" x14ac:dyDescent="0.2">
      <c r="C78" s="89" t="s">
        <v>148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>
        <f>0*Deflactores!$O$5</f>
        <v>0</v>
      </c>
      <c r="S78" s="59"/>
      <c r="T78" s="59"/>
      <c r="U78" s="59">
        <f>0.150079299*Deflactores!$R$5</f>
        <v>0.25000017788188478</v>
      </c>
      <c r="V78" s="59">
        <f>134.3385293323*Deflactores!$S$5</f>
        <v>216.8825401979104</v>
      </c>
    </row>
    <row r="79" spans="3:22" x14ac:dyDescent="0.2">
      <c r="C79" s="87" t="s">
        <v>149</v>
      </c>
      <c r="D79" s="56">
        <f>195.24715402949*Deflactores!$A$5</f>
        <v>728.64589467495807</v>
      </c>
      <c r="E79" s="56">
        <f>210.29812889115*Deflactores!$B$5</f>
        <v>729.05455349897977</v>
      </c>
      <c r="F79" s="56">
        <f>219.80370968014*Deflactores!$C$5</f>
        <v>712.21149359602384</v>
      </c>
      <c r="G79" s="56">
        <f>185.00998316299*Deflactores!$D$5</f>
        <v>562.9304524444658</v>
      </c>
      <c r="H79" s="56">
        <f>219.86269123231*Deflactores!$E$5</f>
        <v>634.11945820975609</v>
      </c>
      <c r="I79" s="56">
        <f>181.96978431653*Deflactores!$F$5</f>
        <v>500.52870708554252</v>
      </c>
      <c r="J79" s="56">
        <f>299.43706569904*Deflactores!$G$5</f>
        <v>788.33468157270715</v>
      </c>
      <c r="K79" s="56">
        <f>427.033525936529*Deflactores!$H$5</f>
        <v>1063.6893668523694</v>
      </c>
      <c r="L79" s="56">
        <f>570.78989085091*Deflactores!$I$5</f>
        <v>1320.4342275354554</v>
      </c>
      <c r="M79" s="56">
        <f>778.881272240449*Deflactores!$J$5</f>
        <v>1766.4603445300495</v>
      </c>
      <c r="N79" s="56">
        <f>983.031220752629*Deflactores!$K$5</f>
        <v>2160.933321780069</v>
      </c>
      <c r="O79" s="56">
        <f>1113.19603413714*Deflactores!$L$5</f>
        <v>2359.1481058861609</v>
      </c>
      <c r="P79" s="56">
        <f>1406.16688329801*Deflactores!$M$5</f>
        <v>2909.0477628621334</v>
      </c>
      <c r="Q79" s="56">
        <f>1333.53645000243*Deflactores!$N$5</f>
        <v>2706.289471000046</v>
      </c>
      <c r="R79" s="56">
        <f>1858.2797132559*Deflactores!$O$5</f>
        <v>3638.0548140751916</v>
      </c>
      <c r="S79" s="56">
        <f>1516.07306832278*Deflactores!$P$5</f>
        <v>2779.8991626680249</v>
      </c>
      <c r="T79" s="56">
        <f>1241.56105297958*Deflactores!$Q$5</f>
        <v>2152.7649519181605</v>
      </c>
      <c r="U79" s="56">
        <f>1310.8416731298*Deflactores!$R$5</f>
        <v>2183.5833032338287</v>
      </c>
      <c r="V79" s="56">
        <f>1252.04627559109*Deflactores!$S$5</f>
        <v>2021.363327745159</v>
      </c>
    </row>
    <row r="80" spans="3:22" x14ac:dyDescent="0.2">
      <c r="C80" s="88" t="s">
        <v>150</v>
      </c>
      <c r="D80" s="57">
        <f>978.96912976339*Deflactores!$A$5</f>
        <v>3653.4301406916834</v>
      </c>
      <c r="E80" s="57">
        <f>1679.93144663373*Deflactores!$B$5</f>
        <v>5823.9304229301251</v>
      </c>
      <c r="F80" s="57">
        <f>1717.64243521016*Deflactores!$C$5</f>
        <v>5565.5324745207026</v>
      </c>
      <c r="G80" s="57">
        <f>1209.51372305721*Deflactores!$D$5</f>
        <v>3680.1911751894554</v>
      </c>
      <c r="H80" s="57">
        <f>1476.82370070835*Deflactores!$E$5</f>
        <v>4259.3977164365979</v>
      </c>
      <c r="I80" s="57">
        <f>1782.6739795735*Deflactores!$F$5</f>
        <v>4903.4486989272582</v>
      </c>
      <c r="J80" s="57">
        <f>2509.02909362377*Deflactores!$G$5</f>
        <v>6605.5771918582977</v>
      </c>
      <c r="K80" s="57">
        <f>3115.37503940619*Deflactores!$H$5</f>
        <v>7760.0260914085284</v>
      </c>
      <c r="L80" s="57">
        <f>2596.86670167726*Deflactores!$I$5</f>
        <v>6007.4499079336529</v>
      </c>
      <c r="M80" s="57">
        <f>3777.52211296949*Deflactores!$J$5</f>
        <v>8567.2146076276294</v>
      </c>
      <c r="N80" s="57">
        <f>3951.32545813643*Deflactores!$K$5</f>
        <v>8685.94065725361</v>
      </c>
      <c r="O80" s="57">
        <f>5092.33495529274*Deflactores!$L$5</f>
        <v>10791.964753655191</v>
      </c>
      <c r="P80" s="57">
        <f>7901.5173277257*Deflactores!$M$5</f>
        <v>16346.488868750734</v>
      </c>
      <c r="Q80" s="57">
        <f>8417.97136326799*Deflactores!$N$5</f>
        <v>17083.497993287365</v>
      </c>
      <c r="R80" s="57">
        <f>7504.00882794733*Deflactores!$O$5</f>
        <v>14691.004398656476</v>
      </c>
      <c r="S80" s="57">
        <f>7058.25317066852*Deflactores!$P$5</f>
        <v>12942.141436987051</v>
      </c>
      <c r="T80" s="57">
        <f>5907.19446684957*Deflactores!$Q$5</f>
        <v>10242.59031151148</v>
      </c>
      <c r="U80" s="57">
        <f>6429.12270033673*Deflactores!$R$5</f>
        <v>10709.550413802546</v>
      </c>
      <c r="V80" s="57">
        <f>5337.27537847218*Deflactores!$S$5</f>
        <v>8616.7523760474051</v>
      </c>
    </row>
    <row r="81" spans="3:22" x14ac:dyDescent="0.2">
      <c r="C81" s="87" t="s">
        <v>151</v>
      </c>
      <c r="D81" s="56">
        <f>185.55496356201*Deflactores!$A$5</f>
        <v>692.4754581344572</v>
      </c>
      <c r="E81" s="56">
        <f>204.26652964753*Deflactores!$B$5</f>
        <v>708.14440600205069</v>
      </c>
      <c r="F81" s="56">
        <f>161.6374600163*Deflactores!$C$5</f>
        <v>523.74028166676612</v>
      </c>
      <c r="G81" s="56">
        <f>209.067698205329*Deflactores!$D$5</f>
        <v>636.13093699146987</v>
      </c>
      <c r="H81" s="56">
        <f>255.363859022209*Deflactores!$E$5</f>
        <v>736.51055129866006</v>
      </c>
      <c r="I81" s="56">
        <f>272.11479816705*Deflactores!$F$5</f>
        <v>748.48287927010801</v>
      </c>
      <c r="J81" s="56">
        <f>234.43014560425*Deflactores!$G$5</f>
        <v>617.1895044273482</v>
      </c>
      <c r="K81" s="56">
        <f>393.93764125723*Deflactores!$H$5</f>
        <v>981.25148204522895</v>
      </c>
      <c r="L81" s="56">
        <f>437.969802190069*Deflactores!$I$5</f>
        <v>1013.1754726359621</v>
      </c>
      <c r="M81" s="56">
        <f>699.93693469994*Deflactores!$J$5</f>
        <v>1587.4188825503941</v>
      </c>
      <c r="N81" s="56">
        <f>631.28187687535*Deflactores!$K$5</f>
        <v>1387.705715115924</v>
      </c>
      <c r="O81" s="56">
        <f>1129.74048121473*Deflactores!$L$5</f>
        <v>2394.2100354916533</v>
      </c>
      <c r="P81" s="56">
        <f>3068.20442008798*Deflactores!$M$5</f>
        <v>6347.4352228568659</v>
      </c>
      <c r="Q81" s="56">
        <f>3553.8750003447*Deflactores!$N$5</f>
        <v>7212.2621730104347</v>
      </c>
      <c r="R81" s="56">
        <f>3703.31563520317*Deflactores!$O$5</f>
        <v>7250.1815407998793</v>
      </c>
      <c r="S81" s="56">
        <f>3872.94695041037*Deflactores!$P$5</f>
        <v>7101.5059956274117</v>
      </c>
      <c r="T81" s="56">
        <f>3234.8663231339*Deflactores!$Q$5</f>
        <v>5608.9926692453701</v>
      </c>
      <c r="U81" s="56">
        <f>3844.84661822783*Deflactores!$R$5</f>
        <v>6404.6963497978531</v>
      </c>
      <c r="V81" s="56">
        <f>3791.48388269373*Deflactores!$S$5</f>
        <v>6121.1527302341774</v>
      </c>
    </row>
    <row r="82" spans="3:22" x14ac:dyDescent="0.2">
      <c r="C82" s="79" t="s">
        <v>154</v>
      </c>
      <c r="D82" s="44">
        <f t="shared" ref="D82:V82" si="1">+SUM(D53:D81)</f>
        <v>116469.30750423711</v>
      </c>
      <c r="E82" s="44">
        <f t="shared" si="1"/>
        <v>136073.67969044647</v>
      </c>
      <c r="F82" s="44">
        <f t="shared" si="1"/>
        <v>134679.15964141587</v>
      </c>
      <c r="G82" s="44">
        <f t="shared" si="1"/>
        <v>132545.56530279201</v>
      </c>
      <c r="H82" s="44">
        <f t="shared" si="1"/>
        <v>154832.59740863484</v>
      </c>
      <c r="I82" s="44">
        <f t="shared" si="1"/>
        <v>165728.48978963625</v>
      </c>
      <c r="J82" s="44">
        <f t="shared" si="1"/>
        <v>170589.24884850252</v>
      </c>
      <c r="K82" s="44">
        <f t="shared" si="1"/>
        <v>181690.82602820414</v>
      </c>
      <c r="L82" s="44">
        <f t="shared" si="1"/>
        <v>194888.86778099986</v>
      </c>
      <c r="M82" s="44">
        <f t="shared" si="1"/>
        <v>224286.03977071017</v>
      </c>
      <c r="N82" s="44">
        <f t="shared" si="1"/>
        <v>223048.54071693757</v>
      </c>
      <c r="O82" s="44">
        <f t="shared" si="1"/>
        <v>238979.64486169827</v>
      </c>
      <c r="P82" s="44">
        <f t="shared" si="1"/>
        <v>258588.98255134525</v>
      </c>
      <c r="Q82" s="44">
        <f t="shared" si="1"/>
        <v>282037.19847244001</v>
      </c>
      <c r="R82" s="44">
        <f t="shared" si="1"/>
        <v>291202.00783044536</v>
      </c>
      <c r="S82" s="44">
        <f t="shared" si="1"/>
        <v>287223.29940065427</v>
      </c>
      <c r="T82" s="44">
        <f t="shared" si="1"/>
        <v>279556.04518232786</v>
      </c>
      <c r="U82" s="44">
        <f t="shared" si="1"/>
        <v>295390.93230665341</v>
      </c>
      <c r="V82" s="44">
        <f t="shared" si="1"/>
        <v>290640.56893060106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customHeight="1" x14ac:dyDescent="0.2">
      <c r="D87" s="164" t="s">
        <v>155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1" t="s">
        <v>120</v>
      </c>
      <c r="D89" s="155">
        <v>2000</v>
      </c>
      <c r="E89" s="155">
        <v>2001</v>
      </c>
      <c r="F89" s="155">
        <v>2002</v>
      </c>
      <c r="G89" s="155">
        <v>2003</v>
      </c>
      <c r="H89" s="155">
        <v>2004</v>
      </c>
      <c r="I89" s="155">
        <v>2005</v>
      </c>
      <c r="J89" s="155">
        <v>2006</v>
      </c>
      <c r="K89" s="155">
        <v>2007</v>
      </c>
      <c r="L89" s="155">
        <v>2008</v>
      </c>
      <c r="M89" s="155">
        <v>2009</v>
      </c>
      <c r="N89" s="155">
        <v>2010</v>
      </c>
      <c r="O89" s="155">
        <v>2011</v>
      </c>
      <c r="P89" s="155">
        <v>2012</v>
      </c>
      <c r="Q89" s="155">
        <v>2013</v>
      </c>
      <c r="R89" s="155">
        <v>2014</v>
      </c>
      <c r="S89" s="155">
        <v>2015</v>
      </c>
      <c r="T89" s="155">
        <v>2016</v>
      </c>
      <c r="U89" s="155">
        <v>2017</v>
      </c>
      <c r="V89" s="155">
        <v>2018</v>
      </c>
    </row>
    <row r="90" spans="3:22" ht="12" customHeight="1" thickBot="1" x14ac:dyDescent="0.25">
      <c r="C90" s="162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</row>
    <row r="91" spans="3:22" x14ac:dyDescent="0.2">
      <c r="C91" s="87" t="s">
        <v>123</v>
      </c>
      <c r="D91" s="60">
        <f t="shared" ref="D91:V91" si="2">+IFERROR(IF(D53&gt;0,+((D53/D14)*100)," "),"")</f>
        <v>87.054810627394403</v>
      </c>
      <c r="E91" s="60">
        <f t="shared" si="2"/>
        <v>94.641330059940188</v>
      </c>
      <c r="F91" s="60">
        <f t="shared" si="2"/>
        <v>89.291155573434082</v>
      </c>
      <c r="G91" s="60">
        <f t="shared" si="2"/>
        <v>97.277572997990276</v>
      </c>
      <c r="H91" s="60">
        <f t="shared" si="2"/>
        <v>95.114402210861797</v>
      </c>
      <c r="I91" s="60">
        <f t="shared" si="2"/>
        <v>94.535855700211357</v>
      </c>
      <c r="J91" s="60">
        <f t="shared" si="2"/>
        <v>97.263666637564882</v>
      </c>
      <c r="K91" s="60">
        <f t="shared" si="2"/>
        <v>97.607794751588941</v>
      </c>
      <c r="L91" s="60">
        <f t="shared" si="2"/>
        <v>99.385861243362271</v>
      </c>
      <c r="M91" s="60">
        <f t="shared" si="2"/>
        <v>92.474466304076785</v>
      </c>
      <c r="N91" s="60">
        <f t="shared" si="2"/>
        <v>91.738657303144436</v>
      </c>
      <c r="O91" s="60">
        <f t="shared" si="2"/>
        <v>96.116318391003773</v>
      </c>
      <c r="P91" s="60">
        <f t="shared" si="2"/>
        <v>93.503904526282284</v>
      </c>
      <c r="Q91" s="60">
        <f t="shared" si="2"/>
        <v>94.705825009009189</v>
      </c>
      <c r="R91" s="60">
        <f t="shared" si="2"/>
        <v>94.586208506097407</v>
      </c>
      <c r="S91" s="60">
        <f t="shared" si="2"/>
        <v>95.980745529177298</v>
      </c>
      <c r="T91" s="60">
        <f t="shared" si="2"/>
        <v>94.10342360059829</v>
      </c>
      <c r="U91" s="60">
        <f t="shared" si="2"/>
        <v>96.772878212298679</v>
      </c>
      <c r="V91" s="60">
        <f t="shared" si="2"/>
        <v>91.723417080135732</v>
      </c>
    </row>
    <row r="92" spans="3:22" x14ac:dyDescent="0.2">
      <c r="C92" s="88" t="s">
        <v>124</v>
      </c>
      <c r="D92" s="62">
        <f t="shared" ref="D92:V92" si="3">+IFERROR(IF(D54&gt;0,+((D54/D15)*100)," "),"")</f>
        <v>77.824945374353163</v>
      </c>
      <c r="E92" s="62">
        <f t="shared" si="3"/>
        <v>90.566052985677999</v>
      </c>
      <c r="F92" s="62">
        <f t="shared" si="3"/>
        <v>86.440747095701397</v>
      </c>
      <c r="G92" s="62">
        <f t="shared" si="3"/>
        <v>92.562915251147501</v>
      </c>
      <c r="H92" s="62">
        <f t="shared" si="3"/>
        <v>96.498024861898529</v>
      </c>
      <c r="I92" s="62">
        <f t="shared" si="3"/>
        <v>96.280040818191623</v>
      </c>
      <c r="J92" s="62">
        <f t="shared" si="3"/>
        <v>97.054857657635381</v>
      </c>
      <c r="K92" s="62">
        <f t="shared" si="3"/>
        <v>96.486084000063983</v>
      </c>
      <c r="L92" s="62">
        <f t="shared" si="3"/>
        <v>98.206606377975262</v>
      </c>
      <c r="M92" s="62">
        <f t="shared" si="3"/>
        <v>98.223215631047211</v>
      </c>
      <c r="N92" s="62">
        <f t="shared" si="3"/>
        <v>95.002346319160679</v>
      </c>
      <c r="O92" s="62">
        <f t="shared" si="3"/>
        <v>98.113170959020295</v>
      </c>
      <c r="P92" s="62">
        <f t="shared" si="3"/>
        <v>88.337339805860594</v>
      </c>
      <c r="Q92" s="62">
        <f t="shared" si="3"/>
        <v>87.816544144613147</v>
      </c>
      <c r="R92" s="62">
        <f t="shared" si="3"/>
        <v>93.361905588734871</v>
      </c>
      <c r="S92" s="62">
        <f t="shared" si="3"/>
        <v>77.441608518553352</v>
      </c>
      <c r="T92" s="62">
        <f t="shared" si="3"/>
        <v>94.794413035194225</v>
      </c>
      <c r="U92" s="62">
        <f t="shared" si="3"/>
        <v>96.532434133606429</v>
      </c>
      <c r="V92" s="62">
        <f t="shared" si="3"/>
        <v>98.066993900307509</v>
      </c>
    </row>
    <row r="93" spans="3:22" x14ac:dyDescent="0.2">
      <c r="C93" s="87" t="s">
        <v>125</v>
      </c>
      <c r="D93" s="60">
        <f t="shared" ref="D93:V93" si="4">+IFERROR(IF(D55&gt;0,+((D55/D16)*100)," "),"")</f>
        <v>81.515712492078535</v>
      </c>
      <c r="E93" s="60">
        <f t="shared" si="4"/>
        <v>99.195689059329581</v>
      </c>
      <c r="F93" s="60">
        <f t="shared" si="4"/>
        <v>92.019421263940188</v>
      </c>
      <c r="G93" s="60">
        <f t="shared" si="4"/>
        <v>99.418471590800749</v>
      </c>
      <c r="H93" s="60">
        <f t="shared" si="4"/>
        <v>99.138392359180671</v>
      </c>
      <c r="I93" s="60">
        <f t="shared" si="4"/>
        <v>99.232905749075712</v>
      </c>
      <c r="J93" s="60">
        <f t="shared" si="4"/>
        <v>99.06888843749357</v>
      </c>
      <c r="K93" s="60">
        <f t="shared" si="4"/>
        <v>96.800281824275828</v>
      </c>
      <c r="L93" s="60">
        <f t="shared" si="4"/>
        <v>98.654194317227535</v>
      </c>
      <c r="M93" s="60">
        <f t="shared" si="4"/>
        <v>80.528677352829931</v>
      </c>
      <c r="N93" s="60">
        <f t="shared" si="4"/>
        <v>98.454498192379504</v>
      </c>
      <c r="O93" s="60">
        <f t="shared" si="4"/>
        <v>96.684811844372618</v>
      </c>
      <c r="P93" s="60">
        <f t="shared" si="4"/>
        <v>95.910309967919162</v>
      </c>
      <c r="Q93" s="60">
        <f t="shared" si="4"/>
        <v>98.637334187480505</v>
      </c>
      <c r="R93" s="60">
        <f t="shared" si="4"/>
        <v>99.032864903881318</v>
      </c>
      <c r="S93" s="60">
        <f t="shared" si="4"/>
        <v>99.176953271400293</v>
      </c>
      <c r="T93" s="60">
        <f t="shared" si="4"/>
        <v>99.462226440432119</v>
      </c>
      <c r="U93" s="60">
        <f t="shared" si="4"/>
        <v>99.618059487305203</v>
      </c>
      <c r="V93" s="60">
        <f t="shared" si="4"/>
        <v>98.714923074933878</v>
      </c>
    </row>
    <row r="94" spans="3:22" x14ac:dyDescent="0.2">
      <c r="C94" s="88" t="s">
        <v>126</v>
      </c>
      <c r="D94" s="62">
        <f t="shared" ref="D94:V94" si="5">+IFERROR(IF(D56&gt;0,+((D56/D17)*100)," "),"")</f>
        <v>79.144397205886378</v>
      </c>
      <c r="E94" s="62">
        <f t="shared" si="5"/>
        <v>90.739035937187154</v>
      </c>
      <c r="F94" s="62">
        <f t="shared" si="5"/>
        <v>85.420267577263843</v>
      </c>
      <c r="G94" s="62">
        <f t="shared" si="5"/>
        <v>93.131312011770333</v>
      </c>
      <c r="H94" s="62">
        <f t="shared" si="5"/>
        <v>94.794843709657599</v>
      </c>
      <c r="I94" s="62">
        <f t="shared" si="5"/>
        <v>94.75395771801378</v>
      </c>
      <c r="J94" s="62">
        <f t="shared" si="5"/>
        <v>95.820276780009536</v>
      </c>
      <c r="K94" s="62">
        <f t="shared" si="5"/>
        <v>91.875294042913708</v>
      </c>
      <c r="L94" s="62">
        <f t="shared" si="5"/>
        <v>94.53717974002609</v>
      </c>
      <c r="M94" s="62">
        <f t="shared" si="5"/>
        <v>93.426111723172497</v>
      </c>
      <c r="N94" s="62">
        <f t="shared" si="5"/>
        <v>93.2801366962712</v>
      </c>
      <c r="O94" s="62">
        <f t="shared" si="5"/>
        <v>92.711539027486793</v>
      </c>
      <c r="P94" s="62">
        <f t="shared" si="5"/>
        <v>95.702471146672465</v>
      </c>
      <c r="Q94" s="62">
        <f t="shared" si="5"/>
        <v>96.341831209593877</v>
      </c>
      <c r="R94" s="62">
        <f t="shared" si="5"/>
        <v>93.601666801414623</v>
      </c>
      <c r="S94" s="62">
        <f t="shared" si="5"/>
        <v>96.021830192851311</v>
      </c>
      <c r="T94" s="62">
        <f t="shared" si="5"/>
        <v>98.085022745282714</v>
      </c>
      <c r="U94" s="62">
        <f t="shared" si="5"/>
        <v>98.645954071104313</v>
      </c>
      <c r="V94" s="62">
        <f t="shared" si="5"/>
        <v>97.80027896117241</v>
      </c>
    </row>
    <row r="95" spans="3:22" x14ac:dyDescent="0.2">
      <c r="C95" s="87" t="s">
        <v>127</v>
      </c>
      <c r="D95" s="60">
        <f t="shared" ref="D95:V95" si="6">+IFERROR(IF(D57&gt;0,+((D57/D18)*100)," "),"")</f>
        <v>86.959021208309764</v>
      </c>
      <c r="E95" s="60">
        <f t="shared" si="6"/>
        <v>91.272537025985102</v>
      </c>
      <c r="F95" s="60">
        <f t="shared" si="6"/>
        <v>96.629632365026197</v>
      </c>
      <c r="G95" s="60">
        <f t="shared" si="6"/>
        <v>97.066717937068034</v>
      </c>
      <c r="H95" s="60">
        <f t="shared" si="6"/>
        <v>97.366980045354538</v>
      </c>
      <c r="I95" s="60">
        <f t="shared" si="6"/>
        <v>98.836083166230196</v>
      </c>
      <c r="J95" s="60">
        <f t="shared" si="6"/>
        <v>98.629825963280226</v>
      </c>
      <c r="K95" s="60">
        <f t="shared" si="6"/>
        <v>98.631172724872542</v>
      </c>
      <c r="L95" s="60">
        <f t="shared" si="6"/>
        <v>97.148146364111838</v>
      </c>
      <c r="M95" s="60">
        <f t="shared" si="6"/>
        <v>96.031140914696806</v>
      </c>
      <c r="N95" s="60">
        <f t="shared" si="6"/>
        <v>96.932464935688913</v>
      </c>
      <c r="O95" s="60">
        <f t="shared" si="6"/>
        <v>92.945516398760688</v>
      </c>
      <c r="P95" s="60">
        <f t="shared" si="6"/>
        <v>89.430163683767745</v>
      </c>
      <c r="Q95" s="60">
        <f t="shared" si="6"/>
        <v>91.628131763743923</v>
      </c>
      <c r="R95" s="60">
        <f t="shared" si="6"/>
        <v>96.406606805279182</v>
      </c>
      <c r="S95" s="60">
        <f t="shared" si="6"/>
        <v>98.283377980229261</v>
      </c>
      <c r="T95" s="60">
        <f t="shared" si="6"/>
        <v>98.730632387700695</v>
      </c>
      <c r="U95" s="60">
        <f t="shared" si="6"/>
        <v>99.171703527289253</v>
      </c>
      <c r="V95" s="60">
        <f t="shared" si="6"/>
        <v>98.689471775469514</v>
      </c>
    </row>
    <row r="96" spans="3:22" x14ac:dyDescent="0.2">
      <c r="C96" s="88" t="s">
        <v>128</v>
      </c>
      <c r="D96" s="62">
        <f t="shared" ref="D96:V96" si="7">+IFERROR(IF(D58&gt;0,+((D58/D19)*100)," "),"")</f>
        <v>76.995554829935827</v>
      </c>
      <c r="E96" s="62">
        <f t="shared" si="7"/>
        <v>98.745520876440622</v>
      </c>
      <c r="F96" s="62">
        <f t="shared" si="7"/>
        <v>90.896764167894659</v>
      </c>
      <c r="G96" s="62">
        <f t="shared" si="7"/>
        <v>99.286868741302399</v>
      </c>
      <c r="H96" s="62">
        <f t="shared" si="7"/>
        <v>99.294897487147878</v>
      </c>
      <c r="I96" s="62">
        <f t="shared" si="7"/>
        <v>96.277513213030943</v>
      </c>
      <c r="J96" s="62">
        <f t="shared" si="7"/>
        <v>94.867616003154197</v>
      </c>
      <c r="K96" s="62">
        <f t="shared" si="7"/>
        <v>91.398731710500286</v>
      </c>
      <c r="L96" s="62">
        <f t="shared" si="7"/>
        <v>98.222703528986983</v>
      </c>
      <c r="M96" s="62">
        <f t="shared" si="7"/>
        <v>88.99183118069196</v>
      </c>
      <c r="N96" s="62">
        <f t="shared" si="7"/>
        <v>95.338806828536903</v>
      </c>
      <c r="O96" s="62">
        <f t="shared" si="7"/>
        <v>96.578928952108953</v>
      </c>
      <c r="P96" s="62">
        <f t="shared" si="7"/>
        <v>98.576096810551022</v>
      </c>
      <c r="Q96" s="62">
        <f t="shared" si="7"/>
        <v>96.820624299193881</v>
      </c>
      <c r="R96" s="62">
        <f t="shared" si="7"/>
        <v>99.384005883866038</v>
      </c>
      <c r="S96" s="62">
        <f t="shared" si="7"/>
        <v>99.139553436965656</v>
      </c>
      <c r="T96" s="62">
        <f t="shared" si="7"/>
        <v>99.387848234678756</v>
      </c>
      <c r="U96" s="62">
        <f t="shared" si="7"/>
        <v>99.771945977231638</v>
      </c>
      <c r="V96" s="62">
        <f t="shared" si="7"/>
        <v>99.283707414739936</v>
      </c>
    </row>
    <row r="97" spans="3:22" x14ac:dyDescent="0.2">
      <c r="C97" s="87" t="s">
        <v>129</v>
      </c>
      <c r="D97" s="60">
        <f t="shared" ref="D97:V97" si="8">+IFERROR(IF(D59&gt;0,+((D59/D20)*100)," "),"")</f>
        <v>97.221178340287409</v>
      </c>
      <c r="E97" s="60">
        <f t="shared" si="8"/>
        <v>97.547835356891312</v>
      </c>
      <c r="F97" s="60">
        <f t="shared" si="8"/>
        <v>96.430518204104231</v>
      </c>
      <c r="G97" s="60">
        <f t="shared" si="8"/>
        <v>97.803225785447509</v>
      </c>
      <c r="H97" s="60">
        <f t="shared" si="8"/>
        <v>98.628117233435717</v>
      </c>
      <c r="I97" s="60">
        <f t="shared" si="8"/>
        <v>98.828622035765008</v>
      </c>
      <c r="J97" s="60">
        <f t="shared" si="8"/>
        <v>98.95934003839038</v>
      </c>
      <c r="K97" s="60">
        <f t="shared" si="8"/>
        <v>97.943749340921798</v>
      </c>
      <c r="L97" s="60">
        <f t="shared" si="8"/>
        <v>99.18396774708792</v>
      </c>
      <c r="M97" s="60">
        <f t="shared" si="8"/>
        <v>97.357984709224993</v>
      </c>
      <c r="N97" s="60">
        <f t="shared" si="8"/>
        <v>97.43295729560549</v>
      </c>
      <c r="O97" s="60">
        <f t="shared" si="8"/>
        <v>97.51834735858202</v>
      </c>
      <c r="P97" s="60">
        <f t="shared" si="8"/>
        <v>98.493887200084018</v>
      </c>
      <c r="Q97" s="60">
        <f t="shared" si="8"/>
        <v>98.521368123421411</v>
      </c>
      <c r="R97" s="60">
        <f t="shared" si="8"/>
        <v>98.956183426345717</v>
      </c>
      <c r="S97" s="60">
        <f t="shared" si="8"/>
        <v>98.332277965125741</v>
      </c>
      <c r="T97" s="60">
        <f t="shared" si="8"/>
        <v>99.407676701092768</v>
      </c>
      <c r="U97" s="60">
        <f t="shared" si="8"/>
        <v>99.741948585491315</v>
      </c>
      <c r="V97" s="60">
        <f t="shared" si="8"/>
        <v>99.633727470832696</v>
      </c>
    </row>
    <row r="98" spans="3:22" x14ac:dyDescent="0.2">
      <c r="C98" s="88" t="s">
        <v>130</v>
      </c>
      <c r="D98" s="62">
        <f t="shared" ref="D98:V98" si="9">+IFERROR(IF(D60&gt;0,+((D60/D21)*100)," "),"")</f>
        <v>86.449273964205602</v>
      </c>
      <c r="E98" s="62">
        <f t="shared" si="9"/>
        <v>98.713749964912523</v>
      </c>
      <c r="F98" s="62">
        <f t="shared" si="9"/>
        <v>90.062286674504918</v>
      </c>
      <c r="G98" s="62">
        <f t="shared" si="9"/>
        <v>96.096443067911608</v>
      </c>
      <c r="H98" s="62">
        <f t="shared" si="9"/>
        <v>99.052844970189511</v>
      </c>
      <c r="I98" s="62">
        <f t="shared" si="9"/>
        <v>99.370557651855478</v>
      </c>
      <c r="J98" s="62">
        <f t="shared" si="9"/>
        <v>97.472430865472234</v>
      </c>
      <c r="K98" s="62">
        <f t="shared" si="9"/>
        <v>96.593397525695949</v>
      </c>
      <c r="L98" s="62">
        <f t="shared" si="9"/>
        <v>98.363894776159583</v>
      </c>
      <c r="M98" s="62">
        <f t="shared" si="9"/>
        <v>93.416344761509407</v>
      </c>
      <c r="N98" s="62">
        <f t="shared" si="9"/>
        <v>98.110391095994942</v>
      </c>
      <c r="O98" s="62">
        <f t="shared" si="9"/>
        <v>98.66527205492396</v>
      </c>
      <c r="P98" s="62">
        <f t="shared" si="9"/>
        <v>93.490552413030827</v>
      </c>
      <c r="Q98" s="62">
        <f t="shared" si="9"/>
        <v>95.106497090523959</v>
      </c>
      <c r="R98" s="62">
        <f t="shared" si="9"/>
        <v>95.626319562346495</v>
      </c>
      <c r="S98" s="62">
        <f t="shared" si="9"/>
        <v>98.273334537679375</v>
      </c>
      <c r="T98" s="62">
        <f t="shared" si="9"/>
        <v>98.209410454110824</v>
      </c>
      <c r="U98" s="62">
        <f t="shared" si="9"/>
        <v>98.774834821462335</v>
      </c>
      <c r="V98" s="62">
        <f t="shared" si="9"/>
        <v>99.253891851062136</v>
      </c>
    </row>
    <row r="99" spans="3:22" x14ac:dyDescent="0.2">
      <c r="C99" s="87" t="s">
        <v>131</v>
      </c>
      <c r="D99" s="60">
        <f t="shared" ref="D99:V99" si="10">+IFERROR(IF(D61&gt;0,+((D61/D22)*100)," "),"")</f>
        <v>94.869449522279368</v>
      </c>
      <c r="E99" s="60">
        <f t="shared" si="10"/>
        <v>96.807540534157113</v>
      </c>
      <c r="F99" s="60">
        <f t="shared" si="10"/>
        <v>99.435313206336801</v>
      </c>
      <c r="G99" s="60">
        <f t="shared" si="10"/>
        <v>99.567494170389068</v>
      </c>
      <c r="H99" s="60">
        <f t="shared" si="10"/>
        <v>99.813557613014623</v>
      </c>
      <c r="I99" s="60">
        <f t="shared" si="10"/>
        <v>99.767990663158542</v>
      </c>
      <c r="J99" s="60">
        <f t="shared" si="10"/>
        <v>98.613809567016574</v>
      </c>
      <c r="K99" s="60">
        <f t="shared" si="10"/>
        <v>99.722776722435668</v>
      </c>
      <c r="L99" s="60">
        <f t="shared" si="10"/>
        <v>99.624994684124999</v>
      </c>
      <c r="M99" s="60">
        <f t="shared" si="10"/>
        <v>99.361144498774152</v>
      </c>
      <c r="N99" s="60">
        <f t="shared" si="10"/>
        <v>97.598469721156874</v>
      </c>
      <c r="O99" s="60">
        <f t="shared" si="10"/>
        <v>99.89120644250022</v>
      </c>
      <c r="P99" s="60">
        <f t="shared" si="10"/>
        <v>99.394608656119686</v>
      </c>
      <c r="Q99" s="60">
        <f t="shared" si="10"/>
        <v>99.539179574719668</v>
      </c>
      <c r="R99" s="60">
        <f t="shared" si="10"/>
        <v>99.940485539532105</v>
      </c>
      <c r="S99" s="60">
        <f t="shared" si="10"/>
        <v>99.928939300285506</v>
      </c>
      <c r="T99" s="60">
        <f t="shared" si="10"/>
        <v>99.177954787752455</v>
      </c>
      <c r="U99" s="60">
        <f t="shared" si="10"/>
        <v>99.904038095494514</v>
      </c>
      <c r="V99" s="60">
        <f t="shared" si="10"/>
        <v>99.965810413374214</v>
      </c>
    </row>
    <row r="100" spans="3:22" x14ac:dyDescent="0.2">
      <c r="C100" s="88" t="s">
        <v>132</v>
      </c>
      <c r="D100" s="62">
        <f t="shared" ref="D100:V100" si="11">+IFERROR(IF(D62&gt;0,+((D62/D23)*100)," "),"")</f>
        <v>88.588306797407085</v>
      </c>
      <c r="E100" s="62">
        <f t="shared" si="11"/>
        <v>80.78770792905469</v>
      </c>
      <c r="F100" s="62">
        <f t="shared" si="11"/>
        <v>81.253753411000389</v>
      </c>
      <c r="G100" s="62">
        <f t="shared" si="11"/>
        <v>88.951710415272032</v>
      </c>
      <c r="H100" s="62">
        <f t="shared" si="11"/>
        <v>85.391281696119691</v>
      </c>
      <c r="I100" s="62">
        <f t="shared" si="11"/>
        <v>94.016758357639802</v>
      </c>
      <c r="J100" s="62">
        <f t="shared" si="11"/>
        <v>82.167842981553292</v>
      </c>
      <c r="K100" s="62">
        <f t="shared" si="11"/>
        <v>52.295521123899569</v>
      </c>
      <c r="L100" s="62">
        <f t="shared" si="11"/>
        <v>62.488570416340615</v>
      </c>
      <c r="M100" s="62">
        <f t="shared" si="11"/>
        <v>62.717931359811097</v>
      </c>
      <c r="N100" s="62">
        <f t="shared" si="11"/>
        <v>72.529730483003448</v>
      </c>
      <c r="O100" s="62">
        <f t="shared" si="11"/>
        <v>70.722888924650761</v>
      </c>
      <c r="P100" s="62">
        <f t="shared" si="11"/>
        <v>73.836815380706582</v>
      </c>
      <c r="Q100" s="62">
        <f t="shared" si="11"/>
        <v>71.87887590437667</v>
      </c>
      <c r="R100" s="62">
        <f t="shared" si="11"/>
        <v>72.230772273390059</v>
      </c>
      <c r="S100" s="62">
        <f t="shared" si="11"/>
        <v>76.140191484417159</v>
      </c>
      <c r="T100" s="62">
        <f t="shared" si="11"/>
        <v>92.1638923203773</v>
      </c>
      <c r="U100" s="62">
        <f t="shared" si="11"/>
        <v>94.078887923989171</v>
      </c>
      <c r="V100" s="62">
        <f t="shared" si="11"/>
        <v>93.524989811259402</v>
      </c>
    </row>
    <row r="101" spans="3:22" x14ac:dyDescent="0.2">
      <c r="C101" s="87" t="s">
        <v>133</v>
      </c>
      <c r="D101" s="60">
        <f t="shared" ref="D101:V101" si="12">+IFERROR(IF(D63&gt;0,+((D63/D24)*100)," "),"")</f>
        <v>96.089546860348023</v>
      </c>
      <c r="E101" s="60">
        <f t="shared" si="12"/>
        <v>98.492586573110117</v>
      </c>
      <c r="F101" s="60">
        <f t="shared" si="12"/>
        <v>98.217468677960369</v>
      </c>
      <c r="G101" s="60">
        <f t="shared" si="12"/>
        <v>98.393091421264884</v>
      </c>
      <c r="H101" s="60">
        <f t="shared" si="12"/>
        <v>99.579997238224806</v>
      </c>
      <c r="I101" s="60">
        <f t="shared" si="12"/>
        <v>99.726157733341353</v>
      </c>
      <c r="J101" s="60">
        <f t="shared" si="12"/>
        <v>99.701991548818611</v>
      </c>
      <c r="K101" s="60">
        <f t="shared" si="12"/>
        <v>99.025606771984584</v>
      </c>
      <c r="L101" s="60">
        <f t="shared" si="12"/>
        <v>98.023718658284125</v>
      </c>
      <c r="M101" s="60">
        <f t="shared" si="12"/>
        <v>98.648349810633476</v>
      </c>
      <c r="N101" s="60">
        <f t="shared" si="12"/>
        <v>94.682906824287826</v>
      </c>
      <c r="O101" s="60">
        <f t="shared" si="12"/>
        <v>97.675792731847594</v>
      </c>
      <c r="P101" s="60">
        <f t="shared" si="12"/>
        <v>96.072227570243342</v>
      </c>
      <c r="Q101" s="60">
        <f t="shared" si="12"/>
        <v>98.34937830853282</v>
      </c>
      <c r="R101" s="60">
        <f t="shared" si="12"/>
        <v>93.646424086465913</v>
      </c>
      <c r="S101" s="60">
        <f t="shared" si="12"/>
        <v>92.001806997853038</v>
      </c>
      <c r="T101" s="60">
        <f t="shared" si="12"/>
        <v>97.141170768611332</v>
      </c>
      <c r="U101" s="60">
        <f t="shared" si="12"/>
        <v>99.384840618398314</v>
      </c>
      <c r="V101" s="60">
        <f t="shared" si="12"/>
        <v>96.904775043054542</v>
      </c>
    </row>
    <row r="102" spans="3:22" x14ac:dyDescent="0.2">
      <c r="C102" s="88" t="s">
        <v>134</v>
      </c>
      <c r="D102" s="62">
        <f t="shared" ref="D102:V102" si="13">+IFERROR(IF(D64&gt;0,+((D64/D25)*100)," "),"")</f>
        <v>93.690701149026182</v>
      </c>
      <c r="E102" s="62">
        <f t="shared" si="13"/>
        <v>94.271722742755699</v>
      </c>
      <c r="F102" s="62">
        <f t="shared" si="13"/>
        <v>95.579070341985243</v>
      </c>
      <c r="G102" s="62">
        <f t="shared" si="13"/>
        <v>98.34958737345832</v>
      </c>
      <c r="H102" s="62">
        <f t="shared" si="13"/>
        <v>96.234187316024546</v>
      </c>
      <c r="I102" s="62">
        <f t="shared" si="13"/>
        <v>91.668542579361812</v>
      </c>
      <c r="J102" s="62">
        <f t="shared" si="13"/>
        <v>95.930157378347829</v>
      </c>
      <c r="K102" s="62">
        <f t="shared" si="13"/>
        <v>83.662566305157299</v>
      </c>
      <c r="L102" s="62">
        <f t="shared" si="13"/>
        <v>88.233272876685163</v>
      </c>
      <c r="M102" s="62">
        <f t="shared" si="13"/>
        <v>76.396971253433705</v>
      </c>
      <c r="N102" s="62">
        <f t="shared" si="13"/>
        <v>78.768571038657356</v>
      </c>
      <c r="O102" s="62">
        <f t="shared" si="13"/>
        <v>97.332554755661548</v>
      </c>
      <c r="P102" s="62">
        <f t="shared" si="13"/>
        <v>92.620584491540569</v>
      </c>
      <c r="Q102" s="62">
        <f t="shared" si="13"/>
        <v>84.726740174021984</v>
      </c>
      <c r="R102" s="62">
        <f t="shared" si="13"/>
        <v>75.737743026951662</v>
      </c>
      <c r="S102" s="62">
        <f t="shared" si="13"/>
        <v>93.094491192960604</v>
      </c>
      <c r="T102" s="62">
        <f t="shared" si="13"/>
        <v>95.302802847859653</v>
      </c>
      <c r="U102" s="62">
        <f t="shared" si="13"/>
        <v>97.184256479454078</v>
      </c>
      <c r="V102" s="62">
        <f t="shared" si="13"/>
        <v>89.791564790504836</v>
      </c>
    </row>
    <row r="103" spans="3:22" x14ac:dyDescent="0.2">
      <c r="C103" s="87" t="s">
        <v>135</v>
      </c>
      <c r="D103" s="60" t="str">
        <f t="shared" ref="D103:V103" si="14">+IFERROR(IF(D65&gt;0,+((D65/D26)*100),"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+IFERROR(IF(D66&gt;0,+((D66/D27)*100)," "),"")</f>
        <v>79.556953545085747</v>
      </c>
      <c r="E104" s="62">
        <f t="shared" si="15"/>
        <v>82.666526760660091</v>
      </c>
      <c r="F104" s="62">
        <f t="shared" si="15"/>
        <v>91.07785075766391</v>
      </c>
      <c r="G104" s="62">
        <f t="shared" si="15"/>
        <v>96.66929631052102</v>
      </c>
      <c r="H104" s="62">
        <f t="shared" si="15"/>
        <v>98.988172620986447</v>
      </c>
      <c r="I104" s="62">
        <f t="shared" si="15"/>
        <v>98.430077468888356</v>
      </c>
      <c r="J104" s="62">
        <f t="shared" si="15"/>
        <v>97.639401873085845</v>
      </c>
      <c r="K104" s="62">
        <f t="shared" si="15"/>
        <v>94.707671219325889</v>
      </c>
      <c r="L104" s="62">
        <f t="shared" si="15"/>
        <v>97.482350535416089</v>
      </c>
      <c r="M104" s="62">
        <f t="shared" si="15"/>
        <v>97.799171537338353</v>
      </c>
      <c r="N104" s="62">
        <f t="shared" si="15"/>
        <v>96.867931701567628</v>
      </c>
      <c r="O104" s="62">
        <f t="shared" si="15"/>
        <v>93.259018368653443</v>
      </c>
      <c r="P104" s="62">
        <f t="shared" si="15"/>
        <v>95.653356688293272</v>
      </c>
      <c r="Q104" s="62">
        <f t="shared" si="15"/>
        <v>97.042860719819473</v>
      </c>
      <c r="R104" s="62">
        <f t="shared" si="15"/>
        <v>97.550372265236845</v>
      </c>
      <c r="S104" s="62">
        <f t="shared" si="15"/>
        <v>98.176155106680625</v>
      </c>
      <c r="T104" s="62">
        <f t="shared" si="15"/>
        <v>98.37263699569327</v>
      </c>
      <c r="U104" s="62">
        <f t="shared" si="15"/>
        <v>98.703191646283045</v>
      </c>
      <c r="V104" s="62">
        <f t="shared" si="15"/>
        <v>98.009596292170471</v>
      </c>
    </row>
    <row r="105" spans="3:22" x14ac:dyDescent="0.2">
      <c r="C105" s="87" t="s">
        <v>137</v>
      </c>
      <c r="D105" s="60">
        <f t="shared" ref="D105:V105" si="16">+IFERROR(IF(D67&gt;0,+((D67/D28)*100)," "),"")</f>
        <v>70.414445856517631</v>
      </c>
      <c r="E105" s="60">
        <f t="shared" si="16"/>
        <v>90.116924342405241</v>
      </c>
      <c r="F105" s="60">
        <f t="shared" si="16"/>
        <v>91.601745552353236</v>
      </c>
      <c r="G105" s="60">
        <f t="shared" si="16"/>
        <v>96.804280588011153</v>
      </c>
      <c r="H105" s="60">
        <f t="shared" si="16"/>
        <v>92.730649030976011</v>
      </c>
      <c r="I105" s="60">
        <f t="shared" si="16"/>
        <v>87.19635481349512</v>
      </c>
      <c r="J105" s="60">
        <f t="shared" si="16"/>
        <v>96.442600253405018</v>
      </c>
      <c r="K105" s="60">
        <f t="shared" si="16"/>
        <v>95.690646565597135</v>
      </c>
      <c r="L105" s="60">
        <f t="shared" si="16"/>
        <v>93.760355535384562</v>
      </c>
      <c r="M105" s="60">
        <f t="shared" si="16"/>
        <v>87.67590188034535</v>
      </c>
      <c r="N105" s="60">
        <f t="shared" si="16"/>
        <v>79.464481177235712</v>
      </c>
      <c r="O105" s="60">
        <f t="shared" si="16"/>
        <v>88.833025721808511</v>
      </c>
      <c r="P105" s="60">
        <f t="shared" si="16"/>
        <v>90.459247476203913</v>
      </c>
      <c r="Q105" s="60">
        <f t="shared" si="16"/>
        <v>84.495551619741988</v>
      </c>
      <c r="R105" s="60">
        <f t="shared" si="16"/>
        <v>96.706430179674697</v>
      </c>
      <c r="S105" s="60">
        <f t="shared" si="16"/>
        <v>96.69562616804761</v>
      </c>
      <c r="T105" s="60">
        <f t="shared" si="16"/>
        <v>97.727014680293763</v>
      </c>
      <c r="U105" s="60">
        <f t="shared" si="16"/>
        <v>97.484863623279807</v>
      </c>
      <c r="V105" s="60">
        <f t="shared" si="16"/>
        <v>96.193117123281496</v>
      </c>
    </row>
    <row r="106" spans="3:22" x14ac:dyDescent="0.2">
      <c r="C106" s="88" t="s">
        <v>138</v>
      </c>
      <c r="D106" s="62">
        <f t="shared" ref="D106:V106" si="17">+IFERROR(IF(D68&gt;0,+((D68/D29)*100)," "),"")</f>
        <v>96.069764270442732</v>
      </c>
      <c r="E106" s="62">
        <f t="shared" si="17"/>
        <v>96.386173302363886</v>
      </c>
      <c r="F106" s="62">
        <f t="shared" si="17"/>
        <v>94.477008385094024</v>
      </c>
      <c r="G106" s="62">
        <f t="shared" si="17"/>
        <v>98.133664526759063</v>
      </c>
      <c r="H106" s="62">
        <f t="shared" si="17"/>
        <v>98.152650142476134</v>
      </c>
      <c r="I106" s="62">
        <f t="shared" si="17"/>
        <v>94.51623786828533</v>
      </c>
      <c r="J106" s="62">
        <f t="shared" si="17"/>
        <v>94.610229499444671</v>
      </c>
      <c r="K106" s="62">
        <f t="shared" si="17"/>
        <v>92.260617070984978</v>
      </c>
      <c r="L106" s="62">
        <f t="shared" si="17"/>
        <v>92.631124578561639</v>
      </c>
      <c r="M106" s="62">
        <f t="shared" si="17"/>
        <v>79.189980203979218</v>
      </c>
      <c r="N106" s="62">
        <f t="shared" si="17"/>
        <v>79.928595567057499</v>
      </c>
      <c r="O106" s="62">
        <f t="shared" si="17"/>
        <v>83.631526556244197</v>
      </c>
      <c r="P106" s="62">
        <f t="shared" si="17"/>
        <v>83.440797026537666</v>
      </c>
      <c r="Q106" s="62">
        <f t="shared" si="17"/>
        <v>79.921373986484937</v>
      </c>
      <c r="R106" s="62">
        <f t="shared" si="17"/>
        <v>85.096859530386993</v>
      </c>
      <c r="S106" s="62">
        <f t="shared" si="17"/>
        <v>95.748235943248588</v>
      </c>
      <c r="T106" s="62">
        <f t="shared" si="17"/>
        <v>97.37091744884934</v>
      </c>
      <c r="U106" s="62">
        <f t="shared" si="17"/>
        <v>98.242303889304921</v>
      </c>
      <c r="V106" s="62">
        <f t="shared" si="17"/>
        <v>97.297851335725866</v>
      </c>
    </row>
    <row r="107" spans="3:22" x14ac:dyDescent="0.2">
      <c r="C107" s="87" t="s">
        <v>139</v>
      </c>
      <c r="D107" s="60">
        <f t="shared" ref="D107:V107" si="18">+IFERROR(IF(D69&gt;0,+((D69/D30)*100)," "),"")</f>
        <v>91.188739371916938</v>
      </c>
      <c r="E107" s="60">
        <f t="shared" si="18"/>
        <v>94.544040810620885</v>
      </c>
      <c r="F107" s="60">
        <f t="shared" si="18"/>
        <v>88.438536763894277</v>
      </c>
      <c r="G107" s="60">
        <f t="shared" si="18"/>
        <v>95.005709340806575</v>
      </c>
      <c r="H107" s="60">
        <f t="shared" si="18"/>
        <v>91.262805816187381</v>
      </c>
      <c r="I107" s="60">
        <f t="shared" si="18"/>
        <v>97.214528621608636</v>
      </c>
      <c r="J107" s="60">
        <f t="shared" si="18"/>
        <v>93.928114412919683</v>
      </c>
      <c r="K107" s="60">
        <f t="shared" si="18"/>
        <v>82.146821526493156</v>
      </c>
      <c r="L107" s="60">
        <f t="shared" si="18"/>
        <v>95.502060986715506</v>
      </c>
      <c r="M107" s="60">
        <f t="shared" si="18"/>
        <v>92.477558021479524</v>
      </c>
      <c r="N107" s="60">
        <f t="shared" si="18"/>
        <v>88.48898005546809</v>
      </c>
      <c r="O107" s="60">
        <f t="shared" si="18"/>
        <v>96.973669728867861</v>
      </c>
      <c r="P107" s="60">
        <f t="shared" si="18"/>
        <v>89.233838315199236</v>
      </c>
      <c r="Q107" s="60">
        <f t="shared" si="18"/>
        <v>90.966923529107177</v>
      </c>
      <c r="R107" s="60">
        <f t="shared" si="18"/>
        <v>92.227986425974422</v>
      </c>
      <c r="S107" s="60">
        <f t="shared" si="18"/>
        <v>94.659052128922852</v>
      </c>
      <c r="T107" s="60">
        <f t="shared" si="18"/>
        <v>97.336789226713918</v>
      </c>
      <c r="U107" s="60">
        <f t="shared" si="18"/>
        <v>94.236834879339881</v>
      </c>
      <c r="V107" s="60">
        <f t="shared" si="18"/>
        <v>91.605723310166425</v>
      </c>
    </row>
    <row r="108" spans="3:22" x14ac:dyDescent="0.2">
      <c r="C108" s="88" t="s">
        <v>140</v>
      </c>
      <c r="D108" s="62">
        <f t="shared" ref="D108:V108" si="19">+IFERROR(IF(D70&gt;0,+((D70/D31)*100)," "),"")</f>
        <v>85.50174134087014</v>
      </c>
      <c r="E108" s="62">
        <f t="shared" si="19"/>
        <v>75.348227230780878</v>
      </c>
      <c r="F108" s="62">
        <f t="shared" si="19"/>
        <v>81.101409708485903</v>
      </c>
      <c r="G108" s="62">
        <f t="shared" si="19"/>
        <v>97.702914333203609</v>
      </c>
      <c r="H108" s="62">
        <f t="shared" si="19"/>
        <v>98.933276055563766</v>
      </c>
      <c r="I108" s="62">
        <f t="shared" si="19"/>
        <v>97.035391739261797</v>
      </c>
      <c r="J108" s="62">
        <f t="shared" si="19"/>
        <v>83.470731238155466</v>
      </c>
      <c r="K108" s="62">
        <f t="shared" si="19"/>
        <v>62.214880155731109</v>
      </c>
      <c r="L108" s="62">
        <f t="shared" si="19"/>
        <v>97.55090497751911</v>
      </c>
      <c r="M108" s="62">
        <f t="shared" si="19"/>
        <v>88.333724166964004</v>
      </c>
      <c r="N108" s="62">
        <f t="shared" si="19"/>
        <v>96.110402497838521</v>
      </c>
      <c r="O108" s="62">
        <f t="shared" si="19"/>
        <v>96.314809697038925</v>
      </c>
      <c r="P108" s="62">
        <f t="shared" si="19"/>
        <v>95.029621023954547</v>
      </c>
      <c r="Q108" s="62">
        <f t="shared" si="19"/>
        <v>95.784756488616267</v>
      </c>
      <c r="R108" s="62">
        <f t="shared" si="19"/>
        <v>97.477512032408768</v>
      </c>
      <c r="S108" s="62">
        <f t="shared" si="19"/>
        <v>97.897463673980297</v>
      </c>
      <c r="T108" s="62">
        <f t="shared" si="19"/>
        <v>96.641508854406027</v>
      </c>
      <c r="U108" s="62">
        <f t="shared" si="19"/>
        <v>97.419373963363782</v>
      </c>
      <c r="V108" s="62">
        <f t="shared" si="19"/>
        <v>97.52623140921564</v>
      </c>
    </row>
    <row r="109" spans="3:22" x14ac:dyDescent="0.2">
      <c r="C109" s="87" t="s">
        <v>141</v>
      </c>
      <c r="D109" s="60">
        <f t="shared" ref="D109:V109" si="20">+IFERROR(IF(D71&gt;0,+((D71/D32)*100)," "),"")</f>
        <v>94.874582074823323</v>
      </c>
      <c r="E109" s="60">
        <f t="shared" si="20"/>
        <v>97.260096746069664</v>
      </c>
      <c r="F109" s="60">
        <f t="shared" si="20"/>
        <v>96.803765640582768</v>
      </c>
      <c r="G109" s="60">
        <f t="shared" si="20"/>
        <v>96.338106470131294</v>
      </c>
      <c r="H109" s="60">
        <f t="shared" si="20"/>
        <v>95.53129841485341</v>
      </c>
      <c r="I109" s="60">
        <f t="shared" si="20"/>
        <v>95.261505922563188</v>
      </c>
      <c r="J109" s="60">
        <f t="shared" si="20"/>
        <v>96.556944066890154</v>
      </c>
      <c r="K109" s="60">
        <f t="shared" si="20"/>
        <v>94.427462744944364</v>
      </c>
      <c r="L109" s="60">
        <f t="shared" si="20"/>
        <v>93.742874044329099</v>
      </c>
      <c r="M109" s="60">
        <f t="shared" si="20"/>
        <v>92.350900672553522</v>
      </c>
      <c r="N109" s="60">
        <f t="shared" si="20"/>
        <v>88.975093026571855</v>
      </c>
      <c r="O109" s="60">
        <f t="shared" si="20"/>
        <v>93.1185190462908</v>
      </c>
      <c r="P109" s="60">
        <f t="shared" si="20"/>
        <v>88.138777266400666</v>
      </c>
      <c r="Q109" s="60">
        <f t="shared" si="20"/>
        <v>89.461623824185622</v>
      </c>
      <c r="R109" s="60">
        <f t="shared" si="20"/>
        <v>94.338173218450677</v>
      </c>
      <c r="S109" s="60">
        <f t="shared" si="20"/>
        <v>95.553360735952879</v>
      </c>
      <c r="T109" s="60">
        <f t="shared" si="20"/>
        <v>96.024536000564908</v>
      </c>
      <c r="U109" s="60">
        <f t="shared" si="20"/>
        <v>96.38933067934326</v>
      </c>
      <c r="V109" s="60">
        <f t="shared" si="20"/>
        <v>96.550786189952035</v>
      </c>
    </row>
    <row r="110" spans="3:22" x14ac:dyDescent="0.2">
      <c r="C110" s="88" t="s">
        <v>142</v>
      </c>
      <c r="D110" s="62">
        <f t="shared" ref="D110:V110" si="21">+IFERROR(IF(D72&gt;0,+((D72/D33)*100)," "),"")</f>
        <v>69.875176345040188</v>
      </c>
      <c r="E110" s="62">
        <f t="shared" si="21"/>
        <v>97.042196908874374</v>
      </c>
      <c r="F110" s="62">
        <f t="shared" si="21"/>
        <v>95.432042125443459</v>
      </c>
      <c r="G110" s="62">
        <f t="shared" si="21"/>
        <v>94.022861303152197</v>
      </c>
      <c r="H110" s="62">
        <f t="shared" si="21"/>
        <v>83.438758626938366</v>
      </c>
      <c r="I110" s="62">
        <f t="shared" si="21"/>
        <v>57.754250976619062</v>
      </c>
      <c r="J110" s="62">
        <f t="shared" si="21"/>
        <v>69.292887646903324</v>
      </c>
      <c r="K110" s="62">
        <f t="shared" si="21"/>
        <v>91.356668034060306</v>
      </c>
      <c r="L110" s="62">
        <f t="shared" si="21"/>
        <v>93.692601218478032</v>
      </c>
      <c r="M110" s="62">
        <f t="shared" si="21"/>
        <v>91.964409938476379</v>
      </c>
      <c r="N110" s="62">
        <f t="shared" si="21"/>
        <v>93.223277647909853</v>
      </c>
      <c r="O110" s="62">
        <f t="shared" si="21"/>
        <v>91.840118943879332</v>
      </c>
      <c r="P110" s="62">
        <f t="shared" si="21"/>
        <v>91.809386773501615</v>
      </c>
      <c r="Q110" s="62">
        <f t="shared" si="21"/>
        <v>79.647603550624552</v>
      </c>
      <c r="R110" s="62">
        <f t="shared" si="21"/>
        <v>86.154135953595244</v>
      </c>
      <c r="S110" s="62">
        <f t="shared" si="21"/>
        <v>92.588880332345752</v>
      </c>
      <c r="T110" s="62">
        <f t="shared" si="21"/>
        <v>95.884334845508064</v>
      </c>
      <c r="U110" s="62">
        <f t="shared" si="21"/>
        <v>96.445660781909709</v>
      </c>
      <c r="V110" s="62">
        <f t="shared" si="21"/>
        <v>95.22255163139981</v>
      </c>
    </row>
    <row r="111" spans="3:22" x14ac:dyDescent="0.2">
      <c r="C111" s="87" t="s">
        <v>143</v>
      </c>
      <c r="D111" s="60">
        <f t="shared" ref="D111:V111" si="22">+IFERROR(IF(D73&gt;0,+((D73/D34)*100)," "),"")</f>
        <v>96.657378256361255</v>
      </c>
      <c r="E111" s="60">
        <f t="shared" si="22"/>
        <v>93.824841280438378</v>
      </c>
      <c r="F111" s="60">
        <f t="shared" si="22"/>
        <v>84.003640881616064</v>
      </c>
      <c r="G111" s="60">
        <f t="shared" si="22"/>
        <v>99.638469249423594</v>
      </c>
      <c r="H111" s="60">
        <f t="shared" si="22"/>
        <v>90.619809614806627</v>
      </c>
      <c r="I111" s="60">
        <f t="shared" si="22"/>
        <v>95.012314689762519</v>
      </c>
      <c r="J111" s="60">
        <f t="shared" si="22"/>
        <v>98.950151384103009</v>
      </c>
      <c r="K111" s="60">
        <f t="shared" si="22"/>
        <v>98.280332745671203</v>
      </c>
      <c r="L111" s="60">
        <f t="shared" si="22"/>
        <v>89.216811977010963</v>
      </c>
      <c r="M111" s="60">
        <f t="shared" si="22"/>
        <v>90.257300557818027</v>
      </c>
      <c r="N111" s="60">
        <f t="shared" si="22"/>
        <v>84.229050239005474</v>
      </c>
      <c r="O111" s="60">
        <f t="shared" si="22"/>
        <v>91.780826295724609</v>
      </c>
      <c r="P111" s="60">
        <f t="shared" si="22"/>
        <v>91.704479082795615</v>
      </c>
      <c r="Q111" s="60">
        <f t="shared" si="22"/>
        <v>92.662449534739338</v>
      </c>
      <c r="R111" s="60">
        <f t="shared" si="22"/>
        <v>93.981534901676</v>
      </c>
      <c r="S111" s="60">
        <f t="shared" si="22"/>
        <v>96.38827067991312</v>
      </c>
      <c r="T111" s="60">
        <f t="shared" si="22"/>
        <v>98.250768732138667</v>
      </c>
      <c r="U111" s="60">
        <f t="shared" si="22"/>
        <v>98.429726901058316</v>
      </c>
      <c r="V111" s="60">
        <f t="shared" si="22"/>
        <v>92.7075772517763</v>
      </c>
    </row>
    <row r="112" spans="3:22" x14ac:dyDescent="0.2">
      <c r="C112" s="88" t="s">
        <v>144</v>
      </c>
      <c r="D112" s="62">
        <f t="shared" ref="D112:V112" si="23">+IFERROR(IF(D74&gt;0,+((D74/D35)*100)," "),"")</f>
        <v>98.121278107808337</v>
      </c>
      <c r="E112" s="62">
        <f t="shared" si="23"/>
        <v>97.111721859196678</v>
      </c>
      <c r="F112" s="62">
        <f t="shared" si="23"/>
        <v>97.638447484734996</v>
      </c>
      <c r="G112" s="62">
        <f t="shared" si="23"/>
        <v>99.40499675246329</v>
      </c>
      <c r="H112" s="62">
        <f t="shared" si="23"/>
        <v>99.136729475697265</v>
      </c>
      <c r="I112" s="62">
        <f t="shared" si="23"/>
        <v>99.797038151368739</v>
      </c>
      <c r="J112" s="62">
        <f t="shared" si="23"/>
        <v>98.75936985812514</v>
      </c>
      <c r="K112" s="62">
        <f t="shared" si="23"/>
        <v>99.102981727313349</v>
      </c>
      <c r="L112" s="62">
        <f t="shared" si="23"/>
        <v>98.723021636276499</v>
      </c>
      <c r="M112" s="62">
        <f t="shared" si="23"/>
        <v>99.121885520097081</v>
      </c>
      <c r="N112" s="62">
        <f t="shared" si="23"/>
        <v>97.840476790662578</v>
      </c>
      <c r="O112" s="62">
        <f t="shared" si="23"/>
        <v>95.411869613271946</v>
      </c>
      <c r="P112" s="62">
        <f t="shared" si="23"/>
        <v>95.077281970420842</v>
      </c>
      <c r="Q112" s="62">
        <f t="shared" si="23"/>
        <v>97.90816767815808</v>
      </c>
      <c r="R112" s="62">
        <f t="shared" si="23"/>
        <v>99.23992166952246</v>
      </c>
      <c r="S112" s="62">
        <f t="shared" si="23"/>
        <v>98.225941012057874</v>
      </c>
      <c r="T112" s="62">
        <f t="shared" si="23"/>
        <v>99.015378878067324</v>
      </c>
      <c r="U112" s="62">
        <f t="shared" si="23"/>
        <v>98.458764750132502</v>
      </c>
      <c r="V112" s="62">
        <f t="shared" si="23"/>
        <v>99.276332714781006</v>
      </c>
    </row>
    <row r="113" spans="3:22" x14ac:dyDescent="0.2">
      <c r="C113" s="87" t="s">
        <v>145</v>
      </c>
      <c r="D113" s="60">
        <f t="shared" ref="D113:V113" si="24">+IFERROR(IF(D75&gt;0,+((D75/D36)*100)," "),"")</f>
        <v>94.340267430838026</v>
      </c>
      <c r="E113" s="60">
        <f t="shared" si="24"/>
        <v>94.623108407648019</v>
      </c>
      <c r="F113" s="60">
        <f t="shared" si="24"/>
        <v>83.28265519042462</v>
      </c>
      <c r="G113" s="60">
        <f t="shared" si="24"/>
        <v>91.661294902748452</v>
      </c>
      <c r="H113" s="60">
        <f t="shared" si="24"/>
        <v>97.680224140661437</v>
      </c>
      <c r="I113" s="60">
        <f t="shared" si="24"/>
        <v>96.91205021238865</v>
      </c>
      <c r="J113" s="60">
        <f t="shared" si="24"/>
        <v>87.930785984318817</v>
      </c>
      <c r="K113" s="60">
        <f t="shared" si="24"/>
        <v>94.630315968398932</v>
      </c>
      <c r="L113" s="60">
        <f t="shared" si="24"/>
        <v>95.521067448664184</v>
      </c>
      <c r="M113" s="60">
        <f t="shared" si="24"/>
        <v>97.818149487694086</v>
      </c>
      <c r="N113" s="60">
        <f t="shared" si="24"/>
        <v>96.69013763733129</v>
      </c>
      <c r="O113" s="60">
        <f t="shared" si="24"/>
        <v>91.861582556779879</v>
      </c>
      <c r="P113" s="60">
        <f t="shared" si="24"/>
        <v>90.564870720656927</v>
      </c>
      <c r="Q113" s="60">
        <f t="shared" si="24"/>
        <v>87.854913566914917</v>
      </c>
      <c r="R113" s="60">
        <f t="shared" si="24"/>
        <v>94.175634888907112</v>
      </c>
      <c r="S113" s="60">
        <f t="shared" si="24"/>
        <v>92.080971345212802</v>
      </c>
      <c r="T113" s="60">
        <f t="shared" si="24"/>
        <v>94.994328527783949</v>
      </c>
      <c r="U113" s="60">
        <f t="shared" si="24"/>
        <v>96.253182148007525</v>
      </c>
      <c r="V113" s="60">
        <f t="shared" si="24"/>
        <v>97.620182849616469</v>
      </c>
    </row>
    <row r="114" spans="3:22" x14ac:dyDescent="0.2">
      <c r="C114" s="88" t="s">
        <v>146</v>
      </c>
      <c r="D114" s="62">
        <f t="shared" ref="D114:V114" si="25">+IFERROR(IF(D76&gt;0,+((D76/D37)*100)," "),"")</f>
        <v>93.089584025498468</v>
      </c>
      <c r="E114" s="62">
        <f t="shared" si="25"/>
        <v>93.701138890090306</v>
      </c>
      <c r="F114" s="62">
        <f t="shared" si="25"/>
        <v>92.976580430629298</v>
      </c>
      <c r="G114" s="62">
        <f t="shared" si="25"/>
        <v>98.763732984663591</v>
      </c>
      <c r="H114" s="62">
        <f t="shared" si="25"/>
        <v>90.363882117975109</v>
      </c>
      <c r="I114" s="62">
        <f t="shared" si="25"/>
        <v>90.080399123359228</v>
      </c>
      <c r="J114" s="62">
        <f t="shared" si="25"/>
        <v>94.856466803131468</v>
      </c>
      <c r="K114" s="62">
        <f t="shared" si="25"/>
        <v>87.120143260829437</v>
      </c>
      <c r="L114" s="62">
        <f t="shared" si="25"/>
        <v>90.323220770893258</v>
      </c>
      <c r="M114" s="62">
        <f t="shared" si="25"/>
        <v>94.444646766159678</v>
      </c>
      <c r="N114" s="62">
        <f t="shared" si="25"/>
        <v>89.295812879068549</v>
      </c>
      <c r="O114" s="62">
        <f t="shared" si="25"/>
        <v>97.052132975386968</v>
      </c>
      <c r="P114" s="62">
        <f t="shared" si="25"/>
        <v>96.726377982770799</v>
      </c>
      <c r="Q114" s="62">
        <f t="shared" si="25"/>
        <v>98.738463619835727</v>
      </c>
      <c r="R114" s="62">
        <f t="shared" si="25"/>
        <v>98.107165584939565</v>
      </c>
      <c r="S114" s="62">
        <f t="shared" si="25"/>
        <v>98.664110010361455</v>
      </c>
      <c r="T114" s="62">
        <f t="shared" si="25"/>
        <v>98.074174353056293</v>
      </c>
      <c r="U114" s="62">
        <f t="shared" si="25"/>
        <v>97.233402732494667</v>
      </c>
      <c r="V114" s="62">
        <f t="shared" si="25"/>
        <v>91.438403767003535</v>
      </c>
    </row>
    <row r="115" spans="3:22" x14ac:dyDescent="0.2">
      <c r="C115" s="90" t="s">
        <v>147</v>
      </c>
      <c r="D115" s="61">
        <f t="shared" ref="D115:V115" si="26">+IFERROR(IF(D77&gt;0,+((D77/D38)*100)," "),"")</f>
        <v>89.431923275116475</v>
      </c>
      <c r="E115" s="61">
        <f t="shared" si="26"/>
        <v>97.456143954367064</v>
      </c>
      <c r="F115" s="61">
        <f t="shared" si="26"/>
        <v>96.190589653608683</v>
      </c>
      <c r="G115" s="61">
        <f t="shared" si="26"/>
        <v>98.881002999456385</v>
      </c>
      <c r="H115" s="61">
        <f t="shared" si="26"/>
        <v>98.830412700385523</v>
      </c>
      <c r="I115" s="61">
        <f t="shared" si="26"/>
        <v>98.649748952638276</v>
      </c>
      <c r="J115" s="61">
        <f t="shared" si="26"/>
        <v>98.281565578049722</v>
      </c>
      <c r="K115" s="61">
        <f t="shared" si="26"/>
        <v>96.627344255515538</v>
      </c>
      <c r="L115" s="61">
        <f t="shared" si="26"/>
        <v>99.436371050209985</v>
      </c>
      <c r="M115" s="61">
        <f t="shared" si="26"/>
        <v>95.858362859204576</v>
      </c>
      <c r="N115" s="61">
        <f t="shared" si="26"/>
        <v>88.316570237271222</v>
      </c>
      <c r="O115" s="61">
        <f t="shared" si="26"/>
        <v>97.855076632520621</v>
      </c>
      <c r="P115" s="61">
        <f t="shared" si="26"/>
        <v>97.928542692916722</v>
      </c>
      <c r="Q115" s="61">
        <f t="shared" si="26"/>
        <v>98.199242127830388</v>
      </c>
      <c r="R115" s="61">
        <f t="shared" si="26"/>
        <v>97.654338702859221</v>
      </c>
      <c r="S115" s="61">
        <f t="shared" si="26"/>
        <v>98.684346159802288</v>
      </c>
      <c r="T115" s="61">
        <f t="shared" si="26"/>
        <v>99.573962420736095</v>
      </c>
      <c r="U115" s="61">
        <f t="shared" si="26"/>
        <v>99.587317658796451</v>
      </c>
      <c r="V115" s="61">
        <f t="shared" si="26"/>
        <v>95.736298892982958</v>
      </c>
    </row>
    <row r="116" spans="3:22" ht="22.5" customHeight="1" x14ac:dyDescent="0.2">
      <c r="C116" s="89" t="s">
        <v>148</v>
      </c>
      <c r="D116" s="63" t="str">
        <f t="shared" ref="D116:V116" si="27">+IFERROR(IF(D78&gt;0,+((D78/D39)*100),"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83.48917069250092</v>
      </c>
    </row>
    <row r="117" spans="3:22" x14ac:dyDescent="0.2">
      <c r="C117" s="87" t="s">
        <v>149</v>
      </c>
      <c r="D117" s="60">
        <f t="shared" ref="D117:V117" si="28">+IFERROR(IF(D79&gt;0,+((D79/D40)*100)," "),"")</f>
        <v>58.401538024891984</v>
      </c>
      <c r="E117" s="60">
        <f t="shared" si="28"/>
        <v>64.134091626812918</v>
      </c>
      <c r="F117" s="60">
        <f t="shared" si="28"/>
        <v>67.529597193351449</v>
      </c>
      <c r="G117" s="60">
        <f t="shared" si="28"/>
        <v>68.235321914232856</v>
      </c>
      <c r="H117" s="60">
        <f t="shared" si="28"/>
        <v>71.078580767856877</v>
      </c>
      <c r="I117" s="60">
        <f t="shared" si="28"/>
        <v>62.180141901666232</v>
      </c>
      <c r="J117" s="60">
        <f t="shared" si="28"/>
        <v>68.498914587681909</v>
      </c>
      <c r="K117" s="60">
        <f t="shared" si="28"/>
        <v>78.990283310717729</v>
      </c>
      <c r="L117" s="60">
        <f t="shared" si="28"/>
        <v>81.105059028430901</v>
      </c>
      <c r="M117" s="60">
        <f t="shared" si="28"/>
        <v>71.321977237948559</v>
      </c>
      <c r="N117" s="60">
        <f t="shared" si="28"/>
        <v>83.000531007486629</v>
      </c>
      <c r="O117" s="60">
        <f t="shared" si="28"/>
        <v>85.964048403567432</v>
      </c>
      <c r="P117" s="60">
        <f t="shared" si="28"/>
        <v>95.378043658713381</v>
      </c>
      <c r="Q117" s="60">
        <f t="shared" si="28"/>
        <v>87.919041228618838</v>
      </c>
      <c r="R117" s="60">
        <f t="shared" si="28"/>
        <v>91.07336812816348</v>
      </c>
      <c r="S117" s="60">
        <f t="shared" si="28"/>
        <v>92.727907013750865</v>
      </c>
      <c r="T117" s="60">
        <f t="shared" si="28"/>
        <v>97.422418342120835</v>
      </c>
      <c r="U117" s="60">
        <f t="shared" si="28"/>
        <v>98.146802275787223</v>
      </c>
      <c r="V117" s="60">
        <f t="shared" si="28"/>
        <v>90.434042760910685</v>
      </c>
    </row>
    <row r="118" spans="3:22" x14ac:dyDescent="0.2">
      <c r="C118" s="88" t="s">
        <v>150</v>
      </c>
      <c r="D118" s="62">
        <f t="shared" ref="D118:V118" si="29">+IFERROR(IF(D80&gt;0,+((D80/D41)*100)," "),"")</f>
        <v>76.924401414540029</v>
      </c>
      <c r="E118" s="62">
        <f t="shared" si="29"/>
        <v>89.139722291474769</v>
      </c>
      <c r="F118" s="62">
        <f t="shared" si="29"/>
        <v>84.800077572056665</v>
      </c>
      <c r="G118" s="62">
        <f t="shared" si="29"/>
        <v>97.396832228886268</v>
      </c>
      <c r="H118" s="62">
        <f t="shared" si="29"/>
        <v>96.257013793920805</v>
      </c>
      <c r="I118" s="62">
        <f t="shared" si="29"/>
        <v>97.336688202530468</v>
      </c>
      <c r="J118" s="62">
        <f t="shared" si="29"/>
        <v>84.836704877252089</v>
      </c>
      <c r="K118" s="62">
        <f t="shared" si="29"/>
        <v>95.772892035696998</v>
      </c>
      <c r="L118" s="62">
        <f t="shared" si="29"/>
        <v>96.633532432214153</v>
      </c>
      <c r="M118" s="62">
        <f t="shared" si="29"/>
        <v>94.435313604987769</v>
      </c>
      <c r="N118" s="62">
        <f t="shared" si="29"/>
        <v>90.970386381042871</v>
      </c>
      <c r="O118" s="62">
        <f t="shared" si="29"/>
        <v>94.14586048017425</v>
      </c>
      <c r="P118" s="62">
        <f t="shared" si="29"/>
        <v>94.758275218798033</v>
      </c>
      <c r="Q118" s="62">
        <f t="shared" si="29"/>
        <v>98.336045111173931</v>
      </c>
      <c r="R118" s="62">
        <f t="shared" si="29"/>
        <v>97.841863847117835</v>
      </c>
      <c r="S118" s="62">
        <f t="shared" si="29"/>
        <v>97.30586267127731</v>
      </c>
      <c r="T118" s="62">
        <f t="shared" si="29"/>
        <v>99.203259339932458</v>
      </c>
      <c r="U118" s="62">
        <f t="shared" si="29"/>
        <v>97.621385982180882</v>
      </c>
      <c r="V118" s="62">
        <f t="shared" si="29"/>
        <v>98.577790479177324</v>
      </c>
    </row>
    <row r="119" spans="3:22" x14ac:dyDescent="0.2">
      <c r="C119" s="88" t="s">
        <v>151</v>
      </c>
      <c r="D119" s="60">
        <f t="shared" ref="D119:V119" si="30">+IFERROR(IF(D81&gt;0,+((D81/D42)*100)," "),"")</f>
        <v>92.531256908155726</v>
      </c>
      <c r="E119" s="60">
        <f t="shared" si="30"/>
        <v>87.423830295900899</v>
      </c>
      <c r="F119" s="60">
        <f t="shared" si="30"/>
        <v>84.27709144316043</v>
      </c>
      <c r="G119" s="60">
        <f t="shared" si="30"/>
        <v>91.649118787982289</v>
      </c>
      <c r="H119" s="60">
        <f t="shared" si="30"/>
        <v>94.529850469230183</v>
      </c>
      <c r="I119" s="60">
        <f t="shared" si="30"/>
        <v>98.318719166304362</v>
      </c>
      <c r="J119" s="60">
        <f t="shared" si="30"/>
        <v>90.773636496085288</v>
      </c>
      <c r="K119" s="60">
        <f t="shared" si="30"/>
        <v>96.270718955677282</v>
      </c>
      <c r="L119" s="60">
        <f t="shared" si="30"/>
        <v>98.715421457354267</v>
      </c>
      <c r="M119" s="60">
        <f t="shared" si="30"/>
        <v>96.968902869468181</v>
      </c>
      <c r="N119" s="60">
        <f t="shared" si="30"/>
        <v>99.363077617936952</v>
      </c>
      <c r="O119" s="60">
        <f t="shared" si="30"/>
        <v>98.598664817522305</v>
      </c>
      <c r="P119" s="60">
        <f t="shared" si="30"/>
        <v>99.63208129777459</v>
      </c>
      <c r="Q119" s="60">
        <f t="shared" si="30"/>
        <v>98.815538735823822</v>
      </c>
      <c r="R119" s="60">
        <f t="shared" si="30"/>
        <v>99.581830615260955</v>
      </c>
      <c r="S119" s="60">
        <f t="shared" si="30"/>
        <v>99.576664667962959</v>
      </c>
      <c r="T119" s="60">
        <f t="shared" si="30"/>
        <v>99.718791329841565</v>
      </c>
      <c r="U119" s="60">
        <f t="shared" si="30"/>
        <v>99.934022095052129</v>
      </c>
      <c r="V119" s="60">
        <f t="shared" si="30"/>
        <v>99.63574858468904</v>
      </c>
    </row>
    <row r="120" spans="3:22" x14ac:dyDescent="0.2">
      <c r="C120" s="91" t="s">
        <v>154</v>
      </c>
      <c r="D120" s="74">
        <f t="shared" ref="D120:V120" si="31">+IFERROR(IF(D82&gt;0,+((D82/D43)*100)," "),"")</f>
        <v>91.663497333888245</v>
      </c>
      <c r="E120" s="74">
        <f t="shared" si="31"/>
        <v>94.925629201240142</v>
      </c>
      <c r="F120" s="74">
        <f t="shared" si="31"/>
        <v>94.910793809708309</v>
      </c>
      <c r="G120" s="74">
        <f t="shared" si="31"/>
        <v>98.105090287411528</v>
      </c>
      <c r="H120" s="74">
        <f t="shared" si="31"/>
        <v>97.929025518567187</v>
      </c>
      <c r="I120" s="74">
        <f t="shared" si="31"/>
        <v>97.309823146410253</v>
      </c>
      <c r="J120" s="74">
        <f t="shared" si="31"/>
        <v>96.720117087104285</v>
      </c>
      <c r="K120" s="74">
        <f t="shared" si="31"/>
        <v>93.684843028427863</v>
      </c>
      <c r="L120" s="74">
        <f t="shared" si="31"/>
        <v>97.498605643169611</v>
      </c>
      <c r="M120" s="74">
        <f t="shared" si="31"/>
        <v>94.174685424177142</v>
      </c>
      <c r="N120" s="74">
        <f t="shared" si="31"/>
        <v>92.353522252724474</v>
      </c>
      <c r="O120" s="74">
        <f t="shared" si="31"/>
        <v>97.106865404534304</v>
      </c>
      <c r="P120" s="74">
        <f t="shared" si="31"/>
        <v>96.739979341122933</v>
      </c>
      <c r="Q120" s="74">
        <f t="shared" si="31"/>
        <v>96.2300295569583</v>
      </c>
      <c r="R120" s="74">
        <f t="shared" si="31"/>
        <v>95.342482730944425</v>
      </c>
      <c r="S120" s="74">
        <f t="shared" si="31"/>
        <v>97.525157681329006</v>
      </c>
      <c r="T120" s="74">
        <f t="shared" si="31"/>
        <v>98.477903301604044</v>
      </c>
      <c r="U120" s="74">
        <f t="shared" si="31"/>
        <v>98.895210878411874</v>
      </c>
      <c r="V120" s="74">
        <f t="shared" si="31"/>
        <v>97.137285689848142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D126" s="164" t="s">
        <v>156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81" t="s">
        <v>120</v>
      </c>
      <c r="D128" s="155">
        <v>2000</v>
      </c>
      <c r="E128" s="155">
        <v>2001</v>
      </c>
      <c r="F128" s="155">
        <v>2002</v>
      </c>
      <c r="G128" s="155">
        <v>2003</v>
      </c>
      <c r="H128" s="155">
        <v>2004</v>
      </c>
      <c r="I128" s="155">
        <v>2005</v>
      </c>
      <c r="J128" s="155">
        <v>2006</v>
      </c>
      <c r="K128" s="155">
        <v>2007</v>
      </c>
      <c r="L128" s="155">
        <v>2008</v>
      </c>
      <c r="M128" s="155">
        <v>2009</v>
      </c>
      <c r="N128" s="155">
        <v>2010</v>
      </c>
      <c r="O128" s="155">
        <v>2011</v>
      </c>
      <c r="P128" s="155">
        <v>2012</v>
      </c>
      <c r="Q128" s="155">
        <v>2013</v>
      </c>
      <c r="R128" s="155">
        <v>2014</v>
      </c>
      <c r="S128" s="155">
        <v>2015</v>
      </c>
      <c r="T128" s="155">
        <v>2016</v>
      </c>
      <c r="U128" s="155">
        <v>2017</v>
      </c>
      <c r="V128" s="155">
        <v>2018</v>
      </c>
    </row>
    <row r="129" spans="3:22" ht="12" customHeight="1" thickBot="1" x14ac:dyDescent="0.25">
      <c r="C129" s="162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</row>
    <row r="130" spans="3:22" x14ac:dyDescent="0.2">
      <c r="C130" s="87" t="s">
        <v>123</v>
      </c>
      <c r="D130" s="56">
        <f>429.881704723679*Deflactores!$A$5</f>
        <v>1604.2822283364546</v>
      </c>
      <c r="E130" s="56">
        <f>490.80325449054*Deflactores!$B$5</f>
        <v>1701.5003863570041</v>
      </c>
      <c r="F130" s="56">
        <f>486.59422009792*Deflactores!$C$5</f>
        <v>1576.6703700107962</v>
      </c>
      <c r="G130" s="56">
        <f>402.82249828343*Deflactores!$D$5</f>
        <v>1225.6692711210587</v>
      </c>
      <c r="H130" s="56">
        <f>473.503070259239*Deflactores!$E$5</f>
        <v>1365.659215260803</v>
      </c>
      <c r="I130" s="56">
        <f>562.83443013007*Deflactores!$F$5</f>
        <v>1548.1404820824494</v>
      </c>
      <c r="J130" s="56">
        <f>828.504154808289*Deflactores!$G$5</f>
        <v>2181.2214781683638</v>
      </c>
      <c r="K130" s="56">
        <f>1323.37715782867*Deflactores!$H$5</f>
        <v>3296.3739978740932</v>
      </c>
      <c r="L130" s="56">
        <f>1836.26537377456*Deflactores!$I$5</f>
        <v>4247.9162459508889</v>
      </c>
      <c r="M130" s="56">
        <f>1426.92444237967*Deflactores!$J$5</f>
        <v>3236.1869927284665</v>
      </c>
      <c r="N130" s="56">
        <f>1381.20745628346*Deflactores!$K$5</f>
        <v>3036.2181317993859</v>
      </c>
      <c r="O130" s="56">
        <f>1358.40526373977*Deflactores!$L$5</f>
        <v>2878.8093980782801</v>
      </c>
      <c r="P130" s="56">
        <f>1924.61744224519*Deflactores!$M$5</f>
        <v>3981.6071130884775</v>
      </c>
      <c r="Q130" s="56">
        <f>3292.56244609767*Deflactores!$N$5</f>
        <v>6681.9523984275374</v>
      </c>
      <c r="R130" s="56">
        <f>3160.98107844414*Deflactores!$O$5</f>
        <v>6188.4238134879088</v>
      </c>
      <c r="S130" s="56">
        <f>3357.48107761483*Deflactores!$P$5</f>
        <v>6156.3383924897089</v>
      </c>
      <c r="T130" s="56">
        <f>2091.66450243384*Deflactores!$Q$5</f>
        <v>3626.7745522498822</v>
      </c>
      <c r="U130" s="56">
        <f>2609.70055863176*Deflactores!$R$5</f>
        <v>4347.2058320074784</v>
      </c>
      <c r="V130" s="56">
        <f>1469.3802570929*Deflactores!$S$5</f>
        <v>2372.2376912931077</v>
      </c>
    </row>
    <row r="131" spans="3:22" x14ac:dyDescent="0.2">
      <c r="C131" s="88" t="s">
        <v>124</v>
      </c>
      <c r="D131" s="57">
        <f>108.37842327659*Deflactores!$A$5</f>
        <v>404.45912558553721</v>
      </c>
      <c r="E131" s="57">
        <f>121.97266224643*Deflactores!$B$5</f>
        <v>422.85076563463008</v>
      </c>
      <c r="F131" s="57">
        <f>129.36534431462*Deflactores!$C$5</f>
        <v>419.1716565109644</v>
      </c>
      <c r="G131" s="57">
        <f>152.52945664975*Deflactores!$D$5</f>
        <v>464.10185318112445</v>
      </c>
      <c r="H131" s="57">
        <f>153.7958462645*Deflactores!$E$5</f>
        <v>443.5720228909118</v>
      </c>
      <c r="I131" s="57">
        <f>183.14174807302*Deflactores!$F$5</f>
        <v>503.75232745740982</v>
      </c>
      <c r="J131" s="57">
        <f>241.0765222609*Deflactores!$G$5</f>
        <v>634.68756938133322</v>
      </c>
      <c r="K131" s="57">
        <f>496.49128983745*Deflactores!$H$5</f>
        <v>1236.700337699968</v>
      </c>
      <c r="L131" s="57">
        <f>1434.89655056236*Deflactores!$I$5</f>
        <v>3319.4114834629936</v>
      </c>
      <c r="M131" s="57">
        <f>1615.10080195945*Deflactores!$J$5</f>
        <v>3662.9607371010129</v>
      </c>
      <c r="N131" s="57">
        <f>1784.03180220426*Deflactores!$K$5</f>
        <v>3921.7205792781783</v>
      </c>
      <c r="O131" s="57">
        <f>1344.48848260917*Deflactores!$L$5</f>
        <v>2849.3161670233067</v>
      </c>
      <c r="P131" s="57">
        <f>338.710342855281*Deflactores!$M$5</f>
        <v>700.71666232847906</v>
      </c>
      <c r="Q131" s="57">
        <f>406.014628324149*Deflactores!$N$5</f>
        <v>823.96931385238042</v>
      </c>
      <c r="R131" s="57">
        <f>445.359830315291*Deflactores!$O$5</f>
        <v>871.90505450625574</v>
      </c>
      <c r="S131" s="57">
        <f>491.209815553426*Deflactores!$P$5</f>
        <v>900.69125524533013</v>
      </c>
      <c r="T131" s="57">
        <f>511.605439730416*Deflactores!$Q$5</f>
        <v>887.08183719132217</v>
      </c>
      <c r="U131" s="57">
        <f>560.88394327959*Deflactores!$R$5</f>
        <v>934.31330320239886</v>
      </c>
      <c r="V131" s="57">
        <f>548.4591096321*Deflactores!$S$5</f>
        <v>885.45859094121965</v>
      </c>
    </row>
    <row r="132" spans="3:22" x14ac:dyDescent="0.2">
      <c r="C132" s="87" t="s">
        <v>125</v>
      </c>
      <c r="D132" s="56">
        <f>29.856069884*Deflactores!$A$5</f>
        <v>111.42033214383994</v>
      </c>
      <c r="E132" s="56">
        <f>39.45256639898*Deflactores!$B$5</f>
        <v>136.77284401938232</v>
      </c>
      <c r="F132" s="56">
        <f>30.27030615067*Deflactores!$C$5</f>
        <v>98.082329850347847</v>
      </c>
      <c r="G132" s="56">
        <f>18.0033934463*Deflactores!$D$5</f>
        <v>54.778981355470762</v>
      </c>
      <c r="H132" s="56">
        <f>41.9360459324899*Deflactores!$E$5</f>
        <v>120.95031938853131</v>
      </c>
      <c r="I132" s="56">
        <f>43.43608343066*Deflactores!$F$5</f>
        <v>119.4759160817067</v>
      </c>
      <c r="J132" s="56">
        <f>44.5943188486*Deflactores!$G$5</f>
        <v>117.40446383079676</v>
      </c>
      <c r="K132" s="56">
        <f>113.75462952097*Deflactores!$H$5</f>
        <v>283.34915762485332</v>
      </c>
      <c r="L132" s="56">
        <f>179.610452191649*Deflactores!$I$5</f>
        <v>415.50103198818027</v>
      </c>
      <c r="M132" s="56">
        <f>183.27324508815*Deflactores!$J$5</f>
        <v>415.65374749646071</v>
      </c>
      <c r="N132" s="56">
        <f>334.97356513327*Deflactores!$K$5</f>
        <v>736.35050803142417</v>
      </c>
      <c r="O132" s="56">
        <f>360.75645416604*Deflactores!$L$5</f>
        <v>764.5355170454842</v>
      </c>
      <c r="P132" s="56">
        <f>386.60125251066*Deflactores!$M$5</f>
        <v>799.79234477355283</v>
      </c>
      <c r="Q132" s="56">
        <f>414.577178760319*Deflactores!$N$5</f>
        <v>841.34622176537493</v>
      </c>
      <c r="R132" s="56">
        <f>357.03357931108*Deflactores!$O$5</f>
        <v>698.98397035360699</v>
      </c>
      <c r="S132" s="56">
        <f>348.128329310249*Deflactores!$P$5</f>
        <v>638.33443873599504</v>
      </c>
      <c r="T132" s="56">
        <f>301.586931166029*Deflactores!$Q$5</f>
        <v>522.92698277920294</v>
      </c>
      <c r="U132" s="56">
        <f>378.871483558729*Deflactores!$R$5</f>
        <v>631.11927437811278</v>
      </c>
      <c r="V132" s="56">
        <f>269.02530627727*Deflactores!$S$5</f>
        <v>434.32730798033526</v>
      </c>
    </row>
    <row r="133" spans="3:22" x14ac:dyDescent="0.2">
      <c r="C133" s="88" t="s">
        <v>126</v>
      </c>
      <c r="D133" s="57">
        <f>197.4805388739*Deflactores!$A$5</f>
        <v>736.9806983559522</v>
      </c>
      <c r="E133" s="57">
        <f>210.607853772159*Deflactores!$B$5</f>
        <v>730.12829740731672</v>
      </c>
      <c r="F133" s="57">
        <f>190.406928950409*Deflactores!$C$5</f>
        <v>616.95957477762079</v>
      </c>
      <c r="G133" s="57">
        <f>168.730541410209*Deflactores!$D$5</f>
        <v>513.39694428040707</v>
      </c>
      <c r="H133" s="57">
        <f>161.999898405629*Deflactores!$E$5</f>
        <v>467.23383231250409</v>
      </c>
      <c r="I133" s="57">
        <f>182.33857839198*Deflactores!$F$5</f>
        <v>501.54311737601535</v>
      </c>
      <c r="J133" s="57">
        <f>274.4297574834*Deflactores!$G$5</f>
        <v>722.49738012459102</v>
      </c>
      <c r="K133" s="57">
        <f>304.933874659329*Deflactores!$H$5</f>
        <v>759.55375952479915</v>
      </c>
      <c r="L133" s="57">
        <f>299.23417933084*Deflactores!$I$5</f>
        <v>692.23204329687144</v>
      </c>
      <c r="M133" s="57">
        <f>440.683008706649*Deflactores!$J$5</f>
        <v>999.44508506319619</v>
      </c>
      <c r="N133" s="57">
        <f>423.42762165388*Deflactores!$K$5</f>
        <v>930.79328273359545</v>
      </c>
      <c r="O133" s="57">
        <f>528.40262953367*Deflactores!$L$5</f>
        <v>1119.8207902131749</v>
      </c>
      <c r="P133" s="57">
        <f>744.315371807979*Deflactores!$M$5</f>
        <v>1539.8236105116803</v>
      </c>
      <c r="Q133" s="57">
        <f>1015.651671189*Deflactores!$N$5</f>
        <v>2061.1715742283482</v>
      </c>
      <c r="R133" s="57">
        <f>832.583352899177*Deflactores!$O$5</f>
        <v>1629.9935114862872</v>
      </c>
      <c r="S133" s="57">
        <f>851.642502789559*Deflactores!$P$5</f>
        <v>1561.5871885491122</v>
      </c>
      <c r="T133" s="57">
        <f>826.15753980406*Deflactores!$Q$5</f>
        <v>1432.4893586061646</v>
      </c>
      <c r="U133" s="57">
        <f>964.82128030176*Deflactores!$R$5</f>
        <v>1607.1869558750259</v>
      </c>
      <c r="V133" s="57">
        <f>741.60920996869*Deflactores!$S$5</f>
        <v>1197.2893412753965</v>
      </c>
    </row>
    <row r="134" spans="3:22" x14ac:dyDescent="0.2">
      <c r="C134" s="87" t="s">
        <v>127</v>
      </c>
      <c r="D134" s="56">
        <f>168.145621939619*Deflactores!$A$5</f>
        <v>627.50526502099899</v>
      </c>
      <c r="E134" s="56">
        <f>180.690713609919*Deflactores!$B$5</f>
        <v>626.41255168026976</v>
      </c>
      <c r="F134" s="56">
        <f>184.05198404973*Deflactores!$C$5</f>
        <v>596.36818072872427</v>
      </c>
      <c r="G134" s="56">
        <f>210.33975556671*Deflactores!$D$5</f>
        <v>640.00142988993514</v>
      </c>
      <c r="H134" s="56">
        <f>215.22518708014*Deflactores!$E$5</f>
        <v>620.74414835642438</v>
      </c>
      <c r="I134" s="56">
        <f>236.83228545257*Deflactores!$F$5</f>
        <v>651.43429212121566</v>
      </c>
      <c r="J134" s="56">
        <f>283.22669989996*Deflactores!$G$5</f>
        <v>745.65728780863992</v>
      </c>
      <c r="K134" s="56">
        <f>281.94951835113*Deflactores!$H$5</f>
        <v>702.30248082165758</v>
      </c>
      <c r="L134" s="56">
        <f>303.85727323989*Deflactores!$I$5</f>
        <v>702.92685680437762</v>
      </c>
      <c r="M134" s="56">
        <f>330.79597615344*Deflactores!$J$5</f>
        <v>750.22727446548265</v>
      </c>
      <c r="N134" s="56">
        <f>357.08557373496*Deflactores!$K$5</f>
        <v>784.95789220208781</v>
      </c>
      <c r="O134" s="56">
        <f>360.815398523639*Deflactores!$L$5</f>
        <v>764.66043526771819</v>
      </c>
      <c r="P134" s="56">
        <f>373.405928492964*Deflactores!$M$5</f>
        <v>772.49414263989877</v>
      </c>
      <c r="Q134" s="56">
        <f>423.265552748943*Deflactores!$N$5</f>
        <v>858.97847699580439</v>
      </c>
      <c r="R134" s="56">
        <f>450.194806717395*Deflactores!$O$5</f>
        <v>881.37074960594293</v>
      </c>
      <c r="S134" s="56">
        <f>465.187670096266*Deflactores!$P$5</f>
        <v>852.97657586829155</v>
      </c>
      <c r="T134" s="56">
        <f>498.152825365204*Deflactores!$Q$5</f>
        <v>863.75610814433071</v>
      </c>
      <c r="U134" s="56">
        <f>545.5624354178*Deflactores!$R$5</f>
        <v>908.79093125377858</v>
      </c>
      <c r="V134" s="56">
        <f>542.03879845239*Deflactores!$S$5</f>
        <v>875.09333382222758</v>
      </c>
    </row>
    <row r="135" spans="3:22" x14ac:dyDescent="0.2">
      <c r="C135" s="88" t="s">
        <v>128</v>
      </c>
      <c r="D135" s="57">
        <f>48.9840438634*Deflactores!$A$5</f>
        <v>182.80431611440329</v>
      </c>
      <c r="E135" s="57">
        <f>56.63122099569*Deflactores!$B$5</f>
        <v>196.32723198638178</v>
      </c>
      <c r="F135" s="57">
        <f>50.24047122172*Deflactores!$C$5</f>
        <v>162.78997793012346</v>
      </c>
      <c r="G135" s="57">
        <f>57.4651589667399*Deflactores!$D$5</f>
        <v>174.84941830647776</v>
      </c>
      <c r="H135" s="57">
        <f>77.33331708343*Deflactores!$E$5</f>
        <v>223.0417578155317</v>
      </c>
      <c r="I135" s="57">
        <f>88.9900776445299*Deflactores!$F$5</f>
        <v>244.77738803811081</v>
      </c>
      <c r="J135" s="57">
        <f>110.922520924169*Deflactores!$G$5</f>
        <v>292.02820969360403</v>
      </c>
      <c r="K135" s="57">
        <f>130.360003038789*Deflactores!$H$5</f>
        <v>324.71115421465095</v>
      </c>
      <c r="L135" s="57">
        <f>165.51569829527*Deflactores!$I$5</f>
        <v>382.89499643677493</v>
      </c>
      <c r="M135" s="57">
        <f>170.94684087137*Deflactores!$J$5</f>
        <v>387.6981334438122</v>
      </c>
      <c r="N135" s="57">
        <f>193.75324249166*Deflactores!$K$5</f>
        <v>425.91509716507886</v>
      </c>
      <c r="O135" s="57">
        <f>218.09609806903*Deflactores!$L$5</f>
        <v>462.2016076975425</v>
      </c>
      <c r="P135" s="57">
        <f>328.444887825649*Deflactores!$M$5</f>
        <v>679.47971005530849</v>
      </c>
      <c r="Q135" s="57">
        <f>388.5007387064*Deflactores!$N$5</f>
        <v>788.42648705624401</v>
      </c>
      <c r="R135" s="57">
        <f>384.142693237799*Deflactores!$O$5</f>
        <v>752.05695055291858</v>
      </c>
      <c r="S135" s="57">
        <f>432.82742000122*Deflactores!$P$5</f>
        <v>793.64023250690832</v>
      </c>
      <c r="T135" s="57">
        <f>374.456334155979*Deflactores!$Q$5</f>
        <v>649.27654605480359</v>
      </c>
      <c r="U135" s="57">
        <f>376.64350993671*Deflactores!$R$5</f>
        <v>627.40794439768104</v>
      </c>
      <c r="V135" s="57">
        <f>367.160403686449*Deflactores!$S$5</f>
        <v>592.76129794924805</v>
      </c>
    </row>
    <row r="136" spans="3:22" x14ac:dyDescent="0.2">
      <c r="C136" s="87" t="s">
        <v>129</v>
      </c>
      <c r="D136" s="56">
        <f>6282.2037637656*Deflactores!$A$5</f>
        <v>23444.654057738491</v>
      </c>
      <c r="E136" s="56">
        <f>7019.58090669603*Deflactores!$B$5</f>
        <v>24335.249441663505</v>
      </c>
      <c r="F136" s="56">
        <f>7927.23254633975*Deflactores!$C$5</f>
        <v>25685.945610870494</v>
      </c>
      <c r="G136" s="56">
        <f>8778.65963518517*Deflactores!$D$5</f>
        <v>26710.855034980217</v>
      </c>
      <c r="H136" s="56">
        <f>9927.32672568568*Deflactores!$E$5</f>
        <v>28632.011231553301</v>
      </c>
      <c r="I136" s="56">
        <f>10791.526221956*Deflactores!$F$5</f>
        <v>29683.327304272138</v>
      </c>
      <c r="J136" s="56">
        <f>12000.6723015822*Deflactores!$G$5</f>
        <v>31594.43923697434</v>
      </c>
      <c r="K136" s="56">
        <f>14334.2395219358*Deflactores!$H$5</f>
        <v>35704.87382216526</v>
      </c>
      <c r="L136" s="56">
        <f>18108.2106897709*Deflactores!$I$5</f>
        <v>41890.547778538668</v>
      </c>
      <c r="M136" s="56">
        <f>19546.5990085397*Deflactores!$J$5</f>
        <v>44330.622971194651</v>
      </c>
      <c r="N136" s="56">
        <f>19959.6618755118*Deflactores!$K$5</f>
        <v>43876.020952044993</v>
      </c>
      <c r="O136" s="56">
        <f>20991.3111776213*Deflactores!$L$5</f>
        <v>44485.975952238688</v>
      </c>
      <c r="P136" s="56">
        <f>23208.0713011206*Deflactores!$M$5</f>
        <v>48012.358064161293</v>
      </c>
      <c r="Q136" s="56">
        <f>25632.5115532229*Deflactores!$N$5</f>
        <v>52018.822681335609</v>
      </c>
      <c r="R136" s="56">
        <f>26141.4025798603*Deflactores!$O$5</f>
        <v>51178.439297336197</v>
      </c>
      <c r="S136" s="56">
        <f>26474.4600711582*Deflactores!$P$5</f>
        <v>48544.051683023295</v>
      </c>
      <c r="T136" s="56">
        <f>28407.9990563307*Deflactores!$Q$5</f>
        <v>49257.138483707524</v>
      </c>
      <c r="U136" s="56">
        <f>29574.074535266*Deflactores!$R$5</f>
        <v>49264.115329514032</v>
      </c>
      <c r="V136" s="56">
        <f>30006.7067125534*Deflactores!$S$5</f>
        <v>48444.260981108724</v>
      </c>
    </row>
    <row r="137" spans="3:22" x14ac:dyDescent="0.2">
      <c r="C137" s="88" t="s">
        <v>130</v>
      </c>
      <c r="D137" s="57">
        <f>34.607287836*Deflactores!$A$5</f>
        <v>129.1514764088563</v>
      </c>
      <c r="E137" s="57">
        <f>52.82939830755*Deflactores!$B$5</f>
        <v>183.14719963422118</v>
      </c>
      <c r="F137" s="57">
        <f>25.2892087092399*Deflactores!$C$5</f>
        <v>81.942498299412009</v>
      </c>
      <c r="G137" s="57">
        <f>25.44539947619*Deflactores!$D$5</f>
        <v>77.42279629928224</v>
      </c>
      <c r="H137" s="57">
        <f>73.3776347595799*Deflactores!$E$5</f>
        <v>211.63293207074287</v>
      </c>
      <c r="I137" s="57">
        <f>63.51004130515*Deflactores!$F$5</f>
        <v>174.6916334533924</v>
      </c>
      <c r="J137" s="57">
        <f>94.6572923666*Deflactores!$G$5</f>
        <v>249.20637751426344</v>
      </c>
      <c r="K137" s="57">
        <f>78.3388213841099*Deflactores!$H$5</f>
        <v>195.13262134460606</v>
      </c>
      <c r="L137" s="57">
        <f>144.72593136871*Deflactores!$I$5</f>
        <v>334.80108259504448</v>
      </c>
      <c r="M137" s="57">
        <f>120.56412721732*Deflactores!$J$5</f>
        <v>273.4328803280369</v>
      </c>
      <c r="N137" s="57">
        <f>125.31599673977*Deflactores!$K$5</f>
        <v>275.47397009397304</v>
      </c>
      <c r="O137" s="57">
        <f>148.28817219878*Deflactores!$L$5</f>
        <v>314.26069608596441</v>
      </c>
      <c r="P137" s="57">
        <f>281.16788766279*Deflactores!$M$5</f>
        <v>581.6740703462907</v>
      </c>
      <c r="Q137" s="57">
        <f>344.952886359949*Deflactores!$N$5</f>
        <v>700.05012937239496</v>
      </c>
      <c r="R137" s="57">
        <f>314.724108423019*Deflactores!$O$5</f>
        <v>616.15242828419844</v>
      </c>
      <c r="S137" s="57">
        <f>378.48716233881*Deflactores!$P$5</f>
        <v>694.00094734896049</v>
      </c>
      <c r="T137" s="57">
        <f>287.10083077556*Deflactores!$Q$5</f>
        <v>497.80927379845701</v>
      </c>
      <c r="U137" s="57">
        <f>470.91748321387*Deflactores!$R$5</f>
        <v>784.44832402340171</v>
      </c>
      <c r="V137" s="57">
        <f>402.91693743242*Deflactores!$S$5</f>
        <v>650.48835440909511</v>
      </c>
    </row>
    <row r="138" spans="3:22" x14ac:dyDescent="0.2">
      <c r="C138" s="87" t="s">
        <v>131</v>
      </c>
      <c r="D138" s="56">
        <f>4936.82546513962*Deflactores!$A$5</f>
        <v>18423.81583373787</v>
      </c>
      <c r="E138" s="56">
        <f>7395.99118972189*Deflactores!$B$5</f>
        <v>25640.176082099209</v>
      </c>
      <c r="F138" s="56">
        <f>8629.62599930291*Deflactores!$C$5</f>
        <v>27961.852104691425</v>
      </c>
      <c r="G138" s="56">
        <f>9690.84977502144*Deflactores!$D$5</f>
        <v>29486.378816748413</v>
      </c>
      <c r="H138" s="56">
        <f>11334.3052057757*Deflactores!$E$5</f>
        <v>32689.964067965942</v>
      </c>
      <c r="I138" s="56">
        <f>12246.5717399425*Deflactores!$F$5</f>
        <v>33685.596442545982</v>
      </c>
      <c r="J138" s="56">
        <f>13098.8182170197*Deflactores!$G$5</f>
        <v>34485.552628517187</v>
      </c>
      <c r="K138" s="56">
        <f>14267.0436162395*Deflactores!$H$5</f>
        <v>35537.496869200229</v>
      </c>
      <c r="L138" s="56">
        <f>16143.418834138*Deflactores!$I$5</f>
        <v>37345.305373679337</v>
      </c>
      <c r="M138" s="56">
        <f>18496.8343534747*Deflactores!$J$5</f>
        <v>41949.813853872438</v>
      </c>
      <c r="N138" s="56">
        <f>20057.207961674*Deflactores!$K$5</f>
        <v>44090.450141624293</v>
      </c>
      <c r="O138" s="56">
        <f>21638.4462275203*Deflactores!$L$5</f>
        <v>45857.421214712274</v>
      </c>
      <c r="P138" s="56">
        <f>22687.1181740219*Deflactores!$M$5</f>
        <v>46934.621454842127</v>
      </c>
      <c r="Q138" s="56">
        <f>25125.0342111252*Deflactores!$N$5</f>
        <v>50988.944129693773</v>
      </c>
      <c r="R138" s="56">
        <f>26844.8165151769*Deflactores!$O$5</f>
        <v>52555.550845942838</v>
      </c>
      <c r="S138" s="56">
        <f>28989.5391786389*Deflactores!$P$5</f>
        <v>53155.746495770196</v>
      </c>
      <c r="T138" s="56">
        <f>31306.90141167*Deflactores!$Q$5</f>
        <v>54283.597210510132</v>
      </c>
      <c r="U138" s="56">
        <f>35520.3507048684*Deflactores!$R$5</f>
        <v>59169.346164416922</v>
      </c>
      <c r="V138" s="56">
        <f>37914.9552329809*Deflactores!$S$5</f>
        <v>61211.715233820229</v>
      </c>
    </row>
    <row r="139" spans="3:22" x14ac:dyDescent="0.2">
      <c r="C139" s="88" t="s">
        <v>132</v>
      </c>
      <c r="D139" s="57">
        <f>37.7606621716099*Deflactores!$A$5</f>
        <v>140.91960319890666</v>
      </c>
      <c r="E139" s="57">
        <f>42.33119643583*Deflactores!$B$5</f>
        <v>146.7523828163761</v>
      </c>
      <c r="F139" s="57">
        <f>44.3320730912599*Deflactores!$C$5</f>
        <v>143.64549186399427</v>
      </c>
      <c r="G139" s="57">
        <f>35.7978886351*Deflactores!$D$5</f>
        <v>108.92234733171232</v>
      </c>
      <c r="H139" s="57">
        <f>38.35082029142*Deflactores!$E$5</f>
        <v>110.60995045948552</v>
      </c>
      <c r="I139" s="57">
        <f>38.72038410986*Deflactores!$F$5</f>
        <v>106.50484567620211</v>
      </c>
      <c r="J139" s="57">
        <f>53.12168762835*Deflactores!$G$5</f>
        <v>139.85465895257863</v>
      </c>
      <c r="K139" s="57">
        <f>61.3633124563199*Deflactores!$H$5</f>
        <v>152.8486617800788</v>
      </c>
      <c r="L139" s="57">
        <f>70.10778082233*Deflactores!$I$5</f>
        <v>162.18351953703095</v>
      </c>
      <c r="M139" s="57">
        <f>96.3785682298*Deflactores!$J$5</f>
        <v>218.58134854212764</v>
      </c>
      <c r="N139" s="57">
        <f>102.65575579383*Deflactores!$K$5</f>
        <v>225.66144257103585</v>
      </c>
      <c r="O139" s="57">
        <f>102.872157118319*Deflactores!$L$5</f>
        <v>218.01250379248796</v>
      </c>
      <c r="P139" s="57">
        <f>130.146528928619*Deflactores!$M$5</f>
        <v>269.24433601799848</v>
      </c>
      <c r="Q139" s="57">
        <f>156.5533173101*Deflactores!$N$5</f>
        <v>317.71054648388565</v>
      </c>
      <c r="R139" s="57">
        <f>165.127569869819*Deflactores!$O$5</f>
        <v>323.27918462224824</v>
      </c>
      <c r="S139" s="57">
        <f>190.50483545291*Deflactores!$P$5</f>
        <v>349.31313247693879</v>
      </c>
      <c r="T139" s="57">
        <f>261.25019912078*Deflactores!$Q$5</f>
        <v>452.98640046669198</v>
      </c>
      <c r="U139" s="57">
        <f>325.272630520469*Deflactores!$R$5</f>
        <v>541.83499011563106</v>
      </c>
      <c r="V139" s="57">
        <f>415.590641752029*Deflactores!$S$5</f>
        <v>670.94938818857634</v>
      </c>
    </row>
    <row r="140" spans="3:22" x14ac:dyDescent="0.2">
      <c r="C140" s="87" t="s">
        <v>133</v>
      </c>
      <c r="D140" s="56">
        <f>621.49657459909*Deflactores!$A$5</f>
        <v>2319.3727452118324</v>
      </c>
      <c r="E140" s="56">
        <f>653.59314795402*Deflactores!$B$5</f>
        <v>2265.8549705796431</v>
      </c>
      <c r="F140" s="56">
        <f>678.0501210261*Deflactores!$C$5</f>
        <v>2197.0288405582646</v>
      </c>
      <c r="G140" s="56">
        <f>708.508964218499*Deflactores!$D$5</f>
        <v>2155.7824338436294</v>
      </c>
      <c r="H140" s="56">
        <f>751.3315328036*Deflactores!$E$5</f>
        <v>2166.9613059266958</v>
      </c>
      <c r="I140" s="56">
        <f>846.431485591409*Deflactores!$F$5</f>
        <v>2328.2066234832469</v>
      </c>
      <c r="J140" s="56">
        <f>917.38303312076*Deflactores!$G$5</f>
        <v>2415.2148953474643</v>
      </c>
      <c r="K140" s="56">
        <f>1080.54066059575*Deflactores!$H$5</f>
        <v>2691.4973680501294</v>
      </c>
      <c r="L140" s="56">
        <f>1236.64953965962*Deflactores!$I$5</f>
        <v>2860.797652176785</v>
      </c>
      <c r="M140" s="56">
        <f>1419.82407639778*Deflactores!$J$5</f>
        <v>3220.0837490305144</v>
      </c>
      <c r="N140" s="56">
        <f>1468.53002653013*Deflactores!$K$5</f>
        <v>3228.173634133319</v>
      </c>
      <c r="O140" s="56">
        <f>1589.66254578562*Deflactores!$L$5</f>
        <v>3368.9029325326419</v>
      </c>
      <c r="P140" s="56">
        <f>1863.72120965431*Deflactores!$M$5</f>
        <v>3855.6262986564484</v>
      </c>
      <c r="Q140" s="56">
        <f>2147.21580745269*Deflactores!$N$5</f>
        <v>4357.5768263878263</v>
      </c>
      <c r="R140" s="56">
        <f>2432.82272205721*Deflactores!$O$5</f>
        <v>4762.8687719268701</v>
      </c>
      <c r="S140" s="56">
        <f>2708.87048484514*Deflactores!$P$5</f>
        <v>4967.0342082706738</v>
      </c>
      <c r="T140" s="56">
        <f>3080.61885978045*Deflactores!$Q$5</f>
        <v>5341.5402292443787</v>
      </c>
      <c r="U140" s="56">
        <f>3390.75099638026*Deflactores!$R$5</f>
        <v>5648.2696674125791</v>
      </c>
      <c r="V140" s="56">
        <f>3446.99769443205*Deflactores!$S$5</f>
        <v>5564.9977689983107</v>
      </c>
    </row>
    <row r="141" spans="3:22" x14ac:dyDescent="0.2">
      <c r="C141" s="88" t="s">
        <v>134</v>
      </c>
      <c r="D141" s="57">
        <f>6516.40731206201*Deflactores!$A$5</f>
        <v>24318.681926839781</v>
      </c>
      <c r="E141" s="57">
        <f>6478.92203873102*Deflactores!$B$5</f>
        <v>22460.91127394963</v>
      </c>
      <c r="F141" s="57">
        <f>5158.95092078134*Deflactores!$C$5</f>
        <v>16716.11523765944</v>
      </c>
      <c r="G141" s="57">
        <f>4582.2373630638*Deflactores!$D$5</f>
        <v>13942.387907386443</v>
      </c>
      <c r="H141" s="57">
        <f>5140.49390996985*Deflactores!$E$5</f>
        <v>14826.013430702533</v>
      </c>
      <c r="I141" s="57">
        <f>6302.46158775054*Deflactores!$F$5</f>
        <v>17335.641528737666</v>
      </c>
      <c r="J141" s="57">
        <f>5487.78973398512*Deflactores!$G$5</f>
        <v>14447.82716655175</v>
      </c>
      <c r="K141" s="57">
        <f>6451.80066143498*Deflactores!$H$5</f>
        <v>16070.662708668671</v>
      </c>
      <c r="L141" s="57">
        <f>6558.17734032426*Deflactores!$I$5</f>
        <v>15171.330062454601</v>
      </c>
      <c r="M141" s="57">
        <f>6448.97193648881*Deflactores!$J$5</f>
        <v>14625.917446989091</v>
      </c>
      <c r="N141" s="57">
        <f>7445.47291534893*Deflactores!$K$5</f>
        <v>16366.896777571619</v>
      </c>
      <c r="O141" s="57">
        <f>8181.22105386729*Deflactores!$L$5</f>
        <v>17338.107180760264</v>
      </c>
      <c r="P141" s="57">
        <f>9389.41140107247*Deflactores!$M$5</f>
        <v>19424.612082187225</v>
      </c>
      <c r="Q141" s="57">
        <f>12122.5404309413*Deflactores!$N$5</f>
        <v>24601.579904298094</v>
      </c>
      <c r="R141" s="57">
        <f>12027.827356282*Deflactores!$O$5</f>
        <v>23547.528880740247</v>
      </c>
      <c r="S141" s="57">
        <f>15427.7475314391*Deflactores!$P$5</f>
        <v>28288.598577868972</v>
      </c>
      <c r="T141" s="57">
        <f>15675.5093602604*Deflactores!$Q$5</f>
        <v>27180.04650133679</v>
      </c>
      <c r="U141" s="57">
        <f>19129.237502274*Deflactores!$R$5</f>
        <v>31865.239311341145</v>
      </c>
      <c r="V141" s="57">
        <f>10708.1226630911*Deflactores!$S$5</f>
        <v>17287.704841381033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>
        <f>0*Deflactores!$O$5</f>
        <v>0</v>
      </c>
      <c r="S142" s="56"/>
      <c r="T142" s="56"/>
      <c r="U142" s="56"/>
      <c r="V142" s="56"/>
    </row>
    <row r="143" spans="3:22" x14ac:dyDescent="0.2">
      <c r="C143" s="88" t="s">
        <v>136</v>
      </c>
      <c r="D143" s="57">
        <f>955.26729109934*Deflactores!$A$5</f>
        <v>3564.9768798764208</v>
      </c>
      <c r="E143" s="57">
        <f>1021.13483063448*Deflactores!$B$5</f>
        <v>3540.0362425279118</v>
      </c>
      <c r="F143" s="57">
        <f>1008.16745856668*Deflactores!$C$5</f>
        <v>3266.6803144749601</v>
      </c>
      <c r="G143" s="57">
        <f>1074.42963885183*Deflactores!$D$5</f>
        <v>3269.1704111218833</v>
      </c>
      <c r="H143" s="57">
        <f>1225.44878976811*Deflactores!$E$5</f>
        <v>3534.3919346938246</v>
      </c>
      <c r="I143" s="57">
        <f>1461.88774534314*Deflactores!$F$5</f>
        <v>4021.0894672931267</v>
      </c>
      <c r="J143" s="57">
        <f>2410.27041795264*Deflactores!$G$5</f>
        <v>6345.5730104922086</v>
      </c>
      <c r="K143" s="57">
        <f>3493.96846645618*Deflactores!$H$5</f>
        <v>8703.056973656232</v>
      </c>
      <c r="L143" s="57">
        <f>4421.72021654173*Deflactores!$I$5</f>
        <v>10228.966581386465</v>
      </c>
      <c r="M143" s="57">
        <f>5435.7062932363*Deflactores!$J$5</f>
        <v>12327.886102453525</v>
      </c>
      <c r="N143" s="57">
        <f>5625.46053098494*Deflactores!$K$5</f>
        <v>12366.082434754093</v>
      </c>
      <c r="O143" s="57">
        <f>5927.28742307161*Deflactores!$L$5</f>
        <v>12561.443329270407</v>
      </c>
      <c r="P143" s="57">
        <f>7909.04553998498*Deflactores!$M$5</f>
        <v>16362.063072133937</v>
      </c>
      <c r="Q143" s="57">
        <f>8695.89242408064*Deflactores!$N$5</f>
        <v>17647.513203104136</v>
      </c>
      <c r="R143" s="57">
        <f>9095.05626371197*Deflactores!$O$5</f>
        <v>17805.884113381337</v>
      </c>
      <c r="S143" s="57">
        <f>10375.7999459952*Deflactores!$P$5</f>
        <v>19025.255566206011</v>
      </c>
      <c r="T143" s="57">
        <f>9604.56888775987*Deflactores!$Q$5</f>
        <v>16653.534057171411</v>
      </c>
      <c r="U143" s="57">
        <f>11013.1096650553*Deflactores!$R$5</f>
        <v>18345.497304705092</v>
      </c>
      <c r="V143" s="57">
        <f>10360.6364082665*Deflactores!$S$5</f>
        <v>16726.706429348418</v>
      </c>
    </row>
    <row r="144" spans="3:22" x14ac:dyDescent="0.2">
      <c r="C144" s="87" t="s">
        <v>137</v>
      </c>
      <c r="D144" s="56">
        <f>65.82977626401*Deflactores!$A$5</f>
        <v>245.67116719610181</v>
      </c>
      <c r="E144" s="56">
        <f>64.96296487139*Deflactores!$B$5</f>
        <v>225.21144433384575</v>
      </c>
      <c r="F144" s="56">
        <f>71.49782094551*Deflactores!$C$5</f>
        <v>231.66838229693303</v>
      </c>
      <c r="G144" s="56">
        <f>63.7310305917399*Deflactores!$D$5</f>
        <v>193.91460543053017</v>
      </c>
      <c r="H144" s="56">
        <f>88.5807859427299*Deflactores!$E$5</f>
        <v>255.48127185638518</v>
      </c>
      <c r="I144" s="56">
        <f>182.05743480207*Deflactores!$F$5</f>
        <v>500.76979977226267</v>
      </c>
      <c r="J144" s="56">
        <f>117.82768293581*Deflactores!$G$5</f>
        <v>310.20758465824588</v>
      </c>
      <c r="K144" s="56">
        <f>144.31415487661*Deflactores!$H$5</f>
        <v>359.46927513918882</v>
      </c>
      <c r="L144" s="56">
        <f>172.41611466178*Deflactores!$I$5</f>
        <v>398.85804361163383</v>
      </c>
      <c r="M144" s="56">
        <f>166.80279632865*Deflactores!$J$5</f>
        <v>378.29966590892815</v>
      </c>
      <c r="N144" s="56">
        <f>186.98703753898*Deflactores!$K$5</f>
        <v>411.0413907806111</v>
      </c>
      <c r="O144" s="56">
        <f>216.68275274566*Deflactores!$L$5</f>
        <v>459.20636621235707</v>
      </c>
      <c r="P144" s="56">
        <f>279.65005607624*Deflactores!$M$5</f>
        <v>578.53401305031821</v>
      </c>
      <c r="Q144" s="56">
        <f>345.28612840835*Deflactores!$N$5</f>
        <v>700.72641343413204</v>
      </c>
      <c r="R144" s="56">
        <f>564.54603765831*Deflactores!$O$5</f>
        <v>1105.2423461435365</v>
      </c>
      <c r="S144" s="56">
        <f>355.55521316356*Deflactores!$P$5</f>
        <v>651.95250809982349</v>
      </c>
      <c r="T144" s="56">
        <f>318.64412329657*Deflactores!$Q$5</f>
        <v>552.50275378832055</v>
      </c>
      <c r="U144" s="56">
        <f>362.14008886012*Deflactores!$R$5</f>
        <v>603.24833095863244</v>
      </c>
      <c r="V144" s="56">
        <f>567.68213031927*Deflactores!$S$5</f>
        <v>916.49315397858641</v>
      </c>
    </row>
    <row r="145" spans="3:22" x14ac:dyDescent="0.2">
      <c r="C145" s="88" t="s">
        <v>138</v>
      </c>
      <c r="D145" s="57">
        <f>152.723888616289*Deflactores!$A$5</f>
        <v>569.95265827150877</v>
      </c>
      <c r="E145" s="57">
        <f>177.40664951114*Deflactores!$B$5</f>
        <v>615.02746757219086</v>
      </c>
      <c r="F145" s="57">
        <f>176.308889075639*Deflactores!$C$5</f>
        <v>571.27888062283296</v>
      </c>
      <c r="G145" s="57">
        <f>183.31467255512*Deflactores!$D$5</f>
        <v>557.77212557363202</v>
      </c>
      <c r="H145" s="57">
        <f>212.86852897299*Deflactores!$E$5</f>
        <v>613.94716632315806</v>
      </c>
      <c r="I145" s="57">
        <f>225.98368511964*Deflactores!$F$5</f>
        <v>621.59397594606492</v>
      </c>
      <c r="J145" s="57">
        <f>233.62188120358*Deflactores!$G$5</f>
        <v>615.06156860403519</v>
      </c>
      <c r="K145" s="57">
        <f>278.024714905509*Deflactores!$H$5</f>
        <v>692.52626551646131</v>
      </c>
      <c r="L145" s="57">
        <f>355.349937270159*Deflactores!$I$5</f>
        <v>822.04717961035851</v>
      </c>
      <c r="M145" s="57">
        <f>296.26477640733*Deflactores!$J$5</f>
        <v>671.91239237172158</v>
      </c>
      <c r="N145" s="57">
        <f>295.708203419889*Deflactores!$K$5</f>
        <v>650.03602815841521</v>
      </c>
      <c r="O145" s="57">
        <f>295.81717452214*Deflactores!$L$5</f>
        <v>626.91251635965466</v>
      </c>
      <c r="P145" s="57">
        <f>172.0687217555*Deflactores!$M$5</f>
        <v>355.97206563945298</v>
      </c>
      <c r="Q145" s="57">
        <f>177.17921142241*Deflactores!$N$5</f>
        <v>359.56889993647007</v>
      </c>
      <c r="R145" s="57">
        <f>138.32800753287*Deflactores!$O$5</f>
        <v>270.81223033137974</v>
      </c>
      <c r="S145" s="57">
        <f>77.52076228428*Deflactores!$P$5</f>
        <v>142.14348019641486</v>
      </c>
      <c r="T145" s="57">
        <f>91.51380185266*Deflactores!$Q$5</f>
        <v>158.67742047191123</v>
      </c>
      <c r="U145" s="57">
        <f>90.88932609065*Deflactores!$R$5</f>
        <v>151.40227760676797</v>
      </c>
      <c r="V145" s="57">
        <f>91.984617962*Deflactores!$S$5</f>
        <v>148.50436209097464</v>
      </c>
    </row>
    <row r="146" spans="3:22" x14ac:dyDescent="0.2">
      <c r="C146" s="87" t="s">
        <v>139</v>
      </c>
      <c r="D146" s="56">
        <f>572.98758448954*Deflactores!$A$5</f>
        <v>2138.3412895993574</v>
      </c>
      <c r="E146" s="56">
        <f>637.98386101546*Deflactores!$B$5</f>
        <v>2211.7412141737573</v>
      </c>
      <c r="F146" s="56">
        <f>628.79516952576*Deflactores!$C$5</f>
        <v>2037.4321593825671</v>
      </c>
      <c r="G146" s="56">
        <f>658.141414738569*Deflactores!$D$5</f>
        <v>2002.5289340458523</v>
      </c>
      <c r="H146" s="56">
        <f>795.600058747459*Deflactores!$E$5</f>
        <v>2294.6388738211217</v>
      </c>
      <c r="I146" s="56">
        <f>936.13344916068*Deflactores!$F$5</f>
        <v>2574.9421351892038</v>
      </c>
      <c r="J146" s="56">
        <f>1095.14090410864*Deflactores!$G$5</f>
        <v>2883.2020307915382</v>
      </c>
      <c r="K146" s="56">
        <f>1255.61461143861*Deflactores!$H$5</f>
        <v>3127.5856108080607</v>
      </c>
      <c r="L146" s="56">
        <f>1585.39879601481*Deflactores!$I$5</f>
        <v>3667.5751762713949</v>
      </c>
      <c r="M146" s="56">
        <f>1895.88756910708*Deflactores!$J$5</f>
        <v>4299.7698466695902</v>
      </c>
      <c r="N146" s="56">
        <f>2652.28288070404*Deflactores!$K$5</f>
        <v>5830.3402116894204</v>
      </c>
      <c r="O146" s="56">
        <f>6257.01540038246*Deflactores!$L$5</f>
        <v>13260.221540184099</v>
      </c>
      <c r="P146" s="56">
        <f>2245.77229921975*Deflactores!$M$5</f>
        <v>4646.005364328018</v>
      </c>
      <c r="Q146" s="56">
        <f>3004.99232419617*Deflactores!$N$5</f>
        <v>6098.3553073432922</v>
      </c>
      <c r="R146" s="56">
        <f>3203.38533782694*Deflactores!$O$5</f>
        <v>6271.4409281259377</v>
      </c>
      <c r="S146" s="56">
        <f>3230.03237799645*Deflactores!$P$5</f>
        <v>5922.6461379704615</v>
      </c>
      <c r="T146" s="56">
        <f>3221.99601346219*Deflactores!$Q$5</f>
        <v>5586.6766087382384</v>
      </c>
      <c r="U146" s="56">
        <f>3598.40660135302*Deflactores!$R$5</f>
        <v>5994.1797198133463</v>
      </c>
      <c r="V146" s="56">
        <f>3132.77797223702*Deflactores!$S$5</f>
        <v>5057.7064366556215</v>
      </c>
    </row>
    <row r="147" spans="3:22" x14ac:dyDescent="0.2">
      <c r="C147" s="88" t="s">
        <v>140</v>
      </c>
      <c r="D147" s="57">
        <f>329.48573229445*Deflactores!$A$5</f>
        <v>1229.6129353775982</v>
      </c>
      <c r="E147" s="57">
        <f>452.138387955839*Deflactores!$B$5</f>
        <v>1567.4583140086356</v>
      </c>
      <c r="F147" s="57">
        <f>331.09396108931*Deflactores!$C$5</f>
        <v>1072.8159451502988</v>
      </c>
      <c r="G147" s="57">
        <f>391.19067109607*Deflactores!$D$5</f>
        <v>1190.2770742817788</v>
      </c>
      <c r="H147" s="57">
        <f>2671.80244194294*Deflactores!$E$5</f>
        <v>7705.9091173326924</v>
      </c>
      <c r="I147" s="57">
        <f>2652.22540730511*Deflactores!$F$5</f>
        <v>7295.2493679318095</v>
      </c>
      <c r="J147" s="57">
        <f>761.98311195658*Deflactores!$G$5</f>
        <v>2006.0900360672915</v>
      </c>
      <c r="K147" s="57">
        <f>2481.36467868502*Deflactores!$H$5</f>
        <v>6180.7822189412891</v>
      </c>
      <c r="L147" s="57">
        <f>1712.21899730574*Deflactores!$I$5</f>
        <v>3960.9541187012287</v>
      </c>
      <c r="M147" s="57">
        <f>6406.37597704019*Deflactores!$J$5</f>
        <v>14529.312128714129</v>
      </c>
      <c r="N147" s="57">
        <f>2146.23853529777*Deflactores!$K$5</f>
        <v>4717.935981588199</v>
      </c>
      <c r="O147" s="57">
        <f>2668.67894886045*Deflactores!$L$5</f>
        <v>5655.6156277563505</v>
      </c>
      <c r="P147" s="57">
        <f>2559.66690737808*Deflactores!$M$5</f>
        <v>5295.3837691840754</v>
      </c>
      <c r="Q147" s="57">
        <f>3180.04397300378*Deflactores!$N$5</f>
        <v>6453.6065147987538</v>
      </c>
      <c r="R147" s="57">
        <f>2863.66829298873*Deflactores!$O$5</f>
        <v>5606.3584749404563</v>
      </c>
      <c r="S147" s="57">
        <f>3244.6536524962*Deflactores!$P$5</f>
        <v>5949.455972923839</v>
      </c>
      <c r="T147" s="57">
        <f>2976.05450795601*Deflactores!$Q$5</f>
        <v>5160.2342263801002</v>
      </c>
      <c r="U147" s="57">
        <f>3568.88803700228*Deflactores!$R$5</f>
        <v>5945.0080726396554</v>
      </c>
      <c r="V147" s="57">
        <f>3831.55298823316*Deflactores!$S$5</f>
        <v>6185.8422086440041</v>
      </c>
    </row>
    <row r="148" spans="3:22" x14ac:dyDescent="0.2">
      <c r="C148" s="87" t="s">
        <v>141</v>
      </c>
      <c r="D148" s="56">
        <f>352.21019412169*Deflactores!$A$5</f>
        <v>1314.4187083550385</v>
      </c>
      <c r="E148" s="56">
        <f>346.88272884147*Deflactores!$B$5</f>
        <v>1202.5614984093577</v>
      </c>
      <c r="F148" s="56">
        <f>369.998333879449*Deflactores!$C$5</f>
        <v>1198.8745157385863</v>
      </c>
      <c r="G148" s="56">
        <f>375.78878168746*Deflactores!$D$5</f>
        <v>1143.413697370652</v>
      </c>
      <c r="H148" s="56">
        <f>396.348432447519*Deflactores!$E$5</f>
        <v>1143.1327972800336</v>
      </c>
      <c r="I148" s="56">
        <f>441.697370667429*Deflactores!$F$5</f>
        <v>1214.9391432958298</v>
      </c>
      <c r="J148" s="56">
        <f>514.1992090049*Deflactores!$G$5</f>
        <v>1353.7437950425233</v>
      </c>
      <c r="K148" s="56">
        <f>591.2092053602*Deflactores!$H$5</f>
        <v>1472.631320802557</v>
      </c>
      <c r="L148" s="56">
        <f>670.43102598332*Deflactores!$I$5</f>
        <v>1550.9385994737552</v>
      </c>
      <c r="M148" s="56">
        <f>760.27805954613*Deflactores!$J$5</f>
        <v>1724.2692703874584</v>
      </c>
      <c r="N148" s="56">
        <f>851.35898472206*Deflactores!$K$5</f>
        <v>1871.4868460375176</v>
      </c>
      <c r="O148" s="56">
        <f>880.27589357383*Deflactores!$L$5</f>
        <v>1865.5305474490306</v>
      </c>
      <c r="P148" s="56">
        <f>1028.07827094689*Deflactores!$M$5</f>
        <v>2126.8661847097369</v>
      </c>
      <c r="Q148" s="56">
        <f>1163.27548586957*Deflactores!$N$5</f>
        <v>2360.7605171013838</v>
      </c>
      <c r="R148" s="56">
        <f>1289.41694612977*Deflactores!$O$5</f>
        <v>2524.361372916499</v>
      </c>
      <c r="S148" s="56">
        <f>1391.0061567796*Deflactores!$P$5</f>
        <v>2550.5741980995358</v>
      </c>
      <c r="T148" s="56">
        <f>1500.27376692332*Deflactores!$Q$5</f>
        <v>2601.3515613781724</v>
      </c>
      <c r="U148" s="56">
        <f>1658.16728468619*Deflactores!$R$5</f>
        <v>2762.1538672663269</v>
      </c>
      <c r="V148" s="56">
        <f>1742.91090376258*Deflactores!$S$5</f>
        <v>2813.8386360596928</v>
      </c>
    </row>
    <row r="149" spans="3:22" x14ac:dyDescent="0.2">
      <c r="C149" s="88" t="s">
        <v>142</v>
      </c>
      <c r="D149" s="57">
        <f>109.67958693058*Deflactores!$A$5</f>
        <v>409.31495848867331</v>
      </c>
      <c r="E149" s="57">
        <f>292.01027609524*Deflactores!$B$5</f>
        <v>1012.3315056498733</v>
      </c>
      <c r="F149" s="57">
        <f>119.44037357706*Deflactores!$C$5</f>
        <v>387.0126076797103</v>
      </c>
      <c r="G149" s="57">
        <f>111.30625244135*Deflactores!$D$5</f>
        <v>338.67188124387292</v>
      </c>
      <c r="H149" s="57">
        <f>225.162861578999*Deflactores!$E$5</f>
        <v>649.40600423456863</v>
      </c>
      <c r="I149" s="57">
        <f>90.20396635527*Deflactores!$F$5</f>
        <v>248.11632779239221</v>
      </c>
      <c r="J149" s="57">
        <f>127.61651687747*Deflactores!$G$5</f>
        <v>335.97886741628218</v>
      </c>
      <c r="K149" s="57">
        <f>291.70621428702*Deflactores!$H$5</f>
        <v>726.60524182820313</v>
      </c>
      <c r="L149" s="57">
        <f>275.81540941414*Deflactores!$I$5</f>
        <v>638.05633720878768</v>
      </c>
      <c r="M149" s="57">
        <f>450.8221088492*Deflactores!$J$5</f>
        <v>1022.440012492272</v>
      </c>
      <c r="N149" s="57">
        <f>546.35690633571*Deflactores!$K$5</f>
        <v>1201.0206996086911</v>
      </c>
      <c r="O149" s="57">
        <f>403.164869790879*Deflactores!$L$5</f>
        <v>854.40983417105758</v>
      </c>
      <c r="P149" s="57">
        <f>572.044251131806*Deflactores!$M$5</f>
        <v>1183.432826344304</v>
      </c>
      <c r="Q149" s="57">
        <f>421.36961174883*Deflactores!$N$5</f>
        <v>855.13083926064257</v>
      </c>
      <c r="R149" s="57">
        <f>433.09740531024*Deflactores!$O$5</f>
        <v>847.89824110586733</v>
      </c>
      <c r="S149" s="57">
        <f>404.917526413933*Deflactores!$P$5</f>
        <v>742.46414381133752</v>
      </c>
      <c r="T149" s="57">
        <f>481.28465212296*Deflactores!$Q$5</f>
        <v>834.50808037184231</v>
      </c>
      <c r="U149" s="57">
        <f>528.37542303389*Deflactores!$R$5</f>
        <v>880.161025718068</v>
      </c>
      <c r="V149" s="57">
        <f>355.652625882078*Deflactores!$S$5</f>
        <v>574.18259164175674</v>
      </c>
    </row>
    <row r="150" spans="3:22" x14ac:dyDescent="0.2">
      <c r="C150" s="87" t="s">
        <v>143</v>
      </c>
      <c r="D150" s="56">
        <f>761.50300446958*Deflactores!$A$5</f>
        <v>2841.8649211429688</v>
      </c>
      <c r="E150" s="56">
        <f>512.964381366079*Deflactores!$B$5</f>
        <v>1778.3278433794251</v>
      </c>
      <c r="F150" s="56">
        <f>593.26046287281*Deflactores!$C$5</f>
        <v>1922.2920348750108</v>
      </c>
      <c r="G150" s="56">
        <f>495.395035170499*Deflactores!$D$5</f>
        <v>1507.3400176550997</v>
      </c>
      <c r="H150" s="56">
        <f>639.61599874718*Deflactores!$E$5</f>
        <v>1844.7556896285719</v>
      </c>
      <c r="I150" s="56">
        <f>578.21101475654*Deflactores!$F$5</f>
        <v>1590.4355370081109</v>
      </c>
      <c r="J150" s="56">
        <f>194.72001890771*Deflactores!$G$5</f>
        <v>512.64376286577146</v>
      </c>
      <c r="K150" s="56">
        <f>351.79594114575*Deflactores!$H$5</f>
        <v>876.28155442337504</v>
      </c>
      <c r="L150" s="56">
        <f>311.87358812064*Deflactores!$I$5</f>
        <v>721.4713627896964</v>
      </c>
      <c r="M150" s="56">
        <f>288.335349329969*Deflactores!$J$5</f>
        <v>653.92888322056444</v>
      </c>
      <c r="N150" s="56">
        <f>280.110181487819*Deflactores!$K$5</f>
        <v>615.74791539526177</v>
      </c>
      <c r="O150" s="56">
        <f>290.21996289474*Deflactores!$L$5</f>
        <v>615.05058835767431</v>
      </c>
      <c r="P150" s="56">
        <f>834.6499419756*Deflactores!$M$5</f>
        <v>1726.7058236945786</v>
      </c>
      <c r="Q150" s="56">
        <f>589.26145788034*Deflactores!$N$5</f>
        <v>1195.851886256874</v>
      </c>
      <c r="R150" s="56">
        <f>653.851469160669*Deflactores!$O$5</f>
        <v>1280.0804249766547</v>
      </c>
      <c r="S150" s="56">
        <f>655.997420238809*Deflactores!$P$5</f>
        <v>1202.8488054679922</v>
      </c>
      <c r="T150" s="56">
        <f>729.77254206628*Deflactores!$Q$5</f>
        <v>1265.3656843231759</v>
      </c>
      <c r="U150" s="56">
        <f>1150.85926431728*Deflactores!$R$5</f>
        <v>1917.0866516129918</v>
      </c>
      <c r="V150" s="56">
        <f>614.07066555235*Deflactores!$S$5</f>
        <v>991.38502161638144</v>
      </c>
    </row>
    <row r="151" spans="3:22" x14ac:dyDescent="0.2">
      <c r="C151" s="88" t="s">
        <v>144</v>
      </c>
      <c r="D151" s="57">
        <f>693.18703127138*Deflactores!$A$5</f>
        <v>2586.9154768910212</v>
      </c>
      <c r="E151" s="57">
        <f>773.71666460527*Deflactores!$B$5</f>
        <v>2682.29517981343</v>
      </c>
      <c r="F151" s="57">
        <f>763.19454848389*Deflactores!$C$5</f>
        <v>2472.9151754128306</v>
      </c>
      <c r="G151" s="57">
        <f>781.96057965096*Deflactores!$D$5</f>
        <v>2379.2738930679961</v>
      </c>
      <c r="H151" s="57">
        <f>864.50179858742*Deflactores!$E$5</f>
        <v>2493.3626031275194</v>
      </c>
      <c r="I151" s="57">
        <f>1018.29315099037*Deflactores!$F$5</f>
        <v>2800.9317932294416</v>
      </c>
      <c r="J151" s="57">
        <f>1145.28599044168*Deflactores!$G$5</f>
        <v>3015.2201247255912</v>
      </c>
      <c r="K151" s="57">
        <f>1275.61400602996*Deflactores!$H$5</f>
        <v>3177.4017073865425</v>
      </c>
      <c r="L151" s="57">
        <f>1413.89589815147*Deflactores!$I$5</f>
        <v>3270.8297186343007</v>
      </c>
      <c r="M151" s="57">
        <f>1621.13184757084*Deflactores!$J$5</f>
        <v>3676.6388203831116</v>
      </c>
      <c r="N151" s="57">
        <f>1714.929361387*Deflactores!$K$5</f>
        <v>3769.8171973448707</v>
      </c>
      <c r="O151" s="57">
        <f>1870.43706018619*Deflactores!$L$5</f>
        <v>3963.9361912907375</v>
      </c>
      <c r="P151" s="57">
        <f>2245.8668583066*Deflactores!$M$5</f>
        <v>4646.2009861303277</v>
      </c>
      <c r="Q151" s="57">
        <f>2665.00103771408*Deflactores!$N$5</f>
        <v>5408.374288199374</v>
      </c>
      <c r="R151" s="57">
        <f>2936.89060138028*Deflactores!$O$5</f>
        <v>5749.7097528139248</v>
      </c>
      <c r="S151" s="57">
        <f>3112.78532762754*Deflactores!$P$5</f>
        <v>5707.6598131316414</v>
      </c>
      <c r="T151" s="57">
        <f>3392.37363584261*Deflactores!$Q$5</f>
        <v>5882.097420442572</v>
      </c>
      <c r="U151" s="57">
        <f>3690.34656984302*Deflactores!$R$5</f>
        <v>6147.3321440990894</v>
      </c>
      <c r="V151" s="57">
        <f>4064.04925052754*Deflactores!$S$5</f>
        <v>6561.195282728916</v>
      </c>
    </row>
    <row r="152" spans="3:22" x14ac:dyDescent="0.2">
      <c r="C152" s="87" t="s">
        <v>145</v>
      </c>
      <c r="D152" s="56">
        <f>192.02652659248*Deflactores!$A$5</f>
        <v>716.62678498847106</v>
      </c>
      <c r="E152" s="56">
        <f>137.36840630174*Deflactores!$B$5</f>
        <v>476.22421868060707</v>
      </c>
      <c r="F152" s="56">
        <f>195.77395155376*Deflactores!$C$5</f>
        <v>634.34988720710032</v>
      </c>
      <c r="G152" s="56">
        <f>248.69832938027*Deflactores!$D$5</f>
        <v>756.71518199577997</v>
      </c>
      <c r="H152" s="56">
        <f>140.18903939502*Deflactores!$E$5</f>
        <v>404.32779754427202</v>
      </c>
      <c r="I152" s="56">
        <f>197.79053511684*Deflactores!$F$5</f>
        <v>544.04549188003</v>
      </c>
      <c r="J152" s="56">
        <f>488.57744069018*Deflactores!$G$5</f>
        <v>1286.2887907044308</v>
      </c>
      <c r="K152" s="56">
        <f>348.74295873237*Deflactores!$H$5</f>
        <v>868.67694089056715</v>
      </c>
      <c r="L152" s="56">
        <f>358.18401216258*Deflactores!$I$5</f>
        <v>828.60337401978097</v>
      </c>
      <c r="M152" s="56">
        <f>405.5674403872*Deflactores!$J$5</f>
        <v>919.80488684208285</v>
      </c>
      <c r="N152" s="56">
        <f>716.80594695235*Deflactores!$K$5</f>
        <v>1575.7076920034408</v>
      </c>
      <c r="O152" s="56">
        <f>566.05885647627*Deflactores!$L$5</f>
        <v>1199.6239998386143</v>
      </c>
      <c r="P152" s="56">
        <f>430.75762411473*Deflactores!$M$5</f>
        <v>891.14209533065355</v>
      </c>
      <c r="Q152" s="56">
        <f>562.420477975779*Deflactores!$N$5</f>
        <v>1141.380588298048</v>
      </c>
      <c r="R152" s="56">
        <f>1113.655092891*Deflactores!$O$5</f>
        <v>2180.2628759331069</v>
      </c>
      <c r="S152" s="56">
        <f>874.6914127896*Deflactores!$P$5</f>
        <v>1603.8500892946606</v>
      </c>
      <c r="T152" s="56">
        <f>760.94535648053*Deflactores!$Q$5</f>
        <v>1319.416785686735</v>
      </c>
      <c r="U152" s="56">
        <f>807.10471710354*Deflactores!$R$5</f>
        <v>1344.4647209152629</v>
      </c>
      <c r="V152" s="56">
        <f>1828.22310654451*Deflactores!$S$5</f>
        <v>2951.5707322884364</v>
      </c>
    </row>
    <row r="153" spans="3:22" x14ac:dyDescent="0.2">
      <c r="C153" s="88" t="s">
        <v>146</v>
      </c>
      <c r="D153" s="57">
        <f>196.049552837769*Deflactores!$A$5</f>
        <v>731.64037928320113</v>
      </c>
      <c r="E153" s="57">
        <f>204.960167644259*Deflactores!$B$5</f>
        <v>710.54908712147676</v>
      </c>
      <c r="F153" s="57">
        <f>218.07147137988*Deflactores!$C$5</f>
        <v>706.5986673662585</v>
      </c>
      <c r="G153" s="57">
        <f>215.63209498771*Deflactores!$D$5</f>
        <v>656.10444754238563</v>
      </c>
      <c r="H153" s="57">
        <f>214.077307106179*Deflactores!$E$5</f>
        <v>617.43347739584351</v>
      </c>
      <c r="I153" s="57">
        <f>260.30375181534*Deflactores!$F$5</f>
        <v>715.99524522716411</v>
      </c>
      <c r="J153" s="57">
        <f>263.82688732488*Deflactores!$G$5</f>
        <v>694.58296595325135</v>
      </c>
      <c r="K153" s="57">
        <f>258.008478367*Deflactores!$H$5</f>
        <v>642.66821766478427</v>
      </c>
      <c r="L153" s="57">
        <f>261.26213558305*Deflactores!$I$5</f>
        <v>604.38958662807943</v>
      </c>
      <c r="M153" s="57">
        <f>282.82748017945*Deflactores!$J$5</f>
        <v>641.43733568435835</v>
      </c>
      <c r="N153" s="57">
        <f>323.633596266339*Deflactores!$K$5</f>
        <v>711.4225951888003</v>
      </c>
      <c r="O153" s="57">
        <f>363.872147386069*Deflactores!$L$5</f>
        <v>771.13847064318657</v>
      </c>
      <c r="P153" s="57">
        <f>614.287405262531*Deflactores!$M$5</f>
        <v>1270.8245537984501</v>
      </c>
      <c r="Q153" s="57">
        <f>626.525966339973*Deflactores!$N$5</f>
        <v>1271.4767759148306</v>
      </c>
      <c r="R153" s="57">
        <f>651.573536093203*Deflactores!$O$5</f>
        <v>1275.6207920682614</v>
      </c>
      <c r="S153" s="57">
        <f>829.516767098511*Deflactores!$P$5</f>
        <v>1521.0170370134717</v>
      </c>
      <c r="T153" s="57">
        <f>999.077908925505*Deflactores!$Q$5</f>
        <v>1732.3190844372314</v>
      </c>
      <c r="U153" s="57">
        <f>929.258057631787*Deflactores!$R$5</f>
        <v>1547.9461941391496</v>
      </c>
      <c r="V153" s="57">
        <f>830.56812368518*Deflactores!$S$5</f>
        <v>1340.9088618699261</v>
      </c>
    </row>
    <row r="154" spans="3:22" x14ac:dyDescent="0.2">
      <c r="C154" s="90" t="s">
        <v>147</v>
      </c>
      <c r="D154" s="58">
        <f>5088.77608936451*Deflactores!$A$5</f>
        <v>18990.882734585193</v>
      </c>
      <c r="E154" s="58">
        <f>6536.30082854015*Deflactores!$B$5</f>
        <v>22659.830152615734</v>
      </c>
      <c r="F154" s="58">
        <f>7567.74779513991*Deflactores!$C$5</f>
        <v>24521.137373786558</v>
      </c>
      <c r="G154" s="58">
        <f>8360.49616885159*Deflactores!$D$5</f>
        <v>25438.507752555313</v>
      </c>
      <c r="H154" s="58">
        <f>10533.5461936662*Deflactores!$E$5</f>
        <v>30380.445940677437</v>
      </c>
      <c r="I154" s="58">
        <f>13709.2240766075*Deflactores!$F$5</f>
        <v>37708.789005730643</v>
      </c>
      <c r="J154" s="58">
        <f>15573.685462259*Deflactores!$G$5</f>
        <v>41001.191155617213</v>
      </c>
      <c r="K154" s="58">
        <f>17544.9516148442*Deflactores!$H$5</f>
        <v>43702.373095228402</v>
      </c>
      <c r="L154" s="58">
        <f>19628.749500022*Deflactores!$I$5</f>
        <v>45408.079398376023</v>
      </c>
      <c r="M154" s="58">
        <f>22283.8045928084*Deflactores!$J$5</f>
        <v>50538.456297997502</v>
      </c>
      <c r="N154" s="58">
        <f>23598.9016248897*Deflactores!$K$5</f>
        <v>51875.923980919593</v>
      </c>
      <c r="O154" s="58">
        <f>25578.194851457*Deflactores!$L$5</f>
        <v>54206.759712879117</v>
      </c>
      <c r="P154" s="58">
        <f>28743.2088375963*Deflactores!$M$5</f>
        <v>59463.331386654449</v>
      </c>
      <c r="Q154" s="58">
        <f>30286.0584574033*Deflactores!$N$5</f>
        <v>61462.767756526708</v>
      </c>
      <c r="R154" s="58">
        <f>34699.0312922923*Deflactores!$O$5</f>
        <v>67932.172393729328</v>
      </c>
      <c r="S154" s="58">
        <f>32666.9133856316*Deflactores!$P$5</f>
        <v>59898.646750667096</v>
      </c>
      <c r="T154" s="58">
        <f>34558.0532878842*Deflactores!$Q$5</f>
        <v>59920.827691991748</v>
      </c>
      <c r="U154" s="58">
        <f>37589.097066358*Deflactores!$R$5</f>
        <v>62615.437409585276</v>
      </c>
      <c r="V154" s="58">
        <f>46032.521071481*Deflactores!$S$5</f>
        <v>74317.101365618364</v>
      </c>
    </row>
    <row r="155" spans="3:22" ht="22.5" customHeight="1" x14ac:dyDescent="0.2">
      <c r="C155" s="89" t="s">
        <v>148</v>
      </c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>
        <f>0.150079299*Deflactores!$R$5</f>
        <v>0.25000017788188478</v>
      </c>
      <c r="V155" s="59">
        <f>120.549378302679*Deflactores!$S$5</f>
        <v>194.62067595582675</v>
      </c>
    </row>
    <row r="156" spans="3:22" x14ac:dyDescent="0.2">
      <c r="C156" s="87" t="s">
        <v>149</v>
      </c>
      <c r="D156" s="56">
        <f>193.72590013149*Deflactores!$A$5</f>
        <v>722.96870356277134</v>
      </c>
      <c r="E156" s="56">
        <f>165.92532885036*Deflactores!$B$5</f>
        <v>575.2244072593902</v>
      </c>
      <c r="F156" s="56">
        <f>126.25443722471*Deflactores!$C$5</f>
        <v>409.09164563140536</v>
      </c>
      <c r="G156" s="56">
        <f>128.69265170294*Deflactores!$D$5</f>
        <v>391.57353247036133</v>
      </c>
      <c r="H156" s="56">
        <f>213.09342868988*Deflactores!$E$5</f>
        <v>614.59581337567295</v>
      </c>
      <c r="I156" s="56">
        <f>92.7405091295799*Deflactores!$F$5</f>
        <v>255.09337884546193</v>
      </c>
      <c r="J156" s="56">
        <f>288.43018744068*Deflactores!$G$5</f>
        <v>759.35662621186884</v>
      </c>
      <c r="K156" s="56">
        <f>426.448556872529*Deflactores!$H$5</f>
        <v>1062.2322789763068</v>
      </c>
      <c r="L156" s="56">
        <f>568.01791331091*Deflactores!$I$5</f>
        <v>1314.0216857570454</v>
      </c>
      <c r="M156" s="56">
        <f>778.56636299345*Deflactores!$J$5</f>
        <v>1765.7461474928689</v>
      </c>
      <c r="N156" s="56">
        <f>982.521467105629*Deflactores!$K$5</f>
        <v>2159.812763634563</v>
      </c>
      <c r="O156" s="56">
        <f>1113.06499947614*Deflactores!$L$5</f>
        <v>2358.8704098085391</v>
      </c>
      <c r="P156" s="56">
        <f>1405.91427049001*Deflactores!$M$5</f>
        <v>2908.525162925589</v>
      </c>
      <c r="Q156" s="56">
        <f>1310.15775512983*Deflactores!$N$5</f>
        <v>2658.8445618044075</v>
      </c>
      <c r="R156" s="56">
        <f>1857.7605078794*Deflactores!$O$5</f>
        <v>3637.0383375964379</v>
      </c>
      <c r="S156" s="56">
        <f>1462.35950592694*Deflactores!$P$5</f>
        <v>2681.4089973534324</v>
      </c>
      <c r="T156" s="56">
        <f>1225.61434392147*Deflactores!$Q$5</f>
        <v>2125.1146674022689</v>
      </c>
      <c r="U156" s="56">
        <f>1210.95342313564*Deflactores!$R$5</f>
        <v>2017.190733217559</v>
      </c>
      <c r="V156" s="56">
        <f>1228.3227458125*Deflactores!$S$5</f>
        <v>1983.0629278046911</v>
      </c>
    </row>
    <row r="157" spans="3:22" x14ac:dyDescent="0.2">
      <c r="C157" s="88" t="s">
        <v>150</v>
      </c>
      <c r="D157" s="57">
        <f>956.338729953339*Deflactores!$A$5</f>
        <v>3568.9753992210035</v>
      </c>
      <c r="E157" s="57">
        <f>1428.8533283859*Deflactores!$B$5</f>
        <v>4953.5011596850782</v>
      </c>
      <c r="F157" s="57">
        <f>1032.25549950833*Deflactores!$C$5</f>
        <v>3344.7307697735537</v>
      </c>
      <c r="G157" s="57">
        <f>907.808277873939*Deflactores!$D$5</f>
        <v>2762.1910767171862</v>
      </c>
      <c r="H157" s="57">
        <f>1063.66923699627*Deflactores!$E$5</f>
        <v>3067.7936147237469</v>
      </c>
      <c r="I157" s="57">
        <f>1375.50602361113*Deflactores!$F$5</f>
        <v>3783.4866605593579</v>
      </c>
      <c r="J157" s="57">
        <f>1778.33633401168*Deflactores!$G$5</f>
        <v>4681.8659684947879</v>
      </c>
      <c r="K157" s="57">
        <f>2801.14311823266*Deflactores!$H$5</f>
        <v>6977.3120116536866</v>
      </c>
      <c r="L157" s="57">
        <f>2293.22794479697*Deflactores!$I$5</f>
        <v>5305.0285549672317</v>
      </c>
      <c r="M157" s="57">
        <f>3411.36140080721*Deflactores!$J$5</f>
        <v>7736.782036179341</v>
      </c>
      <c r="N157" s="57">
        <f>3264.49993159593*Deflactores!$K$5</f>
        <v>7176.1369651448431</v>
      </c>
      <c r="O157" s="57">
        <f>4404.72476050962*Deflactores!$L$5</f>
        <v>9334.7422709430666</v>
      </c>
      <c r="P157" s="57">
        <f>7164.91891855625*Deflactores!$M$5</f>
        <v>14822.629944341637</v>
      </c>
      <c r="Q157" s="57">
        <f>7867.84869426477*Deflactores!$N$5</f>
        <v>15967.07467626506</v>
      </c>
      <c r="R157" s="57">
        <f>6824.42851459451*Deflactores!$O$5</f>
        <v>13360.553222276714</v>
      </c>
      <c r="S157" s="57">
        <f>6207.85849427525*Deflactores!$P$5</f>
        <v>11382.84228562208</v>
      </c>
      <c r="T157" s="57">
        <f>5283.19402400072*Deflactores!$Q$5</f>
        <v>9160.624764893686</v>
      </c>
      <c r="U157" s="57">
        <f>4964.24522797003*Deflactores!$R$5</f>
        <v>8269.3762451662642</v>
      </c>
      <c r="V157" s="57">
        <f>4026.0019478934*Deflactores!$S$5</f>
        <v>6499.7698995273522</v>
      </c>
    </row>
    <row r="158" spans="3:22" x14ac:dyDescent="0.2">
      <c r="C158" s="87" t="s">
        <v>151</v>
      </c>
      <c r="D158" s="56">
        <f>141.46421762401*Deflactores!$A$5</f>
        <v>527.93251675039016</v>
      </c>
      <c r="E158" s="56">
        <f>57.401781247*Deflactores!$B$5</f>
        <v>198.9985846176439</v>
      </c>
      <c r="F158" s="56">
        <f>85.75221225956*Deflactores!$C$5</f>
        <v>277.85568888450251</v>
      </c>
      <c r="G158" s="56">
        <f>60.65770921996*Deflactores!$D$5</f>
        <v>184.56340091310068</v>
      </c>
      <c r="H158" s="56">
        <f>32.3949812499*Deflactores!$E$5</f>
        <v>93.432350180761347</v>
      </c>
      <c r="I158" s="56">
        <f>56.95167879717*Deflactores!$F$5</f>
        <v>156.65210717133957</v>
      </c>
      <c r="J158" s="56">
        <f>149.68032462916*Deflactores!$G$5</f>
        <v>394.06674914730371</v>
      </c>
      <c r="K158" s="56">
        <f>352.33168523716*Deflactores!$H$5</f>
        <v>877.6160287884428</v>
      </c>
      <c r="L158" s="56">
        <f>397.84936249448*Deflactores!$I$5</f>
        <v>920.36303386124439</v>
      </c>
      <c r="M158" s="56">
        <f>657.01831289666*Deflactores!$J$5</f>
        <v>1490.0817836119409</v>
      </c>
      <c r="N158" s="56">
        <f>315.11706956662*Deflactores!$K$5</f>
        <v>692.70127083741068</v>
      </c>
      <c r="O158" s="56">
        <f>960.24870659873*Deflactores!$L$5</f>
        <v>2035.013463830709</v>
      </c>
      <c r="P158" s="56">
        <f>3011.09604453374*Deflactores!$M$5</f>
        <v>6229.2906454813055</v>
      </c>
      <c r="Q158" s="56">
        <f>3478.03563047096*Deflactores!$N$5</f>
        <v>7058.3531529936163</v>
      </c>
      <c r="R158" s="56">
        <f>3668.24190724048*Deflactores!$O$5</f>
        <v>7181.5158044459804</v>
      </c>
      <c r="S158" s="56">
        <f>3805.94999877668*Deflactores!$P$5</f>
        <v>6978.6591661181674</v>
      </c>
      <c r="T158" s="56">
        <f>3173.94806763313*Deflactores!$Q$5</f>
        <v>5503.3654147021252</v>
      </c>
      <c r="U158" s="56">
        <f>3771.11273998334*Deflactores!$R$5</f>
        <v>6281.8713979232862</v>
      </c>
      <c r="V158" s="56">
        <f>2307.52601065269*Deflactores!$S$5</f>
        <v>3725.3802408775964</v>
      </c>
    </row>
    <row r="159" spans="3:22" x14ac:dyDescent="0.2">
      <c r="C159" s="79" t="s">
        <v>152</v>
      </c>
      <c r="D159" s="44">
        <f t="shared" ref="D159:V159" si="32">+SUM(D130:D158)</f>
        <v>112604.14312228264</v>
      </c>
      <c r="E159" s="44">
        <f t="shared" si="32"/>
        <v>123255.40174767592</v>
      </c>
      <c r="F159" s="44">
        <f t="shared" si="32"/>
        <v>119311.30592203472</v>
      </c>
      <c r="G159" s="44">
        <f t="shared" si="32"/>
        <v>118326.56526670957</v>
      </c>
      <c r="H159" s="44">
        <f t="shared" si="32"/>
        <v>137591.44866689897</v>
      </c>
      <c r="I159" s="44">
        <f t="shared" si="32"/>
        <v>150915.22133819779</v>
      </c>
      <c r="J159" s="44">
        <f t="shared" si="32"/>
        <v>154220.66438965729</v>
      </c>
      <c r="K159" s="44">
        <f t="shared" si="32"/>
        <v>176402.72168067307</v>
      </c>
      <c r="L159" s="44">
        <f t="shared" si="32"/>
        <v>187166.03087821856</v>
      </c>
      <c r="M159" s="44">
        <f t="shared" si="32"/>
        <v>216447.3898306647</v>
      </c>
      <c r="N159" s="44">
        <f t="shared" si="32"/>
        <v>213523.84638233474</v>
      </c>
      <c r="O159" s="44">
        <f t="shared" si="32"/>
        <v>230190.49926444242</v>
      </c>
      <c r="P159" s="44">
        <f t="shared" si="32"/>
        <v>250058.95778335561</v>
      </c>
      <c r="Q159" s="44">
        <f t="shared" si="32"/>
        <v>275680.31407113501</v>
      </c>
      <c r="R159" s="44">
        <f t="shared" si="32"/>
        <v>281035.50476963085</v>
      </c>
      <c r="S159" s="44">
        <f t="shared" si="32"/>
        <v>272863.73808013037</v>
      </c>
      <c r="T159" s="44">
        <f t="shared" si="32"/>
        <v>263452.03970626916</v>
      </c>
      <c r="U159" s="44">
        <f t="shared" si="32"/>
        <v>281151.88412348286</v>
      </c>
      <c r="V159" s="44">
        <f t="shared" si="32"/>
        <v>271175.55295787402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4" t="s">
        <v>157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x14ac:dyDescent="0.2">
      <c r="H165" s="67"/>
      <c r="I165" s="27"/>
      <c r="J165" s="27"/>
      <c r="L165" s="179"/>
      <c r="M165" s="160"/>
      <c r="N165" s="160"/>
      <c r="O165" s="160"/>
      <c r="P165" s="160"/>
      <c r="Q165" s="160"/>
      <c r="R165" s="28"/>
      <c r="S165" s="28"/>
      <c r="T165" s="28"/>
      <c r="U165" s="28"/>
      <c r="V165" s="28"/>
    </row>
    <row r="166" spans="2:22" ht="0.75" customHeight="1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1" t="s">
        <v>120</v>
      </c>
      <c r="D167" s="155">
        <v>2000</v>
      </c>
      <c r="E167" s="155">
        <v>2001</v>
      </c>
      <c r="F167" s="155">
        <v>2002</v>
      </c>
      <c r="G167" s="155">
        <v>2003</v>
      </c>
      <c r="H167" s="155">
        <v>2004</v>
      </c>
      <c r="I167" s="155">
        <v>2005</v>
      </c>
      <c r="J167" s="155">
        <v>2006</v>
      </c>
      <c r="K167" s="155">
        <v>2007</v>
      </c>
      <c r="L167" s="155">
        <v>2008</v>
      </c>
      <c r="M167" s="155">
        <v>2009</v>
      </c>
      <c r="N167" s="155">
        <v>2010</v>
      </c>
      <c r="O167" s="155">
        <v>2011</v>
      </c>
      <c r="P167" s="155">
        <v>2012</v>
      </c>
      <c r="Q167" s="155">
        <v>2013</v>
      </c>
      <c r="R167" s="155">
        <v>2014</v>
      </c>
      <c r="S167" s="155">
        <v>2015</v>
      </c>
      <c r="T167" s="155">
        <v>2016</v>
      </c>
      <c r="U167" s="155">
        <v>2017</v>
      </c>
      <c r="V167" s="155">
        <v>2018</v>
      </c>
    </row>
    <row r="168" spans="2:22" ht="12" customHeight="1" thickBot="1" x14ac:dyDescent="0.25">
      <c r="C168" s="162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</row>
    <row r="169" spans="2:22" x14ac:dyDescent="0.2">
      <c r="C169" s="87" t="s">
        <v>123</v>
      </c>
      <c r="D169" s="60">
        <f t="shared" ref="D169:V169" si="33">+IFERROR(IF(D130&gt;0,+((D130/D14)*100)," "),"")</f>
        <v>85.48556559336842</v>
      </c>
      <c r="E169" s="60">
        <f t="shared" si="33"/>
        <v>67.198731340609115</v>
      </c>
      <c r="F169" s="60">
        <f t="shared" si="33"/>
        <v>64.022527792647551</v>
      </c>
      <c r="G169" s="60">
        <f t="shared" si="33"/>
        <v>74.3902752761106</v>
      </c>
      <c r="H169" s="60">
        <f t="shared" si="33"/>
        <v>73.212707275588755</v>
      </c>
      <c r="I169" s="60">
        <f t="shared" si="33"/>
        <v>82.178018111330715</v>
      </c>
      <c r="J169" s="60">
        <f t="shared" si="33"/>
        <v>80.531764450618709</v>
      </c>
      <c r="K169" s="60">
        <f t="shared" si="33"/>
        <v>93.234710224201123</v>
      </c>
      <c r="L169" s="60">
        <f t="shared" si="33"/>
        <v>97.369570742029708</v>
      </c>
      <c r="M169" s="60">
        <f t="shared" si="33"/>
        <v>87.021741919566608</v>
      </c>
      <c r="N169" s="60">
        <f t="shared" si="33"/>
        <v>81.367737841336108</v>
      </c>
      <c r="O169" s="60">
        <f t="shared" si="33"/>
        <v>77.864715071001598</v>
      </c>
      <c r="P169" s="60">
        <f t="shared" si="33"/>
        <v>85.278328039357547</v>
      </c>
      <c r="Q169" s="60">
        <f t="shared" si="33"/>
        <v>87.82758851892298</v>
      </c>
      <c r="R169" s="60">
        <f t="shared" si="33"/>
        <v>91.317008911113646</v>
      </c>
      <c r="S169" s="60">
        <f t="shared" si="33"/>
        <v>87.849533834504712</v>
      </c>
      <c r="T169" s="60">
        <f t="shared" si="33"/>
        <v>80.780355565231886</v>
      </c>
      <c r="U169" s="60">
        <f t="shared" si="33"/>
        <v>91.81906745482749</v>
      </c>
      <c r="V169" s="60">
        <f t="shared" si="33"/>
        <v>60.407586823639328</v>
      </c>
    </row>
    <row r="170" spans="2:22" x14ac:dyDescent="0.2">
      <c r="C170" s="88" t="s">
        <v>124</v>
      </c>
      <c r="D170" s="62">
        <f t="shared" ref="D170:V170" si="34">+IFERROR(IF(D131&gt;0,+((D131/D15)*100)," "),"")</f>
        <v>73.495639443549351</v>
      </c>
      <c r="E170" s="62">
        <f t="shared" si="34"/>
        <v>75.355771842815585</v>
      </c>
      <c r="F170" s="62">
        <f t="shared" si="34"/>
        <v>72.944433005649898</v>
      </c>
      <c r="G170" s="62">
        <f t="shared" si="34"/>
        <v>71.565844032814113</v>
      </c>
      <c r="H170" s="62">
        <f t="shared" si="34"/>
        <v>44.719913687670264</v>
      </c>
      <c r="I170" s="62">
        <f t="shared" si="34"/>
        <v>57.891332750207525</v>
      </c>
      <c r="J170" s="62">
        <f t="shared" si="34"/>
        <v>54.514651290934637</v>
      </c>
      <c r="K170" s="62">
        <f t="shared" si="34"/>
        <v>93.360495416862477</v>
      </c>
      <c r="L170" s="62">
        <f t="shared" si="34"/>
        <v>97.260826156597673</v>
      </c>
      <c r="M170" s="62">
        <f t="shared" si="34"/>
        <v>93.841934333669599</v>
      </c>
      <c r="N170" s="62">
        <f t="shared" si="34"/>
        <v>92.990023340974929</v>
      </c>
      <c r="O170" s="62">
        <f t="shared" si="34"/>
        <v>95.348476934121976</v>
      </c>
      <c r="P170" s="62">
        <f t="shared" si="34"/>
        <v>81.420484661537657</v>
      </c>
      <c r="Q170" s="62">
        <f t="shared" si="34"/>
        <v>71.345782507830009</v>
      </c>
      <c r="R170" s="62">
        <f t="shared" si="34"/>
        <v>75.512830541007503</v>
      </c>
      <c r="S170" s="62">
        <f t="shared" si="34"/>
        <v>68.526638220723981</v>
      </c>
      <c r="T170" s="62">
        <f t="shared" si="34"/>
        <v>73.152127381935017</v>
      </c>
      <c r="U170" s="62">
        <f t="shared" si="34"/>
        <v>76.3248965916695</v>
      </c>
      <c r="V170" s="62">
        <f t="shared" si="34"/>
        <v>77.726980379740326</v>
      </c>
    </row>
    <row r="171" spans="2:22" x14ac:dyDescent="0.2">
      <c r="C171" s="87" t="s">
        <v>125</v>
      </c>
      <c r="D171" s="60">
        <f t="shared" ref="D171:V171" si="35">+IFERROR(IF(D132&gt;0,+((D132/D16)*100)," "),"")</f>
        <v>66.15653595535953</v>
      </c>
      <c r="E171" s="60">
        <f t="shared" si="35"/>
        <v>51.967734163153523</v>
      </c>
      <c r="F171" s="60">
        <f t="shared" si="35"/>
        <v>34.234644661719003</v>
      </c>
      <c r="G171" s="60">
        <f t="shared" si="35"/>
        <v>24.513710702207771</v>
      </c>
      <c r="H171" s="60">
        <f t="shared" si="35"/>
        <v>44.584197100288229</v>
      </c>
      <c r="I171" s="60">
        <f t="shared" si="35"/>
        <v>43.73102977581042</v>
      </c>
      <c r="J171" s="60">
        <f t="shared" si="35"/>
        <v>34.136821742501958</v>
      </c>
      <c r="K171" s="60">
        <f t="shared" si="35"/>
        <v>82.894919769688386</v>
      </c>
      <c r="L171" s="60">
        <f t="shared" si="35"/>
        <v>90.435334575253236</v>
      </c>
      <c r="M171" s="60">
        <f t="shared" si="35"/>
        <v>77.316373307031611</v>
      </c>
      <c r="N171" s="60">
        <f t="shared" si="35"/>
        <v>93.912790733948555</v>
      </c>
      <c r="O171" s="60">
        <f t="shared" si="35"/>
        <v>95.041746313245213</v>
      </c>
      <c r="P171" s="60">
        <f t="shared" si="35"/>
        <v>90.923909656537987</v>
      </c>
      <c r="Q171" s="60">
        <f t="shared" si="35"/>
        <v>96.379613927901559</v>
      </c>
      <c r="R171" s="60">
        <f t="shared" si="35"/>
        <v>94.762164254867372</v>
      </c>
      <c r="S171" s="60">
        <f t="shared" si="35"/>
        <v>98.151049005517024</v>
      </c>
      <c r="T171" s="60">
        <f t="shared" si="35"/>
        <v>98.391747332416443</v>
      </c>
      <c r="U171" s="60">
        <f t="shared" si="35"/>
        <v>99.616140108691724</v>
      </c>
      <c r="V171" s="60">
        <f t="shared" si="35"/>
        <v>80.359304580074152</v>
      </c>
    </row>
    <row r="172" spans="2:22" x14ac:dyDescent="0.2">
      <c r="C172" s="88" t="s">
        <v>126</v>
      </c>
      <c r="D172" s="62">
        <f t="shared" ref="D172:V172" si="36">+IFERROR(IF(D133&gt;0,+((D133/D17)*100)," "),"")</f>
        <v>78.289474332284868</v>
      </c>
      <c r="E172" s="62">
        <f t="shared" si="36"/>
        <v>70.888874527271582</v>
      </c>
      <c r="F172" s="62">
        <f t="shared" si="36"/>
        <v>64.771926261852684</v>
      </c>
      <c r="G172" s="62">
        <f t="shared" si="36"/>
        <v>78.765793884887685</v>
      </c>
      <c r="H172" s="62">
        <f t="shared" si="36"/>
        <v>80.448194770659384</v>
      </c>
      <c r="I172" s="62">
        <f t="shared" si="36"/>
        <v>80.797504790849729</v>
      </c>
      <c r="J172" s="62">
        <f t="shared" si="36"/>
        <v>86.329623210683309</v>
      </c>
      <c r="K172" s="62">
        <f t="shared" si="36"/>
        <v>90.028187781566444</v>
      </c>
      <c r="L172" s="62">
        <f t="shared" si="36"/>
        <v>91.397529849595585</v>
      </c>
      <c r="M172" s="62">
        <f t="shared" si="36"/>
        <v>91.792844610080067</v>
      </c>
      <c r="N172" s="62">
        <f t="shared" si="36"/>
        <v>90.623051758515913</v>
      </c>
      <c r="O172" s="62">
        <f t="shared" si="36"/>
        <v>89.455151231831891</v>
      </c>
      <c r="P172" s="62">
        <f t="shared" si="36"/>
        <v>93.621298270811266</v>
      </c>
      <c r="Q172" s="62">
        <f t="shared" si="36"/>
        <v>94.18721577978819</v>
      </c>
      <c r="R172" s="62">
        <f t="shared" si="36"/>
        <v>92.24554331617145</v>
      </c>
      <c r="S172" s="62">
        <f t="shared" si="36"/>
        <v>95.32459630969629</v>
      </c>
      <c r="T172" s="62">
        <f t="shared" si="36"/>
        <v>96.801432339779666</v>
      </c>
      <c r="U172" s="62">
        <f t="shared" si="36"/>
        <v>97.56252186825256</v>
      </c>
      <c r="V172" s="62">
        <f t="shared" si="36"/>
        <v>87.861732018180959</v>
      </c>
    </row>
    <row r="173" spans="2:22" x14ac:dyDescent="0.2">
      <c r="C173" s="87" t="s">
        <v>127</v>
      </c>
      <c r="D173" s="60">
        <f t="shared" ref="D173:V173" si="37">+IFERROR(IF(D134&gt;0,+((D134/D18)*100)," "),"")</f>
        <v>86.625023337689768</v>
      </c>
      <c r="E173" s="60">
        <f t="shared" si="37"/>
        <v>81.078374192575382</v>
      </c>
      <c r="F173" s="60">
        <f t="shared" si="37"/>
        <v>93.680007525364545</v>
      </c>
      <c r="G173" s="60">
        <f t="shared" si="37"/>
        <v>91.303240186385878</v>
      </c>
      <c r="H173" s="60">
        <f t="shared" si="37"/>
        <v>93.497565104521968</v>
      </c>
      <c r="I173" s="60">
        <f t="shared" si="37"/>
        <v>93.773634793614264</v>
      </c>
      <c r="J173" s="60">
        <f t="shared" si="37"/>
        <v>93.859918648426785</v>
      </c>
      <c r="K173" s="60">
        <f t="shared" si="37"/>
        <v>97.100852780428781</v>
      </c>
      <c r="L173" s="60">
        <f t="shared" si="37"/>
        <v>94.597994838217474</v>
      </c>
      <c r="M173" s="60">
        <f t="shared" si="37"/>
        <v>94.575461099225961</v>
      </c>
      <c r="N173" s="60">
        <f t="shared" si="37"/>
        <v>94.048409947523481</v>
      </c>
      <c r="O173" s="60">
        <f t="shared" si="37"/>
        <v>89.355637074634259</v>
      </c>
      <c r="P173" s="60">
        <f t="shared" si="37"/>
        <v>87.399118466244403</v>
      </c>
      <c r="Q173" s="60">
        <f t="shared" si="37"/>
        <v>90.465072174835484</v>
      </c>
      <c r="R173" s="60">
        <f t="shared" si="37"/>
        <v>95.408839041333309</v>
      </c>
      <c r="S173" s="60">
        <f t="shared" si="37"/>
        <v>97.687119133242263</v>
      </c>
      <c r="T173" s="60">
        <f t="shared" si="37"/>
        <v>96.870415888958235</v>
      </c>
      <c r="U173" s="60">
        <f t="shared" si="37"/>
        <v>98.184179198252835</v>
      </c>
      <c r="V173" s="60">
        <f t="shared" si="37"/>
        <v>92.269699098342457</v>
      </c>
    </row>
    <row r="174" spans="2:22" x14ac:dyDescent="0.2">
      <c r="C174" s="88" t="s">
        <v>128</v>
      </c>
      <c r="D174" s="62">
        <f t="shared" ref="D174:V174" si="38">+IFERROR(IF(D135&gt;0,+((D135/D19)*100)," "),"")</f>
        <v>75.11805845215153</v>
      </c>
      <c r="E174" s="62">
        <f t="shared" si="38"/>
        <v>82.653089817889423</v>
      </c>
      <c r="F174" s="62">
        <f t="shared" si="38"/>
        <v>74.585372011652595</v>
      </c>
      <c r="G174" s="62">
        <f t="shared" si="38"/>
        <v>85.548595294956513</v>
      </c>
      <c r="H174" s="62">
        <f t="shared" si="38"/>
        <v>79.741147097668545</v>
      </c>
      <c r="I174" s="62">
        <f t="shared" si="38"/>
        <v>83.898784440267789</v>
      </c>
      <c r="J174" s="62">
        <f t="shared" si="38"/>
        <v>84.615851441276064</v>
      </c>
      <c r="K174" s="62">
        <f t="shared" si="38"/>
        <v>86.763697681262514</v>
      </c>
      <c r="L174" s="62">
        <f t="shared" si="38"/>
        <v>90.324469986422557</v>
      </c>
      <c r="M174" s="62">
        <f t="shared" si="38"/>
        <v>83.635584489408345</v>
      </c>
      <c r="N174" s="62">
        <f t="shared" si="38"/>
        <v>87.987810080198798</v>
      </c>
      <c r="O174" s="62">
        <f t="shared" si="38"/>
        <v>89.636128443013973</v>
      </c>
      <c r="P174" s="62">
        <f t="shared" si="38"/>
        <v>94.074972542496781</v>
      </c>
      <c r="Q174" s="62">
        <f t="shared" si="38"/>
        <v>93.461351350135175</v>
      </c>
      <c r="R174" s="62">
        <f t="shared" si="38"/>
        <v>97.70763524810647</v>
      </c>
      <c r="S174" s="62">
        <f t="shared" si="38"/>
        <v>98.069213509139431</v>
      </c>
      <c r="T174" s="62">
        <f t="shared" si="38"/>
        <v>98.280744110073087</v>
      </c>
      <c r="U174" s="62">
        <f t="shared" si="38"/>
        <v>93.358935144710557</v>
      </c>
      <c r="V174" s="62">
        <f t="shared" si="38"/>
        <v>90.787070732686232</v>
      </c>
    </row>
    <row r="175" spans="2:22" x14ac:dyDescent="0.2">
      <c r="C175" s="87" t="s">
        <v>129</v>
      </c>
      <c r="D175" s="60">
        <f t="shared" ref="D175:V175" si="39">+IFERROR(IF(D136&gt;0,+((D136/D20)*100)," "),"")</f>
        <v>94.258406987307652</v>
      </c>
      <c r="E175" s="60">
        <f t="shared" si="39"/>
        <v>89.183907166697878</v>
      </c>
      <c r="F175" s="60">
        <f t="shared" si="39"/>
        <v>89.587478713707398</v>
      </c>
      <c r="G175" s="60">
        <f t="shared" si="39"/>
        <v>88.211195692519183</v>
      </c>
      <c r="H175" s="60">
        <f t="shared" si="39"/>
        <v>88.863327193706681</v>
      </c>
      <c r="I175" s="60">
        <f t="shared" si="39"/>
        <v>89.116731806972112</v>
      </c>
      <c r="J175" s="60">
        <f t="shared" si="39"/>
        <v>90.064860242581091</v>
      </c>
      <c r="K175" s="60">
        <f t="shared" si="39"/>
        <v>96.795563810018493</v>
      </c>
      <c r="L175" s="60">
        <f t="shared" si="39"/>
        <v>97.335802401911664</v>
      </c>
      <c r="M175" s="60">
        <f t="shared" si="39"/>
        <v>95.155285893327289</v>
      </c>
      <c r="N175" s="60">
        <f t="shared" si="39"/>
        <v>94.849377161664407</v>
      </c>
      <c r="O175" s="60">
        <f t="shared" si="39"/>
        <v>95.407116996827426</v>
      </c>
      <c r="P175" s="60">
        <f t="shared" si="39"/>
        <v>96.854560905027924</v>
      </c>
      <c r="Q175" s="60">
        <f t="shared" si="39"/>
        <v>96.862029986917221</v>
      </c>
      <c r="R175" s="60">
        <f t="shared" si="39"/>
        <v>96.676892649451233</v>
      </c>
      <c r="S175" s="60">
        <f t="shared" si="39"/>
        <v>96.927549760759206</v>
      </c>
      <c r="T175" s="60">
        <f t="shared" si="39"/>
        <v>98.236392414013082</v>
      </c>
      <c r="U175" s="60">
        <f t="shared" si="39"/>
        <v>98.645750724223902</v>
      </c>
      <c r="V175" s="60">
        <f t="shared" si="39"/>
        <v>95.433929835314785</v>
      </c>
    </row>
    <row r="176" spans="2:22" x14ac:dyDescent="0.2">
      <c r="C176" s="88" t="s">
        <v>130</v>
      </c>
      <c r="D176" s="62">
        <f t="shared" ref="D176:V176" si="40">+IFERROR(IF(D137&gt;0,+((D137/D21)*100)," "),"")</f>
        <v>86.449273964205602</v>
      </c>
      <c r="E176" s="62">
        <f t="shared" si="40"/>
        <v>66.940827861135745</v>
      </c>
      <c r="F176" s="62">
        <f t="shared" si="40"/>
        <v>65.051526243013242</v>
      </c>
      <c r="G176" s="62">
        <f t="shared" si="40"/>
        <v>64.14871350406564</v>
      </c>
      <c r="H176" s="62">
        <f t="shared" si="40"/>
        <v>81.819618567181479</v>
      </c>
      <c r="I176" s="62">
        <f t="shared" si="40"/>
        <v>87.326615823607838</v>
      </c>
      <c r="J176" s="62">
        <f t="shared" si="40"/>
        <v>91.865062333087394</v>
      </c>
      <c r="K176" s="62">
        <f t="shared" si="40"/>
        <v>90.587645656524899</v>
      </c>
      <c r="L176" s="62">
        <f t="shared" si="40"/>
        <v>92.683912241701023</v>
      </c>
      <c r="M176" s="62">
        <f t="shared" si="40"/>
        <v>82.284035019192856</v>
      </c>
      <c r="N176" s="62">
        <f t="shared" si="40"/>
        <v>87.709997244075822</v>
      </c>
      <c r="O176" s="62">
        <f t="shared" si="40"/>
        <v>84.446938240226189</v>
      </c>
      <c r="P176" s="62">
        <f t="shared" si="40"/>
        <v>84.695037183731401</v>
      </c>
      <c r="Q176" s="62">
        <f t="shared" si="40"/>
        <v>88.741413898721603</v>
      </c>
      <c r="R176" s="62">
        <f t="shared" si="40"/>
        <v>89.166834721737487</v>
      </c>
      <c r="S176" s="62">
        <f t="shared" si="40"/>
        <v>86.735096914790148</v>
      </c>
      <c r="T176" s="62">
        <f t="shared" si="40"/>
        <v>70.232272274788883</v>
      </c>
      <c r="U176" s="62">
        <f t="shared" si="40"/>
        <v>79.75376338516908</v>
      </c>
      <c r="V176" s="62">
        <f t="shared" si="40"/>
        <v>70.787316276504768</v>
      </c>
    </row>
    <row r="177" spans="3:22" x14ac:dyDescent="0.2">
      <c r="C177" s="87" t="s">
        <v>131</v>
      </c>
      <c r="D177" s="60">
        <f t="shared" ref="D177:V177" si="41">+IFERROR(IF(D138&gt;0,+((D138/D22)*100)," "),"")</f>
        <v>94.299448962052196</v>
      </c>
      <c r="E177" s="60">
        <f t="shared" si="41"/>
        <v>95.335743122697551</v>
      </c>
      <c r="F177" s="60">
        <f t="shared" si="41"/>
        <v>98.562862590908509</v>
      </c>
      <c r="G177" s="60">
        <f t="shared" si="41"/>
        <v>95.307603777491749</v>
      </c>
      <c r="H177" s="60">
        <f t="shared" si="41"/>
        <v>97.841766435273968</v>
      </c>
      <c r="I177" s="60">
        <f t="shared" si="41"/>
        <v>97.02064916932548</v>
      </c>
      <c r="J177" s="60">
        <f t="shared" si="41"/>
        <v>96.355013217226144</v>
      </c>
      <c r="K177" s="60">
        <f t="shared" si="41"/>
        <v>99.197442675913138</v>
      </c>
      <c r="L177" s="60">
        <f t="shared" si="41"/>
        <v>99.198900682452631</v>
      </c>
      <c r="M177" s="60">
        <f t="shared" si="41"/>
        <v>98.070445087217536</v>
      </c>
      <c r="N177" s="60">
        <f t="shared" si="41"/>
        <v>96.150541757426993</v>
      </c>
      <c r="O177" s="60">
        <f t="shared" si="41"/>
        <v>99.392485711811091</v>
      </c>
      <c r="P177" s="60">
        <f t="shared" si="41"/>
        <v>97.05503119387383</v>
      </c>
      <c r="Q177" s="60">
        <f t="shared" si="41"/>
        <v>99.395025529620156</v>
      </c>
      <c r="R177" s="60">
        <f t="shared" si="41"/>
        <v>99.669505995279522</v>
      </c>
      <c r="S177" s="60">
        <f t="shared" si="41"/>
        <v>99.741528819266136</v>
      </c>
      <c r="T177" s="60">
        <f t="shared" si="41"/>
        <v>99.032178205917077</v>
      </c>
      <c r="U177" s="60">
        <f t="shared" si="41"/>
        <v>99.788730757435644</v>
      </c>
      <c r="V177" s="60">
        <f t="shared" si="41"/>
        <v>99.13903424277018</v>
      </c>
    </row>
    <row r="178" spans="3:22" x14ac:dyDescent="0.2">
      <c r="C178" s="88" t="s">
        <v>132</v>
      </c>
      <c r="D178" s="62">
        <f t="shared" ref="D178:V178" si="42">+IFERROR(IF(D139&gt;0,+((D139/D23)*100)," "),"")</f>
        <v>88.179502979576966</v>
      </c>
      <c r="E178" s="62">
        <f t="shared" si="42"/>
        <v>78.183405478623698</v>
      </c>
      <c r="F178" s="62">
        <f t="shared" si="42"/>
        <v>79.989465981469223</v>
      </c>
      <c r="G178" s="62">
        <f t="shared" si="42"/>
        <v>85.964775942052967</v>
      </c>
      <c r="H178" s="62">
        <f t="shared" si="42"/>
        <v>76.628459178269409</v>
      </c>
      <c r="I178" s="62">
        <f t="shared" si="42"/>
        <v>76.40246618257224</v>
      </c>
      <c r="J178" s="62">
        <f t="shared" si="42"/>
        <v>72.031580598205039</v>
      </c>
      <c r="K178" s="62">
        <f t="shared" si="42"/>
        <v>50.013069999837569</v>
      </c>
      <c r="L178" s="62">
        <f t="shared" si="42"/>
        <v>60.956216148907203</v>
      </c>
      <c r="M178" s="62">
        <f t="shared" si="42"/>
        <v>58.79265198156142</v>
      </c>
      <c r="N178" s="62">
        <f t="shared" si="42"/>
        <v>64.945207222444708</v>
      </c>
      <c r="O178" s="62">
        <f t="shared" si="42"/>
        <v>61.655607388776637</v>
      </c>
      <c r="P178" s="62">
        <f t="shared" si="42"/>
        <v>70.824898389761742</v>
      </c>
      <c r="Q178" s="62">
        <f t="shared" si="42"/>
        <v>70.478703545136028</v>
      </c>
      <c r="R178" s="62">
        <f t="shared" si="42"/>
        <v>69.529744990509883</v>
      </c>
      <c r="S178" s="62">
        <f t="shared" si="42"/>
        <v>72.825281182344469</v>
      </c>
      <c r="T178" s="62">
        <f t="shared" si="42"/>
        <v>88.718745369393133</v>
      </c>
      <c r="U178" s="62">
        <f t="shared" si="42"/>
        <v>88.245500685796259</v>
      </c>
      <c r="V178" s="62">
        <f t="shared" si="42"/>
        <v>90.12513340595541</v>
      </c>
    </row>
    <row r="179" spans="3:22" x14ac:dyDescent="0.2">
      <c r="C179" s="87" t="s">
        <v>133</v>
      </c>
      <c r="D179" s="60">
        <f t="shared" ref="D179:V179" si="43">+IFERROR(IF(D140&gt;0,+((D140/D24)*100)," "),"")</f>
        <v>96.063889168711498</v>
      </c>
      <c r="E179" s="60">
        <f t="shared" si="43"/>
        <v>97.227968905941026</v>
      </c>
      <c r="F179" s="60">
        <f t="shared" si="43"/>
        <v>96.232992193482431</v>
      </c>
      <c r="G179" s="60">
        <f t="shared" si="43"/>
        <v>96.194075844485994</v>
      </c>
      <c r="H179" s="60">
        <f t="shared" si="43"/>
        <v>94.916521189324598</v>
      </c>
      <c r="I179" s="60">
        <f t="shared" si="43"/>
        <v>96.732163028995501</v>
      </c>
      <c r="J179" s="60">
        <f t="shared" si="43"/>
        <v>94.920425565891819</v>
      </c>
      <c r="K179" s="60">
        <f t="shared" si="43"/>
        <v>97.812851143453344</v>
      </c>
      <c r="L179" s="60">
        <f t="shared" si="43"/>
        <v>95.821977581656412</v>
      </c>
      <c r="M179" s="60">
        <f t="shared" si="43"/>
        <v>95.87742336840256</v>
      </c>
      <c r="N179" s="60">
        <f t="shared" si="43"/>
        <v>90.284741446901293</v>
      </c>
      <c r="O179" s="60">
        <f t="shared" si="43"/>
        <v>92.108540875482461</v>
      </c>
      <c r="P179" s="60">
        <f t="shared" si="43"/>
        <v>90.976573998812214</v>
      </c>
      <c r="Q179" s="60">
        <f t="shared" si="43"/>
        <v>93.872393848277682</v>
      </c>
      <c r="R179" s="60">
        <f t="shared" si="43"/>
        <v>90.215698966211818</v>
      </c>
      <c r="S179" s="60">
        <f t="shared" si="43"/>
        <v>89.745350985975293</v>
      </c>
      <c r="T179" s="60">
        <f t="shared" si="43"/>
        <v>94.846826911684659</v>
      </c>
      <c r="U179" s="60">
        <f t="shared" si="43"/>
        <v>98.562922020841185</v>
      </c>
      <c r="V179" s="60">
        <f t="shared" si="43"/>
        <v>91.948412206118078</v>
      </c>
    </row>
    <row r="180" spans="3:22" x14ac:dyDescent="0.2">
      <c r="C180" s="88" t="s">
        <v>134</v>
      </c>
      <c r="D180" s="62">
        <f t="shared" ref="D180:V180" si="44">+IFERROR(IF(D141&gt;0,+((D141/D25)*100)," "),"")</f>
        <v>88.454640233378129</v>
      </c>
      <c r="E180" s="62">
        <f t="shared" si="44"/>
        <v>89.447407539148656</v>
      </c>
      <c r="F180" s="62">
        <f t="shared" si="44"/>
        <v>79.506694961885373</v>
      </c>
      <c r="G180" s="62">
        <f t="shared" si="44"/>
        <v>85.564965059344004</v>
      </c>
      <c r="H180" s="62">
        <f t="shared" si="44"/>
        <v>79.657314931217329</v>
      </c>
      <c r="I180" s="62">
        <f t="shared" si="44"/>
        <v>83.279932203563305</v>
      </c>
      <c r="J180" s="62">
        <f t="shared" si="44"/>
        <v>84.472633477961367</v>
      </c>
      <c r="K180" s="62">
        <f t="shared" si="44"/>
        <v>82.955513501017563</v>
      </c>
      <c r="L180" s="62">
        <f t="shared" si="44"/>
        <v>79.194539049896889</v>
      </c>
      <c r="M180" s="62">
        <f t="shared" si="44"/>
        <v>73.947448779115504</v>
      </c>
      <c r="N180" s="62">
        <f t="shared" si="44"/>
        <v>78.35953032650896</v>
      </c>
      <c r="O180" s="62">
        <f t="shared" si="44"/>
        <v>95.383282639165373</v>
      </c>
      <c r="P180" s="62">
        <f t="shared" si="44"/>
        <v>91.972024566833696</v>
      </c>
      <c r="Q180" s="62">
        <f t="shared" si="44"/>
        <v>84.44110642585143</v>
      </c>
      <c r="R180" s="62">
        <f t="shared" si="44"/>
        <v>68.851578749281543</v>
      </c>
      <c r="S180" s="62">
        <f t="shared" si="44"/>
        <v>84.74943567151638</v>
      </c>
      <c r="T180" s="62">
        <f t="shared" si="44"/>
        <v>83.952818665347237</v>
      </c>
      <c r="U180" s="62">
        <f t="shared" si="44"/>
        <v>90.214320359708694</v>
      </c>
      <c r="V180" s="62">
        <f t="shared" si="44"/>
        <v>82.5492763919151</v>
      </c>
    </row>
    <row r="181" spans="3:22" x14ac:dyDescent="0.2">
      <c r="C181" s="87" t="s">
        <v>135</v>
      </c>
      <c r="D181" s="60" t="str">
        <f t="shared" ref="D181:V181" si="45">+IFERROR(IF(D142&gt;0,+((D142/D26)*100),"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+IFERROR(IF(D143&gt;0,+((D143/D27)*100)," "),"")</f>
        <v>79.531551176930947</v>
      </c>
      <c r="E182" s="62">
        <f t="shared" si="46"/>
        <v>77.550268937967473</v>
      </c>
      <c r="F182" s="62">
        <f t="shared" si="46"/>
        <v>79.5083411115328</v>
      </c>
      <c r="G182" s="62">
        <f t="shared" si="46"/>
        <v>84.936466299634859</v>
      </c>
      <c r="H182" s="62">
        <f t="shared" si="46"/>
        <v>85.3414274128763</v>
      </c>
      <c r="I182" s="62">
        <f t="shared" si="46"/>
        <v>82.685454341619561</v>
      </c>
      <c r="J182" s="62">
        <f t="shared" si="46"/>
        <v>81.126583436461928</v>
      </c>
      <c r="K182" s="62">
        <f t="shared" si="46"/>
        <v>89.769698148379845</v>
      </c>
      <c r="L182" s="62">
        <f t="shared" si="46"/>
        <v>87.195546872527927</v>
      </c>
      <c r="M182" s="62">
        <f t="shared" si="46"/>
        <v>91.098279604274964</v>
      </c>
      <c r="N182" s="62">
        <f t="shared" si="46"/>
        <v>87.521763938527499</v>
      </c>
      <c r="O182" s="62">
        <f t="shared" si="46"/>
        <v>85.93295975091128</v>
      </c>
      <c r="P182" s="62">
        <f t="shared" si="46"/>
        <v>89.686623091957912</v>
      </c>
      <c r="Q182" s="62">
        <f t="shared" si="46"/>
        <v>90.831938310488042</v>
      </c>
      <c r="R182" s="62">
        <f t="shared" si="46"/>
        <v>91.804493138257698</v>
      </c>
      <c r="S182" s="62">
        <f t="shared" si="46"/>
        <v>94.547655690152311</v>
      </c>
      <c r="T182" s="62">
        <f t="shared" si="46"/>
        <v>88.254002178251355</v>
      </c>
      <c r="U182" s="62">
        <f t="shared" si="46"/>
        <v>96.287049541459652</v>
      </c>
      <c r="V182" s="62">
        <f t="shared" si="46"/>
        <v>91.975461382562585</v>
      </c>
    </row>
    <row r="183" spans="3:22" x14ac:dyDescent="0.2">
      <c r="C183" s="87" t="s">
        <v>137</v>
      </c>
      <c r="D183" s="60">
        <f t="shared" ref="D183:V183" si="47">+IFERROR(IF(D144&gt;0,+((D144/D28)*100)," "),"")</f>
        <v>70.194714920957423</v>
      </c>
      <c r="E183" s="60">
        <f t="shared" si="47"/>
        <v>80.243396890036635</v>
      </c>
      <c r="F183" s="60">
        <f t="shared" si="47"/>
        <v>72.959568570684681</v>
      </c>
      <c r="G183" s="60">
        <f t="shared" si="47"/>
        <v>74.618527018330809</v>
      </c>
      <c r="H183" s="60">
        <f t="shared" si="47"/>
        <v>71.682455195288796</v>
      </c>
      <c r="I183" s="60">
        <f t="shared" si="47"/>
        <v>69.129481370196757</v>
      </c>
      <c r="J183" s="60">
        <f t="shared" si="47"/>
        <v>84.957159518825179</v>
      </c>
      <c r="K183" s="60">
        <f t="shared" si="47"/>
        <v>87.997883188679012</v>
      </c>
      <c r="L183" s="60">
        <f t="shared" si="47"/>
        <v>87.9397301191064</v>
      </c>
      <c r="M183" s="60">
        <f t="shared" si="47"/>
        <v>83.841977409512396</v>
      </c>
      <c r="N183" s="60">
        <f t="shared" si="47"/>
        <v>76.311263853353609</v>
      </c>
      <c r="O183" s="60">
        <f t="shared" si="47"/>
        <v>86.106690273243231</v>
      </c>
      <c r="P183" s="60">
        <f t="shared" si="47"/>
        <v>83.605989017554506</v>
      </c>
      <c r="Q183" s="60">
        <f t="shared" si="47"/>
        <v>80.049632987116937</v>
      </c>
      <c r="R183" s="60">
        <f t="shared" si="47"/>
        <v>94.721858789193305</v>
      </c>
      <c r="S183" s="60">
        <f t="shared" si="47"/>
        <v>91.309464325473428</v>
      </c>
      <c r="T183" s="60">
        <f t="shared" si="47"/>
        <v>93.616938561597351</v>
      </c>
      <c r="U183" s="60">
        <f t="shared" si="47"/>
        <v>90.664322151411753</v>
      </c>
      <c r="V183" s="60">
        <f t="shared" si="47"/>
        <v>91.23847396254493</v>
      </c>
    </row>
    <row r="184" spans="3:22" x14ac:dyDescent="0.2">
      <c r="C184" s="88" t="s">
        <v>138</v>
      </c>
      <c r="D184" s="62">
        <f t="shared" ref="D184:V184" si="48">+IFERROR(IF(D145&gt;0,+((D145/D29)*100)," "),"")</f>
        <v>92.775055236001705</v>
      </c>
      <c r="E184" s="62">
        <f t="shared" si="48"/>
        <v>92.652171903624421</v>
      </c>
      <c r="F184" s="62">
        <f t="shared" si="48"/>
        <v>90.496684393370103</v>
      </c>
      <c r="G184" s="62">
        <f t="shared" si="48"/>
        <v>76.041417711315034</v>
      </c>
      <c r="H184" s="62">
        <f t="shared" si="48"/>
        <v>84.185407284789093</v>
      </c>
      <c r="I184" s="62">
        <f t="shared" si="48"/>
        <v>83.949889213732192</v>
      </c>
      <c r="J184" s="62">
        <f t="shared" si="48"/>
        <v>74.600791967656079</v>
      </c>
      <c r="K184" s="62">
        <f t="shared" si="48"/>
        <v>88.510849105425166</v>
      </c>
      <c r="L184" s="62">
        <f t="shared" si="48"/>
        <v>85.289701353473589</v>
      </c>
      <c r="M184" s="62">
        <f t="shared" si="48"/>
        <v>74.143000043738169</v>
      </c>
      <c r="N184" s="62">
        <f t="shared" si="48"/>
        <v>72.464801273087772</v>
      </c>
      <c r="O184" s="62">
        <f t="shared" si="48"/>
        <v>79.947647408587102</v>
      </c>
      <c r="P184" s="62">
        <f t="shared" si="48"/>
        <v>77.86453897589881</v>
      </c>
      <c r="Q184" s="62">
        <f t="shared" si="48"/>
        <v>78.250480453335598</v>
      </c>
      <c r="R184" s="62">
        <f t="shared" si="48"/>
        <v>83.623034849490438</v>
      </c>
      <c r="S184" s="62">
        <f t="shared" si="48"/>
        <v>94.592801949555977</v>
      </c>
      <c r="T184" s="62">
        <f t="shared" si="48"/>
        <v>97.020182299042133</v>
      </c>
      <c r="U184" s="62">
        <f t="shared" si="48"/>
        <v>97.109287093899582</v>
      </c>
      <c r="V184" s="62">
        <f t="shared" si="48"/>
        <v>95.857043525022846</v>
      </c>
    </row>
    <row r="185" spans="3:22" x14ac:dyDescent="0.2">
      <c r="C185" s="87" t="s">
        <v>139</v>
      </c>
      <c r="D185" s="60">
        <f t="shared" ref="D185:V185" si="49">+IFERROR(IF(D146&gt;0,+((D146/D30)*100)," "),"")</f>
        <v>90.037238177459315</v>
      </c>
      <c r="E185" s="60">
        <f t="shared" si="49"/>
        <v>78.999387633537282</v>
      </c>
      <c r="F185" s="60">
        <f t="shared" si="49"/>
        <v>80.633533642893468</v>
      </c>
      <c r="G185" s="60">
        <f t="shared" si="49"/>
        <v>84.904697148194487</v>
      </c>
      <c r="H185" s="60">
        <f t="shared" si="49"/>
        <v>79.374433346017085</v>
      </c>
      <c r="I185" s="60">
        <f t="shared" si="49"/>
        <v>89.818228214804549</v>
      </c>
      <c r="J185" s="60">
        <f t="shared" si="49"/>
        <v>80.3219876180233</v>
      </c>
      <c r="K185" s="60">
        <f t="shared" si="49"/>
        <v>80.229674247094991</v>
      </c>
      <c r="L185" s="60">
        <f t="shared" si="49"/>
        <v>87.418290606177493</v>
      </c>
      <c r="M185" s="60">
        <f t="shared" si="49"/>
        <v>84.34936901770817</v>
      </c>
      <c r="N185" s="60">
        <f t="shared" si="49"/>
        <v>84.345286481608966</v>
      </c>
      <c r="O185" s="60">
        <f t="shared" si="49"/>
        <v>94.958173336625251</v>
      </c>
      <c r="P185" s="60">
        <f t="shared" si="49"/>
        <v>83.949348798920482</v>
      </c>
      <c r="Q185" s="60">
        <f t="shared" si="49"/>
        <v>87.737617522712085</v>
      </c>
      <c r="R185" s="60">
        <f t="shared" si="49"/>
        <v>88.636728430979304</v>
      </c>
      <c r="S185" s="60">
        <f t="shared" si="49"/>
        <v>90.133234560464118</v>
      </c>
      <c r="T185" s="60">
        <f t="shared" si="49"/>
        <v>86.475694678173937</v>
      </c>
      <c r="U185" s="60">
        <f t="shared" si="49"/>
        <v>85.942539202694007</v>
      </c>
      <c r="V185" s="60">
        <f t="shared" si="49"/>
        <v>81.076075218785647</v>
      </c>
    </row>
    <row r="186" spans="3:22" x14ac:dyDescent="0.2">
      <c r="C186" s="88" t="s">
        <v>140</v>
      </c>
      <c r="D186" s="62">
        <f t="shared" ref="D186:V186" si="50">+IFERROR(IF(D147&gt;0,+((D147/D31)*100)," "),"")</f>
        <v>85.327139961690833</v>
      </c>
      <c r="E186" s="62">
        <f t="shared" si="50"/>
        <v>71.130026232293517</v>
      </c>
      <c r="F186" s="62">
        <f t="shared" si="50"/>
        <v>76.816301607224261</v>
      </c>
      <c r="G186" s="62">
        <f t="shared" si="50"/>
        <v>90.668717069575564</v>
      </c>
      <c r="H186" s="62">
        <f t="shared" si="50"/>
        <v>87.652497189616454</v>
      </c>
      <c r="I186" s="62">
        <f t="shared" si="50"/>
        <v>87.662955826603067</v>
      </c>
      <c r="J186" s="62">
        <f t="shared" si="50"/>
        <v>65.073963026244101</v>
      </c>
      <c r="K186" s="62">
        <f t="shared" si="50"/>
        <v>60.509106825192227</v>
      </c>
      <c r="L186" s="62">
        <f t="shared" si="50"/>
        <v>92.342457318184799</v>
      </c>
      <c r="M186" s="62">
        <f t="shared" si="50"/>
        <v>87.336859902542258</v>
      </c>
      <c r="N186" s="62">
        <f t="shared" si="50"/>
        <v>89.020752811985631</v>
      </c>
      <c r="O186" s="62">
        <f t="shared" si="50"/>
        <v>90.556011198007724</v>
      </c>
      <c r="P186" s="62">
        <f t="shared" si="50"/>
        <v>91.115161635941263</v>
      </c>
      <c r="Q186" s="62">
        <f t="shared" si="50"/>
        <v>90.74558410516407</v>
      </c>
      <c r="R186" s="62">
        <f t="shared" si="50"/>
        <v>93.993153103962129</v>
      </c>
      <c r="S186" s="62">
        <f t="shared" si="50"/>
        <v>94.085233999276511</v>
      </c>
      <c r="T186" s="62">
        <f t="shared" si="50"/>
        <v>90.437945240763668</v>
      </c>
      <c r="U186" s="62">
        <f t="shared" si="50"/>
        <v>91.044756453534333</v>
      </c>
      <c r="V186" s="62">
        <f t="shared" si="50"/>
        <v>91.399396831071286</v>
      </c>
    </row>
    <row r="187" spans="3:22" x14ac:dyDescent="0.2">
      <c r="C187" s="87" t="s">
        <v>141</v>
      </c>
      <c r="D187" s="60">
        <f t="shared" ref="D187:V187" si="51">+IFERROR(IF(D148&gt;0,+((D148/D32)*100)," "),"")</f>
        <v>92.366221893220626</v>
      </c>
      <c r="E187" s="60">
        <f t="shared" si="51"/>
        <v>89.767557104261812</v>
      </c>
      <c r="F187" s="60">
        <f t="shared" si="51"/>
        <v>89.160992903042029</v>
      </c>
      <c r="G187" s="60">
        <f t="shared" si="51"/>
        <v>88.584051777055379</v>
      </c>
      <c r="H187" s="60">
        <f t="shared" si="51"/>
        <v>81.333097129784917</v>
      </c>
      <c r="I187" s="60">
        <f t="shared" si="51"/>
        <v>86.561973697189941</v>
      </c>
      <c r="J187" s="60">
        <f t="shared" si="51"/>
        <v>89.766792976195987</v>
      </c>
      <c r="K187" s="60">
        <f t="shared" si="51"/>
        <v>91.361987665277695</v>
      </c>
      <c r="L187" s="60">
        <f t="shared" si="51"/>
        <v>90.070869355371173</v>
      </c>
      <c r="M187" s="60">
        <f t="shared" si="51"/>
        <v>89.351998406606398</v>
      </c>
      <c r="N187" s="60">
        <f t="shared" si="51"/>
        <v>85.584389731927715</v>
      </c>
      <c r="O187" s="60">
        <f t="shared" si="51"/>
        <v>87.604916669008759</v>
      </c>
      <c r="P187" s="60">
        <f t="shared" si="51"/>
        <v>86.348140900477887</v>
      </c>
      <c r="Q187" s="60">
        <f t="shared" si="51"/>
        <v>87.776248248979599</v>
      </c>
      <c r="R187" s="60">
        <f t="shared" si="51"/>
        <v>91.526369767747511</v>
      </c>
      <c r="S187" s="60">
        <f t="shared" si="51"/>
        <v>89.492396979570429</v>
      </c>
      <c r="T187" s="60">
        <f t="shared" si="51"/>
        <v>94.386446345504979</v>
      </c>
      <c r="U187" s="60">
        <f t="shared" si="51"/>
        <v>93.116913117376157</v>
      </c>
      <c r="V187" s="60">
        <f t="shared" si="51"/>
        <v>92.359061175128616</v>
      </c>
    </row>
    <row r="188" spans="3:22" x14ac:dyDescent="0.2">
      <c r="C188" s="88" t="s">
        <v>142</v>
      </c>
      <c r="D188" s="62">
        <f t="shared" ref="D188:V188" si="52">+IFERROR(IF(D149&gt;0,+((D149/D33)*100)," "),"")</f>
        <v>21.542747872945885</v>
      </c>
      <c r="E188" s="62">
        <f t="shared" si="52"/>
        <v>26.562514867370258</v>
      </c>
      <c r="F188" s="62">
        <f t="shared" si="52"/>
        <v>13.245301161469628</v>
      </c>
      <c r="G188" s="62">
        <f t="shared" si="52"/>
        <v>25.433587690496605</v>
      </c>
      <c r="H188" s="62">
        <f t="shared" si="52"/>
        <v>64.691429724476436</v>
      </c>
      <c r="I188" s="62">
        <f t="shared" si="52"/>
        <v>29.342528937154906</v>
      </c>
      <c r="J188" s="62">
        <f t="shared" si="52"/>
        <v>31.191210612931425</v>
      </c>
      <c r="K188" s="62">
        <f t="shared" si="52"/>
        <v>64.830476727790142</v>
      </c>
      <c r="L188" s="62">
        <f t="shared" si="52"/>
        <v>41.806719167303442</v>
      </c>
      <c r="M188" s="62">
        <f t="shared" si="52"/>
        <v>37.935288326807729</v>
      </c>
      <c r="N188" s="62">
        <f t="shared" si="52"/>
        <v>50.700699370265454</v>
      </c>
      <c r="O188" s="62">
        <f t="shared" si="52"/>
        <v>42.426960475969388</v>
      </c>
      <c r="P188" s="62">
        <f t="shared" si="52"/>
        <v>53.831205064691531</v>
      </c>
      <c r="Q188" s="62">
        <f t="shared" si="52"/>
        <v>59.178128686854123</v>
      </c>
      <c r="R188" s="62">
        <f t="shared" si="52"/>
        <v>85.271809327186787</v>
      </c>
      <c r="S188" s="62">
        <f t="shared" si="52"/>
        <v>92.144274432633736</v>
      </c>
      <c r="T188" s="62">
        <f t="shared" si="52"/>
        <v>84.079980401237137</v>
      </c>
      <c r="U188" s="62">
        <f t="shared" si="52"/>
        <v>95.932858991599772</v>
      </c>
      <c r="V188" s="62">
        <f t="shared" si="52"/>
        <v>71.842190736535841</v>
      </c>
    </row>
    <row r="189" spans="3:22" x14ac:dyDescent="0.2">
      <c r="C189" s="87" t="s">
        <v>143</v>
      </c>
      <c r="D189" s="60">
        <f t="shared" ref="D189:V189" si="53">+IFERROR(IF(D150&gt;0,+((D150/D34)*100)," "),"")</f>
        <v>96.550728502552886</v>
      </c>
      <c r="E189" s="60">
        <f t="shared" si="53"/>
        <v>62.315863014269425</v>
      </c>
      <c r="F189" s="60">
        <f t="shared" si="53"/>
        <v>50.901138385407961</v>
      </c>
      <c r="G189" s="60">
        <f t="shared" si="53"/>
        <v>61.39939632776867</v>
      </c>
      <c r="H189" s="60">
        <f t="shared" si="53"/>
        <v>76.367760072997797</v>
      </c>
      <c r="I189" s="60">
        <f t="shared" si="53"/>
        <v>84.461942502292146</v>
      </c>
      <c r="J189" s="60">
        <f t="shared" si="53"/>
        <v>89.720244063133208</v>
      </c>
      <c r="K189" s="60">
        <f t="shared" si="53"/>
        <v>97.087836903666329</v>
      </c>
      <c r="L189" s="60">
        <f t="shared" si="53"/>
        <v>87.739209455947133</v>
      </c>
      <c r="M189" s="60">
        <f t="shared" si="53"/>
        <v>88.605758634861772</v>
      </c>
      <c r="N189" s="60">
        <f t="shared" si="53"/>
        <v>83.452218961004732</v>
      </c>
      <c r="O189" s="60">
        <f t="shared" si="53"/>
        <v>86.596965604806954</v>
      </c>
      <c r="P189" s="60">
        <f t="shared" si="53"/>
        <v>89.70591752686272</v>
      </c>
      <c r="Q189" s="60">
        <f t="shared" si="53"/>
        <v>90.734337302376616</v>
      </c>
      <c r="R189" s="60">
        <f t="shared" si="53"/>
        <v>92.455334548915573</v>
      </c>
      <c r="S189" s="60">
        <f t="shared" si="53"/>
        <v>95.392497672811729</v>
      </c>
      <c r="T189" s="60">
        <f t="shared" si="53"/>
        <v>89.629194835299558</v>
      </c>
      <c r="U189" s="60">
        <f t="shared" si="53"/>
        <v>61.875879706918255</v>
      </c>
      <c r="V189" s="60">
        <f t="shared" si="53"/>
        <v>37.587553979315871</v>
      </c>
    </row>
    <row r="190" spans="3:22" x14ac:dyDescent="0.2">
      <c r="C190" s="88" t="s">
        <v>144</v>
      </c>
      <c r="D190" s="62">
        <f t="shared" ref="D190:V190" si="54">+IFERROR(IF(D151&gt;0,+((D151/D35)*100)," "),"")</f>
        <v>98.025718527667891</v>
      </c>
      <c r="E190" s="62">
        <f t="shared" si="54"/>
        <v>95.825753907381113</v>
      </c>
      <c r="F190" s="62">
        <f t="shared" si="54"/>
        <v>91.764140355033419</v>
      </c>
      <c r="G190" s="62">
        <f t="shared" si="54"/>
        <v>95.666641163029567</v>
      </c>
      <c r="H190" s="62">
        <f t="shared" si="54"/>
        <v>83.284614400000777</v>
      </c>
      <c r="I190" s="62">
        <f t="shared" si="54"/>
        <v>94.678574173464042</v>
      </c>
      <c r="J190" s="62">
        <f t="shared" si="54"/>
        <v>93.777881908613452</v>
      </c>
      <c r="K190" s="62">
        <f t="shared" si="54"/>
        <v>96.681375498893814</v>
      </c>
      <c r="L190" s="62">
        <f t="shared" si="54"/>
        <v>96.1769027128706</v>
      </c>
      <c r="M190" s="62">
        <f t="shared" si="54"/>
        <v>96.087399261362606</v>
      </c>
      <c r="N190" s="62">
        <f t="shared" si="54"/>
        <v>92.12459989542451</v>
      </c>
      <c r="O190" s="62">
        <f t="shared" si="54"/>
        <v>87.476959795009577</v>
      </c>
      <c r="P190" s="62">
        <f t="shared" si="54"/>
        <v>91.718179377067187</v>
      </c>
      <c r="Q190" s="62">
        <f t="shared" si="54"/>
        <v>94.091316772484433</v>
      </c>
      <c r="R190" s="62">
        <f t="shared" si="54"/>
        <v>97.057572571417865</v>
      </c>
      <c r="S190" s="62">
        <f t="shared" si="54"/>
        <v>96.139369704847923</v>
      </c>
      <c r="T190" s="62">
        <f t="shared" si="54"/>
        <v>96.968895740616929</v>
      </c>
      <c r="U190" s="62">
        <f t="shared" si="54"/>
        <v>96.747309947691491</v>
      </c>
      <c r="V190" s="62">
        <f t="shared" si="54"/>
        <v>96.891308944059176</v>
      </c>
    </row>
    <row r="191" spans="3:22" x14ac:dyDescent="0.2">
      <c r="C191" s="87" t="s">
        <v>145</v>
      </c>
      <c r="D191" s="60">
        <f t="shared" ref="D191:V191" si="55">+IFERROR(IF(D152&gt;0,+((D152/D36)*100)," "),"")</f>
        <v>84.815364167527719</v>
      </c>
      <c r="E191" s="60">
        <f t="shared" si="55"/>
        <v>68.304421528448074</v>
      </c>
      <c r="F191" s="60">
        <f t="shared" si="55"/>
        <v>72.394075928300012</v>
      </c>
      <c r="G191" s="60">
        <f t="shared" si="55"/>
        <v>71.27282967534731</v>
      </c>
      <c r="H191" s="60">
        <f t="shared" si="55"/>
        <v>80.360448348786193</v>
      </c>
      <c r="I191" s="60">
        <f t="shared" si="55"/>
        <v>93.712171132202442</v>
      </c>
      <c r="J191" s="60">
        <f t="shared" si="55"/>
        <v>85.795917197134784</v>
      </c>
      <c r="K191" s="60">
        <f t="shared" si="55"/>
        <v>73.469605744687144</v>
      </c>
      <c r="L191" s="60">
        <f t="shared" si="55"/>
        <v>91.643559055074732</v>
      </c>
      <c r="M191" s="60">
        <f t="shared" si="55"/>
        <v>90.620192882845856</v>
      </c>
      <c r="N191" s="60">
        <f t="shared" si="55"/>
        <v>92.121868750127362</v>
      </c>
      <c r="O191" s="60">
        <f t="shared" si="55"/>
        <v>85.813630736513844</v>
      </c>
      <c r="P191" s="60">
        <f t="shared" si="55"/>
        <v>86.42158922771138</v>
      </c>
      <c r="Q191" s="60">
        <f t="shared" si="55"/>
        <v>85.816076869955864</v>
      </c>
      <c r="R191" s="60">
        <f t="shared" si="55"/>
        <v>93.000050591258372</v>
      </c>
      <c r="S191" s="60">
        <f t="shared" si="55"/>
        <v>90.787729442813898</v>
      </c>
      <c r="T191" s="60">
        <f t="shared" si="55"/>
        <v>93.684894947751701</v>
      </c>
      <c r="U191" s="60">
        <f t="shared" si="55"/>
        <v>94.596886046725288</v>
      </c>
      <c r="V191" s="60">
        <f t="shared" si="55"/>
        <v>95.693944952636571</v>
      </c>
    </row>
    <row r="192" spans="3:22" x14ac:dyDescent="0.2">
      <c r="C192" s="88" t="s">
        <v>146</v>
      </c>
      <c r="D192" s="62">
        <f t="shared" ref="D192:V192" si="56">+IFERROR(IF(D153&gt;0,+((D153/D37)*100)," "),"")</f>
        <v>93.086366449087166</v>
      </c>
      <c r="E192" s="62">
        <f t="shared" si="56"/>
        <v>91.775652358494568</v>
      </c>
      <c r="F192" s="62">
        <f t="shared" si="56"/>
        <v>90.588274143588137</v>
      </c>
      <c r="G192" s="62">
        <f t="shared" si="56"/>
        <v>96.155389542302103</v>
      </c>
      <c r="H192" s="62">
        <f t="shared" si="56"/>
        <v>88.030530052621231</v>
      </c>
      <c r="I192" s="62">
        <f t="shared" si="56"/>
        <v>86.155767506555179</v>
      </c>
      <c r="J192" s="62">
        <f t="shared" si="56"/>
        <v>86.812566027276077</v>
      </c>
      <c r="K192" s="62">
        <f t="shared" si="56"/>
        <v>84.559613138923709</v>
      </c>
      <c r="L192" s="62">
        <f t="shared" si="56"/>
        <v>88.520162924967678</v>
      </c>
      <c r="M192" s="62">
        <f t="shared" si="56"/>
        <v>92.900036447627215</v>
      </c>
      <c r="N192" s="62">
        <f t="shared" si="56"/>
        <v>84.579861480778064</v>
      </c>
      <c r="O192" s="62">
        <f t="shared" si="56"/>
        <v>95.753920465436053</v>
      </c>
      <c r="P192" s="62">
        <f t="shared" si="56"/>
        <v>95.940986628565852</v>
      </c>
      <c r="Q192" s="62">
        <f t="shared" si="56"/>
        <v>98.196744633056881</v>
      </c>
      <c r="R192" s="62">
        <f t="shared" si="56"/>
        <v>97.894561349837943</v>
      </c>
      <c r="S192" s="62">
        <f t="shared" si="56"/>
        <v>98.602787371375314</v>
      </c>
      <c r="T192" s="62">
        <f t="shared" si="56"/>
        <v>97.948505250994174</v>
      </c>
      <c r="U192" s="62">
        <f t="shared" si="56"/>
        <v>96.123437077041899</v>
      </c>
      <c r="V192" s="62">
        <f t="shared" si="56"/>
        <v>89.828389949732411</v>
      </c>
    </row>
    <row r="193" spans="3:22" x14ac:dyDescent="0.2">
      <c r="C193" s="90" t="s">
        <v>147</v>
      </c>
      <c r="D193" s="61">
        <f t="shared" ref="D193:V193" si="57">+IFERROR(IF(D154&gt;0,+((D154/D38)*100)," "),"")</f>
        <v>88.800594384910156</v>
      </c>
      <c r="E193" s="61">
        <f t="shared" si="57"/>
        <v>92.11487633339965</v>
      </c>
      <c r="F193" s="61">
        <f t="shared" si="57"/>
        <v>92.528611811276548</v>
      </c>
      <c r="G193" s="61">
        <f t="shared" si="57"/>
        <v>91.152789076550476</v>
      </c>
      <c r="H193" s="61">
        <f t="shared" si="57"/>
        <v>88.071086069571408</v>
      </c>
      <c r="I193" s="61">
        <f t="shared" si="57"/>
        <v>90.947391748341957</v>
      </c>
      <c r="J193" s="61">
        <f t="shared" si="57"/>
        <v>90.658960731159965</v>
      </c>
      <c r="K193" s="61">
        <f t="shared" si="57"/>
        <v>92.773161160154459</v>
      </c>
      <c r="L193" s="61">
        <f t="shared" si="57"/>
        <v>97.206602430708529</v>
      </c>
      <c r="M193" s="61">
        <f t="shared" si="57"/>
        <v>94.032341293464228</v>
      </c>
      <c r="N193" s="61">
        <f t="shared" si="57"/>
        <v>86.551305743012634</v>
      </c>
      <c r="O193" s="61">
        <f t="shared" si="57"/>
        <v>96.295776125896452</v>
      </c>
      <c r="P193" s="61">
        <f t="shared" si="57"/>
        <v>96.111250791374587</v>
      </c>
      <c r="Q193" s="61">
        <f t="shared" si="57"/>
        <v>97.484688074096141</v>
      </c>
      <c r="R193" s="61">
        <f t="shared" si="57"/>
        <v>94.259180184144256</v>
      </c>
      <c r="S193" s="61">
        <f t="shared" si="57"/>
        <v>89.16799951482966</v>
      </c>
      <c r="T193" s="61">
        <f t="shared" si="57"/>
        <v>90.684274165478357</v>
      </c>
      <c r="U193" s="61">
        <f t="shared" si="57"/>
        <v>92.602144525132204</v>
      </c>
      <c r="V193" s="61">
        <f t="shared" si="57"/>
        <v>90.731918136588831</v>
      </c>
    </row>
    <row r="194" spans="3:22" ht="22.5" customHeight="1" x14ac:dyDescent="0.2">
      <c r="C194" s="89" t="s">
        <v>148</v>
      </c>
      <c r="D194" s="63" t="str">
        <f t="shared" ref="D194:V194" si="58">+IFERROR(IF(D155&gt;0,+((D155/D39)*100),"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74.919441741776879</v>
      </c>
    </row>
    <row r="195" spans="3:22" x14ac:dyDescent="0.2">
      <c r="C195" s="87" t="s">
        <v>149</v>
      </c>
      <c r="D195" s="60">
        <f t="shared" ref="D195:V195" si="59">+IFERROR(IF(D156&gt;0,+((D156/D40)*100)," "),"")</f>
        <v>57.946506719513046</v>
      </c>
      <c r="E195" s="60">
        <f t="shared" si="59"/>
        <v>50.601830362485359</v>
      </c>
      <c r="F195" s="60">
        <f t="shared" si="59"/>
        <v>38.788750663330077</v>
      </c>
      <c r="G195" s="60">
        <f t="shared" si="59"/>
        <v>47.464382012348693</v>
      </c>
      <c r="H195" s="60">
        <f t="shared" si="59"/>
        <v>68.890171394424129</v>
      </c>
      <c r="I195" s="60">
        <f t="shared" si="59"/>
        <v>31.68997556033381</v>
      </c>
      <c r="J195" s="60">
        <f t="shared" si="59"/>
        <v>65.980992459583703</v>
      </c>
      <c r="K195" s="60">
        <f t="shared" si="59"/>
        <v>78.882078991180933</v>
      </c>
      <c r="L195" s="60">
        <f t="shared" si="59"/>
        <v>80.711181341368103</v>
      </c>
      <c r="M195" s="60">
        <f t="shared" si="59"/>
        <v>71.293141071324754</v>
      </c>
      <c r="N195" s="60">
        <f t="shared" si="59"/>
        <v>82.957490845088131</v>
      </c>
      <c r="O195" s="60">
        <f t="shared" si="59"/>
        <v>85.953929547952299</v>
      </c>
      <c r="P195" s="60">
        <f t="shared" si="59"/>
        <v>95.36090933723537</v>
      </c>
      <c r="Q195" s="60">
        <f t="shared" si="59"/>
        <v>86.377701703649976</v>
      </c>
      <c r="R195" s="60">
        <f t="shared" si="59"/>
        <v>91.047922129883034</v>
      </c>
      <c r="S195" s="60">
        <f t="shared" si="59"/>
        <v>89.442612707501553</v>
      </c>
      <c r="T195" s="60">
        <f t="shared" si="59"/>
        <v>96.171117040979865</v>
      </c>
      <c r="U195" s="60">
        <f t="shared" si="59"/>
        <v>90.667857623040859</v>
      </c>
      <c r="V195" s="60">
        <f t="shared" si="59"/>
        <v>88.720516074028524</v>
      </c>
    </row>
    <row r="196" spans="3:22" x14ac:dyDescent="0.2">
      <c r="C196" s="88" t="s">
        <v>150</v>
      </c>
      <c r="D196" s="62">
        <f t="shared" ref="D196:V196" si="60">+IFERROR(IF(D157&gt;0,+((D157/D41)*100)," "),"")</f>
        <v>75.146173780763021</v>
      </c>
      <c r="E196" s="62">
        <f t="shared" si="60"/>
        <v>75.817134766296263</v>
      </c>
      <c r="F196" s="62">
        <f t="shared" si="60"/>
        <v>50.962496406755463</v>
      </c>
      <c r="G196" s="62">
        <f t="shared" si="60"/>
        <v>73.101816747142479</v>
      </c>
      <c r="H196" s="62">
        <f t="shared" si="60"/>
        <v>69.328264686306483</v>
      </c>
      <c r="I196" s="62">
        <f t="shared" si="60"/>
        <v>75.104703650283398</v>
      </c>
      <c r="J196" s="62">
        <f t="shared" si="60"/>
        <v>60.130109740236449</v>
      </c>
      <c r="K196" s="62">
        <f t="shared" si="60"/>
        <v>86.112771029380411</v>
      </c>
      <c r="L196" s="62">
        <f t="shared" si="60"/>
        <v>85.3346522695483</v>
      </c>
      <c r="M196" s="62">
        <f t="shared" si="60"/>
        <v>85.281561317436328</v>
      </c>
      <c r="N196" s="62">
        <f t="shared" si="60"/>
        <v>75.157772566330578</v>
      </c>
      <c r="O196" s="62">
        <f t="shared" si="60"/>
        <v>81.433489037381804</v>
      </c>
      <c r="P196" s="62">
        <f t="shared" si="60"/>
        <v>85.924681380195651</v>
      </c>
      <c r="Q196" s="62">
        <f t="shared" si="60"/>
        <v>91.90968830128584</v>
      </c>
      <c r="R196" s="62">
        <f t="shared" si="60"/>
        <v>88.981079429512519</v>
      </c>
      <c r="S196" s="62">
        <f t="shared" si="60"/>
        <v>85.582227148910334</v>
      </c>
      <c r="T196" s="62">
        <f t="shared" si="60"/>
        <v>88.724024551310166</v>
      </c>
      <c r="U196" s="62">
        <f t="shared" si="60"/>
        <v>75.378324866078486</v>
      </c>
      <c r="V196" s="62">
        <f t="shared" si="60"/>
        <v>74.358984377868552</v>
      </c>
    </row>
    <row r="197" spans="3:22" x14ac:dyDescent="0.2">
      <c r="C197" s="87" t="s">
        <v>151</v>
      </c>
      <c r="D197" s="60">
        <f t="shared" ref="D197:V197" si="61">+IFERROR(IF(D158&gt;0,+((D158/D42)*100)," "),"")</f>
        <v>70.544390799355057</v>
      </c>
      <c r="E197" s="60">
        <f t="shared" si="61"/>
        <v>24.567331667500309</v>
      </c>
      <c r="F197" s="60">
        <f t="shared" si="61"/>
        <v>44.710842606184563</v>
      </c>
      <c r="G197" s="60">
        <f t="shared" si="61"/>
        <v>26.590552464241469</v>
      </c>
      <c r="H197" s="60">
        <f t="shared" si="61"/>
        <v>11.991879920800518</v>
      </c>
      <c r="I197" s="60">
        <f t="shared" si="61"/>
        <v>20.57740391711836</v>
      </c>
      <c r="J197" s="60">
        <f t="shared" si="61"/>
        <v>57.957680073449957</v>
      </c>
      <c r="K197" s="60">
        <f t="shared" si="61"/>
        <v>86.10303026741866</v>
      </c>
      <c r="L197" s="60">
        <f t="shared" si="61"/>
        <v>89.672546597489685</v>
      </c>
      <c r="M197" s="60">
        <f t="shared" si="61"/>
        <v>91.022979083180445</v>
      </c>
      <c r="N197" s="60">
        <f t="shared" si="61"/>
        <v>49.599082421096377</v>
      </c>
      <c r="O197" s="60">
        <f t="shared" si="61"/>
        <v>83.806185524648654</v>
      </c>
      <c r="P197" s="60">
        <f t="shared" si="61"/>
        <v>97.777633048253875</v>
      </c>
      <c r="Q197" s="60">
        <f t="shared" si="61"/>
        <v>96.706824110033068</v>
      </c>
      <c r="R197" s="60">
        <f t="shared" si="61"/>
        <v>98.638701165579391</v>
      </c>
      <c r="S197" s="60">
        <f t="shared" si="61"/>
        <v>97.854117710304052</v>
      </c>
      <c r="T197" s="60">
        <f t="shared" si="61"/>
        <v>97.840910081699562</v>
      </c>
      <c r="U197" s="60">
        <f t="shared" si="61"/>
        <v>98.017554742959149</v>
      </c>
      <c r="V197" s="60">
        <f t="shared" si="61"/>
        <v>60.639076562993743</v>
      </c>
    </row>
    <row r="198" spans="3:22" x14ac:dyDescent="0.2">
      <c r="C198" s="91" t="s">
        <v>154</v>
      </c>
      <c r="D198" s="74">
        <f t="shared" ref="D198:V198" si="62">+IFERROR(IF(D159&gt;0,+((D159/D43)*100)," "),"")</f>
        <v>88.621541537873611</v>
      </c>
      <c r="E198" s="74">
        <f t="shared" si="62"/>
        <v>85.983539138254201</v>
      </c>
      <c r="F198" s="74">
        <f t="shared" si="62"/>
        <v>84.080794576408906</v>
      </c>
      <c r="G198" s="74">
        <f t="shared" si="62"/>
        <v>87.580737555202901</v>
      </c>
      <c r="H198" s="74">
        <f t="shared" si="62"/>
        <v>87.024287605769615</v>
      </c>
      <c r="I198" s="74">
        <f t="shared" si="62"/>
        <v>88.612003386757095</v>
      </c>
      <c r="J198" s="74">
        <f t="shared" si="62"/>
        <v>87.439512265310057</v>
      </c>
      <c r="K198" s="74">
        <f t="shared" si="62"/>
        <v>90.958149355740787</v>
      </c>
      <c r="L198" s="74">
        <f t="shared" si="62"/>
        <v>93.635040534479501</v>
      </c>
      <c r="M198" s="74">
        <f t="shared" si="62"/>
        <v>90.883341954879199</v>
      </c>
      <c r="N198" s="74">
        <f t="shared" si="62"/>
        <v>88.409810864370414</v>
      </c>
      <c r="O198" s="74">
        <f t="shared" si="62"/>
        <v>93.535488524183236</v>
      </c>
      <c r="P198" s="74">
        <f t="shared" si="62"/>
        <v>93.548836347740632</v>
      </c>
      <c r="Q198" s="74">
        <f t="shared" si="62"/>
        <v>94.061084548495074</v>
      </c>
      <c r="R198" s="74">
        <f t="shared" si="62"/>
        <v>92.013866799579745</v>
      </c>
      <c r="S198" s="74">
        <f t="shared" si="62"/>
        <v>92.649444308002245</v>
      </c>
      <c r="T198" s="74">
        <f t="shared" si="62"/>
        <v>92.805020452637265</v>
      </c>
      <c r="U198" s="74">
        <f t="shared" si="62"/>
        <v>94.128058204542199</v>
      </c>
      <c r="V198" s="74">
        <f t="shared" si="62"/>
        <v>90.631728587282311</v>
      </c>
    </row>
    <row r="199" spans="3:22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customHeight="1" x14ac:dyDescent="0.2">
      <c r="D203" s="164" t="s">
        <v>158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81" t="s">
        <v>120</v>
      </c>
      <c r="D205" s="155">
        <v>2000</v>
      </c>
      <c r="E205" s="155">
        <v>2001</v>
      </c>
      <c r="F205" s="155">
        <v>2002</v>
      </c>
      <c r="G205" s="155">
        <v>2003</v>
      </c>
      <c r="H205" s="155">
        <v>2004</v>
      </c>
      <c r="I205" s="155">
        <v>2005</v>
      </c>
      <c r="J205" s="155">
        <v>2006</v>
      </c>
      <c r="K205" s="155">
        <v>2007</v>
      </c>
      <c r="L205" s="155">
        <v>2008</v>
      </c>
      <c r="M205" s="155">
        <v>2009</v>
      </c>
      <c r="N205" s="155">
        <v>2010</v>
      </c>
      <c r="O205" s="155">
        <v>2011</v>
      </c>
      <c r="P205" s="155">
        <v>2012</v>
      </c>
      <c r="Q205" s="155">
        <v>2013</v>
      </c>
      <c r="R205" s="155">
        <v>2014</v>
      </c>
      <c r="S205" s="155">
        <v>2015</v>
      </c>
      <c r="T205" s="155">
        <v>2016</v>
      </c>
      <c r="U205" s="155">
        <v>2017</v>
      </c>
      <c r="V205" s="155">
        <v>2018</v>
      </c>
    </row>
    <row r="206" spans="3:22" ht="12" customHeight="1" thickBot="1" x14ac:dyDescent="0.25">
      <c r="C206" s="162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</row>
    <row r="207" spans="3:22" x14ac:dyDescent="0.2">
      <c r="C207" s="87" t="s">
        <v>123</v>
      </c>
      <c r="D207" s="56">
        <f>302.52965147338*Deflactores!$A$5</f>
        <v>1129.0151175787666</v>
      </c>
      <c r="E207" s="56">
        <f>463.47829017666*Deflactores!$B$5</f>
        <v>1606.7711095808772</v>
      </c>
      <c r="F207" s="56">
        <f>444.69422712737*Deflactores!$C$5</f>
        <v>1440.9053430299318</v>
      </c>
      <c r="G207" s="56">
        <f>357.934670062419*Deflactores!$D$5</f>
        <v>1089.088936278036</v>
      </c>
      <c r="H207" s="56">
        <f>421.43160073441*Deflactores!$E$5</f>
        <v>1215.4766997180386</v>
      </c>
      <c r="I207" s="56">
        <f>499.45723115007*Deflactores!$F$5</f>
        <v>1373.8142466400691</v>
      </c>
      <c r="J207" s="56">
        <f>802.79726803653*Deflactores!$G$5</f>
        <v>2113.5423805585542</v>
      </c>
      <c r="K207" s="56">
        <f>1259.95963178096*Deflactores!$H$5</f>
        <v>3138.4085360731888</v>
      </c>
      <c r="L207" s="56">
        <f>1725.30854085723*Deflactores!$I$5</f>
        <v>3991.234755421051</v>
      </c>
      <c r="M207" s="56">
        <f>1251.08090075293*Deflactores!$J$5</f>
        <v>2837.3834084134191</v>
      </c>
      <c r="N207" s="56">
        <f>1313.52252360458*Deflactores!$K$5</f>
        <v>2887.4307654161998</v>
      </c>
      <c r="O207" s="56">
        <f>1344.21672021832*Deflactores!$L$5</f>
        <v>2848.7402327673767</v>
      </c>
      <c r="P207" s="56">
        <f>1397.86250580937*Deflactores!$M$5</f>
        <v>2891.8678455690801</v>
      </c>
      <c r="Q207" s="56">
        <f>2536.45460435428*Deflactores!$N$5</f>
        <v>5147.5011346117062</v>
      </c>
      <c r="R207" s="56">
        <f>1977.04397974008*Deflactores!$O$5</f>
        <v>3870.5660492464817</v>
      </c>
      <c r="S207" s="56">
        <f>2247.01028150628*Deflactores!$P$5</f>
        <v>4120.1589359912341</v>
      </c>
      <c r="T207" s="56">
        <f>1307.85633200413*Deflactores!$Q$5</f>
        <v>2267.715523876891</v>
      </c>
      <c r="U207" s="56">
        <f>1725.52468022208*Deflactores!$R$5</f>
        <v>2874.3569557524543</v>
      </c>
      <c r="V207" s="56">
        <f>1468.10307569212*Deflactores!$S$5</f>
        <v>2370.1757486183483</v>
      </c>
    </row>
    <row r="208" spans="3:22" x14ac:dyDescent="0.2">
      <c r="C208" s="88" t="s">
        <v>124</v>
      </c>
      <c r="D208" s="57">
        <f>89.7130898002*Deflactores!$A$5</f>
        <v>334.80167691278245</v>
      </c>
      <c r="E208" s="57">
        <f>116.94058521485*Deflactores!$B$5</f>
        <v>405.40572847345817</v>
      </c>
      <c r="F208" s="57">
        <f>119.19044104765*Deflactores!$C$5</f>
        <v>386.20277230282625</v>
      </c>
      <c r="G208" s="57">
        <f>133.433412717869*Deflactores!$D$5</f>
        <v>405.99826078739483</v>
      </c>
      <c r="H208" s="57">
        <f>135.264330935169*Deflactores!$E$5</f>
        <v>390.12414415088176</v>
      </c>
      <c r="I208" s="57">
        <f>165.642393810299*Deflactores!$F$5</f>
        <v>455.61835182596229</v>
      </c>
      <c r="J208" s="57">
        <f>205.51080483035*Deflactores!$G$5</f>
        <v>541.05290708572477</v>
      </c>
      <c r="K208" s="57">
        <f>430.16417724707*Deflactores!$H$5</f>
        <v>1071.4874443055196</v>
      </c>
      <c r="L208" s="57">
        <f>1173.41131139107*Deflactores!$I$5</f>
        <v>2714.5057811522088</v>
      </c>
      <c r="M208" s="57">
        <f>1367.51445504931*Deflactores!$J$5</f>
        <v>3101.4483741117442</v>
      </c>
      <c r="N208" s="57">
        <f>1607.86552928204*Deflactores!$K$5</f>
        <v>3534.4657685510397</v>
      </c>
      <c r="O208" s="57">
        <f>1332.8621611587*Deflactores!$L$5</f>
        <v>2824.6770078930281</v>
      </c>
      <c r="P208" s="57">
        <f>316.890343992231*Deflactores!$M$5</f>
        <v>655.57591862860238</v>
      </c>
      <c r="Q208" s="57">
        <f>380.9952318705*Deflactores!$N$5</f>
        <v>773.19475182735084</v>
      </c>
      <c r="R208" s="57">
        <f>425.122807889801*Deflactores!$O$5</f>
        <v>832.2859399389414</v>
      </c>
      <c r="S208" s="57">
        <f>458.163545273186*Deflactores!$P$5</f>
        <v>840.09701279040007</v>
      </c>
      <c r="T208" s="57">
        <f>463.362868098356*Deflactores!$Q$5</f>
        <v>803.43317798873022</v>
      </c>
      <c r="U208" s="57">
        <f>507.97188005546*Deflactores!$R$5</f>
        <v>846.17306463338718</v>
      </c>
      <c r="V208" s="57">
        <f>542.94193576149*Deflactores!$S$5</f>
        <v>876.55140184425125</v>
      </c>
    </row>
    <row r="209" spans="3:22" x14ac:dyDescent="0.2">
      <c r="C209" s="87" t="s">
        <v>125</v>
      </c>
      <c r="D209" s="56">
        <f>29.856069884*Deflactores!$A$5</f>
        <v>111.42033214383994</v>
      </c>
      <c r="E209" s="56">
        <f>39.45256639898*Deflactores!$B$5</f>
        <v>136.77284401938232</v>
      </c>
      <c r="F209" s="56">
        <f>30.27030615067*Deflactores!$C$5</f>
        <v>98.082329850347847</v>
      </c>
      <c r="G209" s="56">
        <f>18.0033934463*Deflactores!$D$5</f>
        <v>54.778981355470762</v>
      </c>
      <c r="H209" s="56">
        <f>41.9360459324899*Deflactores!$E$5</f>
        <v>120.95031938853131</v>
      </c>
      <c r="I209" s="56">
        <f>43.43608343066*Deflactores!$F$5</f>
        <v>119.4759160817067</v>
      </c>
      <c r="J209" s="56">
        <f>44.5943188486*Deflactores!$G$5</f>
        <v>117.40446383079676</v>
      </c>
      <c r="K209" s="56">
        <f>79.15478908498*Deflactores!$H$5</f>
        <v>197.16509915816184</v>
      </c>
      <c r="L209" s="56">
        <f>107.071134917579*Deflactores!$I$5</f>
        <v>247.69252853352731</v>
      </c>
      <c r="M209" s="56">
        <f>119.60943600823*Deflactores!$J$5</f>
        <v>271.26769261299796</v>
      </c>
      <c r="N209" s="56">
        <f>220.570571145269*Deflactores!$K$5</f>
        <v>484.86587905819425</v>
      </c>
      <c r="O209" s="56">
        <f>234.31040817924*Deflactores!$L$5</f>
        <v>496.563892337195</v>
      </c>
      <c r="P209" s="56">
        <f>314.32878550468*Deflactores!$M$5</f>
        <v>650.27662159909642</v>
      </c>
      <c r="Q209" s="56">
        <f>371.50547393151*Deflactores!$N$5</f>
        <v>753.93616163839806</v>
      </c>
      <c r="R209" s="56">
        <f>300.10470642536*Deflactores!$O$5</f>
        <v>587.53123340321042</v>
      </c>
      <c r="S209" s="56">
        <f>178.15722769886*Deflactores!$P$5</f>
        <v>326.67233423730619</v>
      </c>
      <c r="T209" s="56">
        <f>243.681486927739*Deflactores!$Q$5</f>
        <v>422.52369565749245</v>
      </c>
      <c r="U209" s="56">
        <f>335.84673051296*Deflactores!$R$5</f>
        <v>559.44919071943036</v>
      </c>
      <c r="V209" s="56">
        <f>207.61466380429*Deflactores!$S$5</f>
        <v>335.1830326862389</v>
      </c>
    </row>
    <row r="210" spans="3:22" x14ac:dyDescent="0.2">
      <c r="C210" s="88" t="s">
        <v>126</v>
      </c>
      <c r="D210" s="57">
        <f>135.9458375332*Deflactores!$A$5</f>
        <v>507.33838815265705</v>
      </c>
      <c r="E210" s="57">
        <f>182.998860619859*Deflactores!$B$5</f>
        <v>634.41435890801165</v>
      </c>
      <c r="F210" s="57">
        <f>163.545219246789*Deflactores!$C$5</f>
        <v>529.92183362030414</v>
      </c>
      <c r="G210" s="57">
        <f>159.414076814029*Deflactores!$D$5</f>
        <v>485.04970841427468</v>
      </c>
      <c r="H210" s="57">
        <f>154.559280837819*Deflactores!$E$5</f>
        <v>445.77389131751136</v>
      </c>
      <c r="I210" s="57">
        <f>178.77147116077*Deflactores!$F$5</f>
        <v>491.73138089911032</v>
      </c>
      <c r="J210" s="57">
        <f>226.50650726379*Deflactores!$G$5</f>
        <v>596.3287639794637</v>
      </c>
      <c r="K210" s="57">
        <f>290.403950096809*Deflactores!$H$5</f>
        <v>723.36145770394228</v>
      </c>
      <c r="L210" s="57">
        <f>281.16573020384*Deflactores!$I$5</f>
        <v>650.43347775078735</v>
      </c>
      <c r="M210" s="57">
        <f>382.268064783159*Deflactores!$J$5</f>
        <v>866.96317075041179</v>
      </c>
      <c r="N210" s="57">
        <f>364.26928719027*Deflactores!$K$5</f>
        <v>800.74938025657104</v>
      </c>
      <c r="O210" s="57">
        <f>517.84026541015*Deflactores!$L$5</f>
        <v>1097.4364297307941</v>
      </c>
      <c r="P210" s="57">
        <f>696.386485618759*Deflactores!$M$5</f>
        <v>1440.6693630313155</v>
      </c>
      <c r="Q210" s="57">
        <f>773.084388477839*Deflactores!$N$5</f>
        <v>1568.903602693629</v>
      </c>
      <c r="R210" s="57">
        <f>693.695835334847*Deflactores!$O$5</f>
        <v>1358.0858980707803</v>
      </c>
      <c r="S210" s="57">
        <f>705.530932593409*Deflactores!$P$5</f>
        <v>1293.674354971944</v>
      </c>
      <c r="T210" s="57">
        <f>681.17395613005*Deflactores!$Q$5</f>
        <v>1181.0997255407046</v>
      </c>
      <c r="U210" s="57">
        <f>770.172288053889*Deflactores!$R$5</f>
        <v>1282.9431526940332</v>
      </c>
      <c r="V210" s="57">
        <f>728.037958265939*Deflactores!$S$5</f>
        <v>1175.3792641174341</v>
      </c>
    </row>
    <row r="211" spans="3:22" x14ac:dyDescent="0.2">
      <c r="C211" s="87" t="s">
        <v>127</v>
      </c>
      <c r="D211" s="56">
        <f>162.36267304875*Deflactores!$A$5</f>
        <v>605.92378799823859</v>
      </c>
      <c r="E211" s="56">
        <f>176.212293919919*Deflactores!$B$5</f>
        <v>610.88691536248803</v>
      </c>
      <c r="F211" s="56">
        <f>183.29421470424*Deflactores!$C$5</f>
        <v>593.91284438277228</v>
      </c>
      <c r="G211" s="56">
        <f>202.09252200271*Deflactores!$D$5</f>
        <v>614.90754661820017</v>
      </c>
      <c r="H211" s="56">
        <f>212.161283088139*Deflactores!$E$5</f>
        <v>611.9073551355068</v>
      </c>
      <c r="I211" s="56">
        <f>236.41392533257*Deflactores!$F$5</f>
        <v>650.28354475540289</v>
      </c>
      <c r="J211" s="56">
        <f>274.78853444552*Deflactores!$G$5</f>
        <v>723.44194028292736</v>
      </c>
      <c r="K211" s="56">
        <f>281.66485840589*Deflactores!$H$5</f>
        <v>701.59342699208651</v>
      </c>
      <c r="L211" s="56">
        <f>297.87884068075*Deflactores!$I$5</f>
        <v>689.09667672474689</v>
      </c>
      <c r="M211" s="56">
        <f>326.312562727169*Deflactores!$J$5</f>
        <v>740.05913676862917</v>
      </c>
      <c r="N211" s="56">
        <f>355.46258701022*Deflactores!$K$5</f>
        <v>781.39018649726574</v>
      </c>
      <c r="O211" s="56">
        <f>346.654967357439*Deflactores!$L$5</f>
        <v>734.65084725282179</v>
      </c>
      <c r="P211" s="56">
        <f>370.512688758364*Deflactores!$M$5</f>
        <v>766.5086705900793</v>
      </c>
      <c r="Q211" s="56">
        <f>411.761765509603*Deflactores!$N$5</f>
        <v>835.63259973658603</v>
      </c>
      <c r="R211" s="56">
        <f>439.485661673045*Deflactores!$O$5</f>
        <v>860.4048764893688</v>
      </c>
      <c r="S211" s="56">
        <f>449.989091902626*Deflactores!$P$5</f>
        <v>825.10818635789292</v>
      </c>
      <c r="T211" s="56">
        <f>492.712598344024*Deflactores!$Q$5</f>
        <v>854.32320105243343</v>
      </c>
      <c r="U211" s="56">
        <f>524.9818361038*Deflactores!$R$5</f>
        <v>874.50803198853214</v>
      </c>
      <c r="V211" s="56">
        <f>542.02806151796*Deflactores!$S$5</f>
        <v>875.07599960229334</v>
      </c>
    </row>
    <row r="212" spans="3:22" x14ac:dyDescent="0.2">
      <c r="C212" s="88" t="s">
        <v>128</v>
      </c>
      <c r="D212" s="57">
        <f>37.46923257477*Deflactores!$A$5</f>
        <v>139.83201254807392</v>
      </c>
      <c r="E212" s="57">
        <f>52.2779329028699*Deflactores!$B$5</f>
        <v>181.23539772471733</v>
      </c>
      <c r="F212" s="57">
        <f>44.78517056422*Deflactores!$C$5</f>
        <v>145.11362553849457</v>
      </c>
      <c r="G212" s="57">
        <f>50.96539756331*Deflactores!$D$5</f>
        <v>155.07257402456437</v>
      </c>
      <c r="H212" s="57">
        <f>68.74012532597*Deflactores!$E$5</f>
        <v>198.25760698488679</v>
      </c>
      <c r="I212" s="57">
        <f>86.77886899153*Deflactores!$F$5</f>
        <v>238.6952057003156</v>
      </c>
      <c r="J212" s="57">
        <f>104.81345604869*Deflactores!$G$5</f>
        <v>275.94473752199838</v>
      </c>
      <c r="K212" s="57">
        <f>116.73646848815*Deflactores!$H$5</f>
        <v>290.77656135410251</v>
      </c>
      <c r="L212" s="57">
        <f>147.77517202042*Deflactores!$I$5</f>
        <v>341.85502974625996</v>
      </c>
      <c r="M212" s="57">
        <f>161.9369660358*Deflactores!$J$5</f>
        <v>367.26422756694797</v>
      </c>
      <c r="N212" s="57">
        <f>188.96104073066*Deflactores!$K$5</f>
        <v>415.38071305659702</v>
      </c>
      <c r="O212" s="57">
        <f>204.95199901556*Deflactores!$L$5</f>
        <v>434.34588827826747</v>
      </c>
      <c r="P212" s="57">
        <f>278.68742868667*Deflactores!$M$5</f>
        <v>576.54255023935332</v>
      </c>
      <c r="Q212" s="57">
        <f>351.33206452478*Deflactores!$N$5</f>
        <v>712.99608424380779</v>
      </c>
      <c r="R212" s="57">
        <f>343.85401782281*Deflactores!$O$5</f>
        <v>673.18162920024486</v>
      </c>
      <c r="S212" s="57">
        <f>368.34004192243*Deflactores!$P$5</f>
        <v>675.39500272902694</v>
      </c>
      <c r="T212" s="57">
        <f>310.373544190139*Deflactores!$Q$5</f>
        <v>538.16224851098229</v>
      </c>
      <c r="U212" s="57">
        <f>321.003212558189*Deflactores!$R$5</f>
        <v>534.7230482480046</v>
      </c>
      <c r="V212" s="57">
        <f>363.85136706307*Deflactores!$S$5</f>
        <v>587.41903112487989</v>
      </c>
    </row>
    <row r="213" spans="3:22" x14ac:dyDescent="0.2">
      <c r="C213" s="87" t="s">
        <v>129</v>
      </c>
      <c r="D213" s="56">
        <f>5543.58254189525*Deflactores!$A$5</f>
        <v>20688.18201741188</v>
      </c>
      <c r="E213" s="56">
        <f>6775.80863671407*Deflactores!$B$5</f>
        <v>23490.147850012541</v>
      </c>
      <c r="F213" s="56">
        <f>7381.79960531138*Deflactores!$C$5</f>
        <v>23918.625076783137</v>
      </c>
      <c r="G213" s="56">
        <f>8355.22337634951*Deflactores!$D$5</f>
        <v>25422.464210373986</v>
      </c>
      <c r="H213" s="56">
        <f>9160.68598259379*Deflactores!$E$5</f>
        <v>26420.895694277857</v>
      </c>
      <c r="I213" s="56">
        <f>10278.9948979044*Deflactores!$F$5</f>
        <v>28273.551269575342</v>
      </c>
      <c r="J213" s="56">
        <f>11593.9761071256*Deflactores!$G$5</f>
        <v>30523.72104046349</v>
      </c>
      <c r="K213" s="56">
        <f>13793.1849733898*Deflactores!$H$5</f>
        <v>34357.171744410756</v>
      </c>
      <c r="L213" s="56">
        <f>17401.2461066625*Deflactores!$I$5</f>
        <v>40255.094438956839</v>
      </c>
      <c r="M213" s="56">
        <f>18433.0793779753*Deflactores!$J$5</f>
        <v>41805.221038510193</v>
      </c>
      <c r="N213" s="56">
        <f>19080.1996549499*Deflactores!$K$5</f>
        <v>41942.756598341286</v>
      </c>
      <c r="O213" s="56">
        <f>20040.6356821171*Deflactores!$L$5</f>
        <v>42471.250579748877</v>
      </c>
      <c r="P213" s="56">
        <f>22010.3681756558*Deflactores!$M$5</f>
        <v>45534.575633718465</v>
      </c>
      <c r="Q213" s="56">
        <f>24336.8775537104*Deflactores!$N$5</f>
        <v>49389.452744620365</v>
      </c>
      <c r="R213" s="56">
        <f>24763.1768160098*Deflactores!$O$5</f>
        <v>48480.212093276801</v>
      </c>
      <c r="S213" s="56">
        <f>25097.9380783112*Deflactores!$P$5</f>
        <v>46020.035911446517</v>
      </c>
      <c r="T213" s="56">
        <f>26619.8992499798*Deflactores!$Q$5</f>
        <v>46156.720196257287</v>
      </c>
      <c r="U213" s="56">
        <f>27982.6319818237*Deflactores!$R$5</f>
        <v>46613.110666643261</v>
      </c>
      <c r="V213" s="56">
        <f>29750.2919814999*Deflactores!$S$5</f>
        <v>48030.292788279359</v>
      </c>
    </row>
    <row r="214" spans="3:22" x14ac:dyDescent="0.2">
      <c r="C214" s="88" t="s">
        <v>130</v>
      </c>
      <c r="D214" s="57">
        <f>22.090675061*Deflactores!$A$5</f>
        <v>82.44053427465046</v>
      </c>
      <c r="E214" s="57">
        <f>50.04488849666*Deflactores!$B$5</f>
        <v>173.4939537038083</v>
      </c>
      <c r="F214" s="57">
        <f>17.09019117652*Deflactores!$C$5</f>
        <v>55.375910631278408</v>
      </c>
      <c r="G214" s="57">
        <f>23.73282922319*Deflactores!$D$5</f>
        <v>72.211953452413212</v>
      </c>
      <c r="H214" s="57">
        <f>70.68408738308*Deflactores!$E$5</f>
        <v>203.86430705539772</v>
      </c>
      <c r="I214" s="57">
        <f>62.90508294341*Deflactores!$F$5</f>
        <v>173.02762627890678</v>
      </c>
      <c r="J214" s="57">
        <f>92.83373931983*Deflactores!$G$5</f>
        <v>244.40546849152659</v>
      </c>
      <c r="K214" s="57">
        <f>74.39826406113*Deflactores!$H$5</f>
        <v>185.31716501776734</v>
      </c>
      <c r="L214" s="57">
        <f>141.88393765342*Deflactores!$I$5</f>
        <v>328.22656921234375</v>
      </c>
      <c r="M214" s="57">
        <f>118.75807382132*Deflactores!$J$5</f>
        <v>269.33684949786829</v>
      </c>
      <c r="N214" s="57">
        <f>124.15135201377*Deflactores!$K$5</f>
        <v>272.9138076664542</v>
      </c>
      <c r="O214" s="57">
        <f>142.29653280678*Deflactores!$L$5</f>
        <v>301.56287441815175</v>
      </c>
      <c r="P214" s="57">
        <f>208.78518284341*Deflactores!$M$5</f>
        <v>431.93028955771808</v>
      </c>
      <c r="Q214" s="57">
        <f>277.95694301465*Deflactores!$N$5</f>
        <v>564.08802944271702</v>
      </c>
      <c r="R214" s="57">
        <f>250.48148130179*Deflactores!$O$5</f>
        <v>490.3811586523916</v>
      </c>
      <c r="S214" s="57">
        <f>352.26475720274*Deflactores!$P$5</f>
        <v>645.91906818099494</v>
      </c>
      <c r="T214" s="57">
        <f>224.82246659068*Deflactores!$Q$5</f>
        <v>389.82370244193515</v>
      </c>
      <c r="U214" s="57">
        <f>358.76980480957*Deflactores!$R$5</f>
        <v>597.63415486796475</v>
      </c>
      <c r="V214" s="57">
        <f>402.91398656442*Deflactores!$S$5</f>
        <v>650.48359038680894</v>
      </c>
    </row>
    <row r="215" spans="3:22" x14ac:dyDescent="0.2">
      <c r="C215" s="87" t="s">
        <v>131</v>
      </c>
      <c r="D215" s="56">
        <f>4627.1174366393*Deflactores!$A$5</f>
        <v>17268.011619144563</v>
      </c>
      <c r="E215" s="56">
        <f>7383.95313219946*Deflactores!$B$5</f>
        <v>25598.44294496534</v>
      </c>
      <c r="F215" s="56">
        <f>8248.19658238829*Deflactores!$C$5</f>
        <v>26725.938410980147</v>
      </c>
      <c r="G215" s="56">
        <f>9684.25249222364*Deflactores!$D$5</f>
        <v>29466.305243815881</v>
      </c>
      <c r="H215" s="56">
        <f>11101.1034450814*Deflactores!$E$5</f>
        <v>32017.37258227008</v>
      </c>
      <c r="I215" s="56">
        <f>12242.2136462143*Deflactores!$F$5</f>
        <v>33673.609007229039</v>
      </c>
      <c r="J215" s="56">
        <f>13093.4253508949*Deflactores!$G$5</f>
        <v>34471.354708866413</v>
      </c>
      <c r="K215" s="56">
        <f>14150.3914700697*Deflactores!$H$5</f>
        <v>35246.930344641762</v>
      </c>
      <c r="L215" s="56">
        <f>15582.2333528658*Deflactores!$I$5</f>
        <v>36047.089463858116</v>
      </c>
      <c r="M215" s="56">
        <f>18264.5099700978*Deflactores!$J$5</f>
        <v>41422.914793734293</v>
      </c>
      <c r="N215" s="56">
        <f>19872.4575390299*Deflactores!$K$5</f>
        <v>43684.325355273228</v>
      </c>
      <c r="O215" s="56">
        <f>21241.9359421544*Deflactores!$L$5</f>
        <v>45017.11415288339</v>
      </c>
      <c r="P215" s="56">
        <f>22323.3462558173*Deflactores!$M$5</f>
        <v>46182.0579451944</v>
      </c>
      <c r="Q215" s="56">
        <f>24513.9850423804*Deflactores!$N$5</f>
        <v>49748.876089833015</v>
      </c>
      <c r="R215" s="56">
        <f>26078.7445641026*Deflactores!$O$5</f>
        <v>51055.77030717201</v>
      </c>
      <c r="S215" s="56">
        <f>28713.9498446691*Deflactores!$P$5</f>
        <v>52650.420878720332</v>
      </c>
      <c r="T215" s="56">
        <f>31049.9397419164*Deflactores!$Q$5</f>
        <v>53838.046767940788</v>
      </c>
      <c r="U215" s="56">
        <f>35353.5187878564*Deflactores!$R$5</f>
        <v>58891.439689591411</v>
      </c>
      <c r="V215" s="56">
        <f>37882.9553819915*Deflactores!$S$5</f>
        <v>61160.053145489874</v>
      </c>
    </row>
    <row r="216" spans="3:22" x14ac:dyDescent="0.2">
      <c r="C216" s="88" t="s">
        <v>132</v>
      </c>
      <c r="D216" s="57">
        <f>37.18937689934*Deflactores!$A$5</f>
        <v>138.78761479478959</v>
      </c>
      <c r="E216" s="57">
        <f>36.5859675651*Deflactores!$B$5</f>
        <v>126.83501459638819</v>
      </c>
      <c r="F216" s="57">
        <f>43.15576316195*Deflactores!$C$5</f>
        <v>139.83399362811471</v>
      </c>
      <c r="G216" s="57">
        <f>35.7400468353699*Deflactores!$D$5</f>
        <v>108.74635190738118</v>
      </c>
      <c r="H216" s="57">
        <f>37.2009968133299*Deflactores!$E$5</f>
        <v>107.29367411957232</v>
      </c>
      <c r="I216" s="57">
        <f>38.53550499585*Deflactores!$F$5</f>
        <v>105.99631452499966</v>
      </c>
      <c r="J216" s="57">
        <f>52.51217555571*Deflactores!$G$5</f>
        <v>138.2499828428337</v>
      </c>
      <c r="K216" s="57">
        <f>58.46746987392*Deflactores!$H$5</f>
        <v>145.63546474543918</v>
      </c>
      <c r="L216" s="57">
        <f>67.99598454909*Deflactores!$I$5</f>
        <v>157.29820512368184</v>
      </c>
      <c r="M216" s="57">
        <f>95.82699040279*Deflactores!$J$5</f>
        <v>217.33040004322163</v>
      </c>
      <c r="N216" s="57">
        <f>97.37742031798*Deflactores!$K$5</f>
        <v>214.05842247105838</v>
      </c>
      <c r="O216" s="57">
        <f>85.57103521062*Deflactores!$L$5</f>
        <v>181.34698601610557</v>
      </c>
      <c r="P216" s="57">
        <f>123.134385685369*Deflactores!$M$5</f>
        <v>254.73776510032587</v>
      </c>
      <c r="Q216" s="57">
        <f>147.34633293899*Deflactores!$N$5</f>
        <v>299.02581922116138</v>
      </c>
      <c r="R216" s="57">
        <f>149.23791921828*Deflactores!$O$5</f>
        <v>292.17115517197789</v>
      </c>
      <c r="S216" s="57">
        <f>181.23173677971*Deflactores!$P$5</f>
        <v>332.3098100279193</v>
      </c>
      <c r="T216" s="57">
        <f>245.97719596201*Deflactores!$Q$5</f>
        <v>426.5042666788853</v>
      </c>
      <c r="U216" s="57">
        <f>311.493215058019*Deflactores!$R$5</f>
        <v>518.88141597399749</v>
      </c>
      <c r="V216" s="57">
        <f>393.1637952259*Deflactores!$S$5</f>
        <v>634.74241564398369</v>
      </c>
    </row>
    <row r="217" spans="3:22" x14ac:dyDescent="0.2">
      <c r="C217" s="87" t="s">
        <v>133</v>
      </c>
      <c r="D217" s="56">
        <f>557.60463642844*Deflactores!$A$5</f>
        <v>2080.93342617398</v>
      </c>
      <c r="E217" s="56">
        <f>631.18890573392*Deflactores!$B$5</f>
        <v>2188.1846893727552</v>
      </c>
      <c r="F217" s="56">
        <f>634.43601506128*Deflactores!$C$5</f>
        <v>2055.7097172538311</v>
      </c>
      <c r="G217" s="56">
        <f>660.610922073849*Deflactores!$D$5</f>
        <v>2010.0429117123408</v>
      </c>
      <c r="H217" s="56">
        <f>730.71467877518*Deflactores!$E$5</f>
        <v>2107.4989740812371</v>
      </c>
      <c r="I217" s="56">
        <f>831.224472089269*Deflactores!$F$5</f>
        <v>2286.3779933321089</v>
      </c>
      <c r="J217" s="56">
        <f>896.77505729606*Deflactores!$G$5</f>
        <v>2360.9598149962844</v>
      </c>
      <c r="K217" s="56">
        <f>1016.90322765765*Deflactores!$H$5</f>
        <v>2532.984144523743</v>
      </c>
      <c r="L217" s="56">
        <f>1178.82501708997*Deflactores!$I$5</f>
        <v>2727.029552888906</v>
      </c>
      <c r="M217" s="56">
        <f>1357.65290409423*Deflactores!$J$5</f>
        <v>3079.0829131376954</v>
      </c>
      <c r="N217" s="56">
        <f>1415.54931790331*Deflactores!$K$5</f>
        <v>3111.7096030158109</v>
      </c>
      <c r="O217" s="56">
        <f>1509.25277468738*Deflactores!$L$5</f>
        <v>3198.4939898452094</v>
      </c>
      <c r="P217" s="56">
        <f>1786.95085302207*Deflactores!$M$5</f>
        <v>3696.8054382964369</v>
      </c>
      <c r="Q217" s="56">
        <f>2049.55762174282*Deflactores!$N$5</f>
        <v>4159.3885280903887</v>
      </c>
      <c r="R217" s="56">
        <f>2340.68743685758*Deflactores!$O$5</f>
        <v>4582.4905352837914</v>
      </c>
      <c r="S217" s="56">
        <f>2560.93276891821*Deflactores!$P$5</f>
        <v>4695.7729206552576</v>
      </c>
      <c r="T217" s="56">
        <f>2888.78083338683*Deflactores!$Q$5</f>
        <v>5008.9088385654968</v>
      </c>
      <c r="U217" s="56">
        <f>3109.40447204428*Deflactores!$R$5</f>
        <v>5179.6062234925421</v>
      </c>
      <c r="V217" s="56">
        <f>3434.64547864465*Deflactores!$S$5</f>
        <v>5545.0557616653487</v>
      </c>
    </row>
    <row r="218" spans="3:22" x14ac:dyDescent="0.2">
      <c r="C218" s="88" t="s">
        <v>134</v>
      </c>
      <c r="D218" s="57">
        <f>5097.67510245609*Deflactores!$A$5</f>
        <v>19024.093100124552</v>
      </c>
      <c r="E218" s="57">
        <f>6030.71643057261*Deflactores!$B$5</f>
        <v>20907.086990040752</v>
      </c>
      <c r="F218" s="57">
        <f>5136.23361461974*Deflactores!$C$5</f>
        <v>16642.506259105914</v>
      </c>
      <c r="G218" s="57">
        <f>4555.63502817047*Deflactores!$D$5</f>
        <v>13861.44490008727</v>
      </c>
      <c r="H218" s="57">
        <f>5063.31964573434*Deflactores!$E$5</f>
        <v>14603.430406950451</v>
      </c>
      <c r="I218" s="57">
        <f>6214.86805619851*Deflactores!$F$5</f>
        <v>17094.705500476342</v>
      </c>
      <c r="J218" s="57">
        <f>5406.73092532713*Deflactores!$G$5</f>
        <v>14234.421822217104</v>
      </c>
      <c r="K218" s="57">
        <f>6169.40311990631*Deflactores!$H$5</f>
        <v>15367.24425577197</v>
      </c>
      <c r="L218" s="57">
        <f>6267.81454634216*Deflactores!$I$5</f>
        <v>14499.620598565487</v>
      </c>
      <c r="M218" s="57">
        <f>6160.3135561685*Deflactores!$J$5</f>
        <v>13971.255947059373</v>
      </c>
      <c r="N218" s="57">
        <f>6767.36789787486*Deflactores!$K$5</f>
        <v>14876.262810927021</v>
      </c>
      <c r="O218" s="57">
        <f>6930.39442165924*Deflactores!$L$5</f>
        <v>14687.284513706052</v>
      </c>
      <c r="P218" s="57">
        <f>7260.41663256747*Deflactores!$M$5</f>
        <v>15020.193558307015</v>
      </c>
      <c r="Q218" s="57">
        <f>7727.51678232076*Deflactores!$N$5</f>
        <v>15682.283978763926</v>
      </c>
      <c r="R218" s="57">
        <f>10626.2850223051*Deflactores!$O$5</f>
        <v>20803.653564832581</v>
      </c>
      <c r="S218" s="57">
        <f>13820.9990847834*Deflactores!$P$5</f>
        <v>25342.435391672614</v>
      </c>
      <c r="T218" s="57">
        <f>15605.5934499623*Deflactores!$Q$5</f>
        <v>27058.818051950435</v>
      </c>
      <c r="U218" s="57">
        <f>18628.9729237025*Deflactores!$R$5</f>
        <v>31031.904971000964</v>
      </c>
      <c r="V218" s="57">
        <f>10699.2805460466*Deflactores!$S$5</f>
        <v>17273.42970516457</v>
      </c>
    </row>
    <row r="219" spans="3:22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</row>
    <row r="220" spans="3:22" x14ac:dyDescent="0.2">
      <c r="C220" s="88" t="s">
        <v>136</v>
      </c>
      <c r="D220" s="57">
        <f>850.67840782788*Deflactores!$A$5</f>
        <v>3174.659997649921</v>
      </c>
      <c r="E220" s="57">
        <f>1006.46176377679*Deflactores!$B$5</f>
        <v>3489.1681427364447</v>
      </c>
      <c r="F220" s="57">
        <f>995.502265637309*Deflactores!$C$5</f>
        <v>3225.6423538962445</v>
      </c>
      <c r="G220" s="57">
        <f>1022.85641921872*Deflactores!$D$5</f>
        <v>3112.2484149909624</v>
      </c>
      <c r="H220" s="57">
        <f>1170.2192793716*Deflactores!$E$5</f>
        <v>3375.1011199879308</v>
      </c>
      <c r="I220" s="57">
        <f>1451.21555366581*Deflactores!$F$5</f>
        <v>3991.7343833043947</v>
      </c>
      <c r="J220" s="57">
        <f>2256.36529694469*Deflactores!$G$5</f>
        <v>5940.3835451233581</v>
      </c>
      <c r="K220" s="57">
        <f>2944.92996427918*Deflactores!$H$5</f>
        <v>7335.4678236534555</v>
      </c>
      <c r="L220" s="57">
        <f>4117.19677107537*Deflactores!$I$5</f>
        <v>9524.4986380573173</v>
      </c>
      <c r="M220" s="57">
        <f>5030.12426574385*Deflactores!$J$5</f>
        <v>11408.048132850457</v>
      </c>
      <c r="N220" s="57">
        <f>5373.02445823706*Deflactores!$K$5</f>
        <v>11811.168704951546</v>
      </c>
      <c r="O220" s="57">
        <f>5146.71917256394*Deflactores!$L$5</f>
        <v>10907.218868142672</v>
      </c>
      <c r="P220" s="57">
        <f>6975.16702838508*Deflactores!$M$5</f>
        <v>14430.075320734904</v>
      </c>
      <c r="Q220" s="57">
        <f>8125.95866607984*Deflactores!$N$5</f>
        <v>16490.885104605411</v>
      </c>
      <c r="R220" s="57">
        <f>8784.1908006498*Deflactores!$O$5</f>
        <v>17197.285964052404</v>
      </c>
      <c r="S220" s="57">
        <f>10029.6174647998*Deflactores!$P$5</f>
        <v>18390.489069977648</v>
      </c>
      <c r="T220" s="57">
        <f>9058.64187767232*Deflactores!$Q$5</f>
        <v>15706.941434278242</v>
      </c>
      <c r="U220" s="57">
        <f>10137.523377007*Deflactores!$R$5</f>
        <v>16886.956858277408</v>
      </c>
      <c r="V220" s="57">
        <f>10337.9541621424*Deflactores!$S$5</f>
        <v>16690.087127490344</v>
      </c>
    </row>
    <row r="221" spans="3:22" x14ac:dyDescent="0.2">
      <c r="C221" s="87" t="s">
        <v>137</v>
      </c>
      <c r="D221" s="56">
        <f>61.05987657869*Deflactores!$A$5</f>
        <v>227.87030427958095</v>
      </c>
      <c r="E221" s="56">
        <f>64.12166682799*Deflactores!$B$5</f>
        <v>222.29486027946254</v>
      </c>
      <c r="F221" s="56">
        <f>68.68233332447*Deflactores!$C$5</f>
        <v>222.5455943025901</v>
      </c>
      <c r="G221" s="56">
        <f>62.85087446058*Deflactores!$D$5</f>
        <v>191.23655162681126</v>
      </c>
      <c r="H221" s="56">
        <f>87.98363649121*Deflactores!$E$5</f>
        <v>253.7589965374319</v>
      </c>
      <c r="I221" s="56">
        <f>178.6396138784*Deflactores!$F$5</f>
        <v>491.36869236094259</v>
      </c>
      <c r="J221" s="56">
        <f>116.91517292484*Deflactores!$G$5</f>
        <v>307.80519907765461</v>
      </c>
      <c r="K221" s="56">
        <f>127.77724189538*Deflactores!$H$5</f>
        <v>318.27780554644374</v>
      </c>
      <c r="L221" s="56">
        <f>160.56388415491*Deflactores!$I$5</f>
        <v>371.43973946020515</v>
      </c>
      <c r="M221" s="56">
        <f>156.8202976525*Deflactores!$J$5</f>
        <v>355.65990208456572</v>
      </c>
      <c r="N221" s="56">
        <f>181.85941874354*Deflactores!$K$5</f>
        <v>399.76968131448791</v>
      </c>
      <c r="O221" s="56">
        <f>206.11638216198*Deflactores!$L$5</f>
        <v>436.81351501261145</v>
      </c>
      <c r="P221" s="56">
        <f>262.16957107366*Deflactores!$M$5</f>
        <v>542.3707621627467</v>
      </c>
      <c r="Q221" s="56">
        <f>314.64626460299*Deflactores!$N$5</f>
        <v>638.54563029230644</v>
      </c>
      <c r="R221" s="56">
        <f>491.095170246189*Deflactores!$O$5</f>
        <v>961.44360589981341</v>
      </c>
      <c r="S221" s="56">
        <f>313.001325561299*Deflactores!$P$5</f>
        <v>573.92492553438422</v>
      </c>
      <c r="T221" s="56">
        <f>293.99129595538*Deflactores!$Q$5</f>
        <v>509.75677481415852</v>
      </c>
      <c r="U221" s="56">
        <f>310.36686766624*Deflactores!$R$5</f>
        <v>517.00516088633515</v>
      </c>
      <c r="V221" s="56">
        <f>566.32455164174*Deflactores!$S$5</f>
        <v>914.30141409901023</v>
      </c>
    </row>
    <row r="222" spans="3:22" x14ac:dyDescent="0.2">
      <c r="C222" s="88" t="s">
        <v>138</v>
      </c>
      <c r="D222" s="57">
        <f>147.11819346647*Deflactores!$A$5</f>
        <v>549.03267724531656</v>
      </c>
      <c r="E222" s="57">
        <f>175.5738163482*Deflactores!$B$5</f>
        <v>608.67346256848032</v>
      </c>
      <c r="F222" s="57">
        <f>174.225064620469*Deflactores!$C$5</f>
        <v>564.52683931393858</v>
      </c>
      <c r="G222" s="57">
        <f>180.967693714309*Deflactores!$D$5</f>
        <v>550.63096573918472</v>
      </c>
      <c r="H222" s="57">
        <f>208.87196315765*Deflactores!$E$5</f>
        <v>602.42042599573597</v>
      </c>
      <c r="I222" s="57">
        <f>223.69028418744*Deflactores!$F$5</f>
        <v>615.28571434244566</v>
      </c>
      <c r="J222" s="57">
        <f>231.7250296764*Deflactores!$G$5</f>
        <v>610.06768502726675</v>
      </c>
      <c r="K222" s="57">
        <f>272.38366298219*Deflactores!$H$5</f>
        <v>678.47508081020874</v>
      </c>
      <c r="L222" s="57">
        <f>338.93428912023*Deflactores!$I$5</f>
        <v>784.07211377302917</v>
      </c>
      <c r="M222" s="57">
        <f>285.91673285954*Deflactores!$J$5</f>
        <v>648.44359266870595</v>
      </c>
      <c r="N222" s="57">
        <f>288.11947145271*Deflactores!$K$5</f>
        <v>633.35421436477031</v>
      </c>
      <c r="O222" s="57">
        <f>291.408450517419*Deflactores!$L$5</f>
        <v>617.56929866379357</v>
      </c>
      <c r="P222" s="57">
        <f>161.967853108749*Deflactores!$M$5</f>
        <v>335.07560613040914</v>
      </c>
      <c r="Q222" s="57">
        <f>167.66013832703*Deflactores!$N$5</f>
        <v>340.25081733613342</v>
      </c>
      <c r="R222" s="57">
        <f>132.41477522366*Deflactores!$O$5</f>
        <v>259.23557525851453</v>
      </c>
      <c r="S222" s="57">
        <f>73.23585503259*Deflactores!$P$5</f>
        <v>134.28659629684074</v>
      </c>
      <c r="T222" s="57">
        <f>87.27512724723*Deflactores!$Q$5</f>
        <v>151.32790663909827</v>
      </c>
      <c r="U222" s="57">
        <f>87.29626979986*Deflactores!$R$5</f>
        <v>145.41701036590001</v>
      </c>
      <c r="V222" s="57">
        <f>91.983347156*Deflactores!$S$5</f>
        <v>148.50231044105149</v>
      </c>
    </row>
    <row r="223" spans="3:22" x14ac:dyDescent="0.2">
      <c r="C223" s="87" t="s">
        <v>139</v>
      </c>
      <c r="D223" s="56">
        <f>484.8634374601*Deflactores!$A$5</f>
        <v>1809.4694129571224</v>
      </c>
      <c r="E223" s="56">
        <f>607.73491004221*Deflactores!$B$5</f>
        <v>2106.8751577713724</v>
      </c>
      <c r="F223" s="56">
        <f>588.99374813547*Deflactores!$C$5</f>
        <v>1908.4669575810417</v>
      </c>
      <c r="G223" s="56">
        <f>620.79445657314*Deflactores!$D$5</f>
        <v>1888.8932280257725</v>
      </c>
      <c r="H223" s="56">
        <f>740.54863544711*Deflactores!$E$5</f>
        <v>2135.8616910202081</v>
      </c>
      <c r="I223" s="56">
        <f>886.35043575054*Deflactores!$F$5</f>
        <v>2438.0082621806173</v>
      </c>
      <c r="J223" s="56">
        <f>1039.70400965401*Deflactores!$G$5</f>
        <v>2737.2520748792813</v>
      </c>
      <c r="K223" s="56">
        <f>1212.85744215649*Deflactores!$H$5</f>
        <v>3021.0826231975338</v>
      </c>
      <c r="L223" s="56">
        <f>1274.00447807014*Deflactores!$I$5</f>
        <v>2947.2125309883186</v>
      </c>
      <c r="M223" s="56">
        <f>1711.04053891382*Deflactores!$J$5</f>
        <v>3880.5468401883909</v>
      </c>
      <c r="N223" s="56">
        <f>1938.41193451804*Deflactores!$K$5</f>
        <v>4261.0843401587817</v>
      </c>
      <c r="O223" s="56">
        <f>3745.71896436314*Deflactores!$L$5</f>
        <v>7938.1398504609988</v>
      </c>
      <c r="P223" s="56">
        <f>2102.95945380215*Deflactores!$M$5</f>
        <v>4350.5572255582765</v>
      </c>
      <c r="Q223" s="56">
        <f>2753.79363026255*Deflactores!$N$5</f>
        <v>5588.5706812685567</v>
      </c>
      <c r="R223" s="56">
        <f>2826.10023451671*Deflactores!$O$5</f>
        <v>5532.8094526890518</v>
      </c>
      <c r="S223" s="56">
        <f>2816.34116863543*Deflactores!$P$5</f>
        <v>5164.0944094722572</v>
      </c>
      <c r="T223" s="56">
        <f>2758.16442671805*Deflactores!$Q$5</f>
        <v>4782.4307110926429</v>
      </c>
      <c r="U223" s="56">
        <f>2839.58647365268*Deflactores!$R$5</f>
        <v>4730.1468507269874</v>
      </c>
      <c r="V223" s="56">
        <f>3123.52174926534*Deflactores!$S$5</f>
        <v>5042.7627480451083</v>
      </c>
    </row>
    <row r="224" spans="3:22" x14ac:dyDescent="0.2">
      <c r="C224" s="88" t="s">
        <v>140</v>
      </c>
      <c r="D224" s="57">
        <f>278.73867058469*Deflactores!$A$5</f>
        <v>1040.2291855071726</v>
      </c>
      <c r="E224" s="57">
        <f>438.90382139608*Deflactores!$B$5</f>
        <v>1521.5771591697744</v>
      </c>
      <c r="F224" s="57">
        <f>296.52774341435*Deflactores!$C$5</f>
        <v>960.81393411020542</v>
      </c>
      <c r="G224" s="57">
        <f>352.32129499366*Deflactores!$D$5</f>
        <v>1072.0091024594838</v>
      </c>
      <c r="H224" s="57">
        <f>2490.39132788738*Deflactores!$E$5</f>
        <v>7182.6902086885211</v>
      </c>
      <c r="I224" s="57">
        <f>2619.22121466278*Deflactores!$F$5</f>
        <v>7204.4675607558856</v>
      </c>
      <c r="J224" s="57">
        <f>753.38780506645*Deflactores!$G$5</f>
        <v>1983.4609787579309</v>
      </c>
      <c r="K224" s="57">
        <f>2374.6117771994*Deflactores!$H$5</f>
        <v>5914.8735272481454</v>
      </c>
      <c r="L224" s="57">
        <f>1649.3775517572*Deflactores!$I$5</f>
        <v>3815.580143197918</v>
      </c>
      <c r="M224" s="57">
        <f>6391.96980812418*Deflactores!$J$5</f>
        <v>14496.639721488915</v>
      </c>
      <c r="N224" s="57">
        <f>2133.23679415905*Deflactores!$K$5</f>
        <v>4689.3551033061158</v>
      </c>
      <c r="O224" s="57">
        <f>2633.35981804258*Deflactores!$L$5</f>
        <v>5580.7653246512837</v>
      </c>
      <c r="P224" s="57">
        <f>2393.7729277478*Deflactores!$M$5</f>
        <v>4952.1858770648323</v>
      </c>
      <c r="Q224" s="57">
        <f>2875.65653265813*Deflactores!$N$5</f>
        <v>5835.880223994639</v>
      </c>
      <c r="R224" s="57">
        <f>2590.72051515071*Deflactores!$O$5</f>
        <v>5071.9938310866537</v>
      </c>
      <c r="S224" s="57">
        <f>3092.6431988391*Deflactores!$P$5</f>
        <v>5670.7268393038821</v>
      </c>
      <c r="T224" s="57">
        <f>2910.96344154161*Deflactores!$Q$5</f>
        <v>5047.3716602391796</v>
      </c>
      <c r="U224" s="57">
        <f>3264.26141829479*Deflactores!$R$5</f>
        <v>5437.5649450939336</v>
      </c>
      <c r="V224" s="57">
        <f>3808.71846638707*Deflactores!$S$5</f>
        <v>6148.9770655849015</v>
      </c>
    </row>
    <row r="225" spans="2:22" x14ac:dyDescent="0.2">
      <c r="C225" s="87" t="s">
        <v>141</v>
      </c>
      <c r="D225" s="56">
        <f>331.4965143222*Deflactores!$A$5</f>
        <v>1237.1170041405414</v>
      </c>
      <c r="E225" s="56">
        <f>326.31665537064*Deflactores!$B$5</f>
        <v>1131.2637194392751</v>
      </c>
      <c r="F225" s="56">
        <f>349.9234091645*Deflactores!$C$5</f>
        <v>1133.8274237861006</v>
      </c>
      <c r="G225" s="56">
        <f>356.3717167347*Deflactores!$D$5</f>
        <v>1084.333333316074</v>
      </c>
      <c r="H225" s="56">
        <f>382.70238872206*Deflactores!$E$5</f>
        <v>1103.7754065131228</v>
      </c>
      <c r="I225" s="56">
        <f>434.63290751267*Deflactores!$F$5</f>
        <v>1195.5075292925164</v>
      </c>
      <c r="J225" s="56">
        <f>501.589129461639*Deflactores!$G$5</f>
        <v>1320.5449556866276</v>
      </c>
      <c r="K225" s="56">
        <f>568.47644249831*Deflactores!$H$5</f>
        <v>1416.0067312405588</v>
      </c>
      <c r="L225" s="56">
        <f>660.63340996333*Deflactores!$I$5</f>
        <v>1528.2733285073084</v>
      </c>
      <c r="M225" s="56">
        <f>748.75178067771*Deflactores!$J$5</f>
        <v>1698.128297088035</v>
      </c>
      <c r="N225" s="56">
        <f>829.28647848606*Deflactores!$K$5</f>
        <v>1822.9662973370878</v>
      </c>
      <c r="O225" s="56">
        <f>864.11494485067*Deflactores!$L$5</f>
        <v>1831.2813492841103</v>
      </c>
      <c r="P225" s="56">
        <f>990.790870488039*Deflactores!$M$5</f>
        <v>2049.7268137174701</v>
      </c>
      <c r="Q225" s="56">
        <f>1110.97696186676*Deflactores!$N$5</f>
        <v>2254.6254768050421</v>
      </c>
      <c r="R225" s="56">
        <f>1234.09479916246*Deflactores!$O$5</f>
        <v>2416.0542102952377</v>
      </c>
      <c r="S225" s="56">
        <f>1297.97748430956*Deflactores!$P$5</f>
        <v>2379.9951316237484</v>
      </c>
      <c r="T225" s="56">
        <f>1436.19019104751*Deflactores!$Q$5</f>
        <v>2490.235901130975</v>
      </c>
      <c r="U225" s="56">
        <f>1597.19964162511*Deflactores!$R$5</f>
        <v>2660.5947467755705</v>
      </c>
      <c r="V225" s="56">
        <f>1732.97311843895*Deflactores!$S$5</f>
        <v>2797.794600624416</v>
      </c>
    </row>
    <row r="226" spans="2:22" x14ac:dyDescent="0.2">
      <c r="C226" s="88" t="s">
        <v>142</v>
      </c>
      <c r="D226" s="57">
        <f>104.84427173628*Deflactores!$A$5</f>
        <v>391.26997041548486</v>
      </c>
      <c r="E226" s="57">
        <f>274.33863748824*Deflactores!$B$5</f>
        <v>951.06805712489745</v>
      </c>
      <c r="F226" s="57">
        <f>116.855616179789*Deflactores!$C$5</f>
        <v>378.63743544457088</v>
      </c>
      <c r="G226" s="57">
        <f>110.96458620939*Deflactores!$D$5</f>
        <v>337.63229233491774</v>
      </c>
      <c r="H226" s="57">
        <f>204.6908372228*Deflactores!$E$5</f>
        <v>590.36138452010698</v>
      </c>
      <c r="I226" s="57">
        <f>89.68740909649*Deflactores!$F$5</f>
        <v>246.69547796370273</v>
      </c>
      <c r="J226" s="57">
        <f>123.475751287849*Deflactores!$G$5</f>
        <v>325.07738093884649</v>
      </c>
      <c r="K226" s="57">
        <f>209.11009018618*Deflactores!$H$5</f>
        <v>520.86818931785626</v>
      </c>
      <c r="L226" s="57">
        <f>234.476219478349*Deflactores!$I$5</f>
        <v>542.42450804581222</v>
      </c>
      <c r="M226" s="57">
        <f>388.54979005678*Deflactores!$J$5</f>
        <v>881.20978186633306</v>
      </c>
      <c r="N226" s="57">
        <f>408.75087080791*Deflactores!$K$5</f>
        <v>898.53034002233721</v>
      </c>
      <c r="O226" s="57">
        <f>355.986465884319*Deflactores!$L$5</f>
        <v>754.42668762565631</v>
      </c>
      <c r="P226" s="57">
        <f>550.920808289336*Deflactores!$M$5</f>
        <v>1139.733102737735</v>
      </c>
      <c r="Q226" s="57">
        <f>401.33351556564*Deflactores!$N$5</f>
        <v>814.46942641331293</v>
      </c>
      <c r="R226" s="57">
        <f>397.78579724981*Deflactores!$O$5</f>
        <v>778.76679400423666</v>
      </c>
      <c r="S226" s="57">
        <f>324.227407333473*Deflactores!$P$5</f>
        <v>594.5092733277487</v>
      </c>
      <c r="T226" s="57">
        <f>368.24813616203*Deflactores!$Q$5</f>
        <v>638.51204033527551</v>
      </c>
      <c r="U226" s="57">
        <f>393.602880587909*Deflactores!$R$5</f>
        <v>655.65864724487756</v>
      </c>
      <c r="V226" s="57">
        <f>346.847336517788*Deflactores!$S$5</f>
        <v>559.96691179177867</v>
      </c>
    </row>
    <row r="227" spans="2:22" x14ac:dyDescent="0.2">
      <c r="C227" s="87" t="s">
        <v>143</v>
      </c>
      <c r="D227" s="56">
        <f>519.34846388923*Deflactores!$A$5</f>
        <v>1938.1646201177234</v>
      </c>
      <c r="E227" s="56">
        <f>434.53259556806*Deflactores!$B$5</f>
        <v>1506.4231389647737</v>
      </c>
      <c r="F227" s="56">
        <f>581.73350719791*Deflactores!$C$5</f>
        <v>1884.942208842582</v>
      </c>
      <c r="G227" s="56">
        <f>493.253587233749*Deflactores!$D$5</f>
        <v>1500.8242273430767</v>
      </c>
      <c r="H227" s="56">
        <f>544.38970826548*Deflactores!$E$5</f>
        <v>1570.1077109782195</v>
      </c>
      <c r="I227" s="56">
        <f>536.00393416154*Deflactores!$F$5</f>
        <v>1474.340133810166</v>
      </c>
      <c r="J227" s="56">
        <f>193.70758400371*Deflactores!$G$5</f>
        <v>509.97830277720607</v>
      </c>
      <c r="K227" s="56">
        <f>323.4822294536*Deflactores!$H$5</f>
        <v>805.75548976132325</v>
      </c>
      <c r="L227" s="56">
        <f>279.03868379348*Deflactores!$I$5</f>
        <v>645.51288450130153</v>
      </c>
      <c r="M227" s="56">
        <f>273.710360827189*Deflactores!$J$5</f>
        <v>620.76020507908595</v>
      </c>
      <c r="N227" s="56">
        <f>278.476700110319*Deflactores!$K$5</f>
        <v>612.15713998077956</v>
      </c>
      <c r="O227" s="56">
        <f>258.214570902429*Deflactores!$L$5</f>
        <v>547.22294831821773</v>
      </c>
      <c r="P227" s="56">
        <f>321.70650642284*Deflactores!$M$5</f>
        <v>665.53949173699743</v>
      </c>
      <c r="Q227" s="56">
        <f>423.04089814125*Deflactores!$N$5</f>
        <v>858.5225611493272</v>
      </c>
      <c r="R227" s="56">
        <f>400.465229152289*Deflactores!$O$5</f>
        <v>784.0124629217114</v>
      </c>
      <c r="S227" s="56">
        <f>453.70967117815*Deflactores!$P$5</f>
        <v>831.93030821255491</v>
      </c>
      <c r="T227" s="56">
        <f>503.69324227082*Deflactores!$Q$5</f>
        <v>873.36273627172022</v>
      </c>
      <c r="U227" s="56">
        <f>965.463301785449*Deflactores!$R$5</f>
        <v>1608.2564270558996</v>
      </c>
      <c r="V227" s="56">
        <f>613.92871019729*Deflactores!$S$5</f>
        <v>991.15584210881116</v>
      </c>
    </row>
    <row r="228" spans="2:22" x14ac:dyDescent="0.2">
      <c r="C228" s="88" t="s">
        <v>144</v>
      </c>
      <c r="D228" s="57">
        <f>651.603211265379*Deflactores!$A$5</f>
        <v>2431.7281714325327</v>
      </c>
      <c r="E228" s="57">
        <f>768.78315157199*Deflactores!$B$5</f>
        <v>2665.1918410408766</v>
      </c>
      <c r="F228" s="57">
        <f>757.37753802298*Deflactores!$C$5</f>
        <v>2454.06680513438</v>
      </c>
      <c r="G228" s="57">
        <f>758.64414113991*Deflactores!$D$5</f>
        <v>2308.3288929332975</v>
      </c>
      <c r="H228" s="57">
        <f>857.92111038983*Deflactores!$E$5</f>
        <v>2474.3828371148584</v>
      </c>
      <c r="I228" s="57">
        <f>1001.1944786702*Deflactores!$F$5</f>
        <v>2753.8999391145462</v>
      </c>
      <c r="J228" s="57">
        <f>1141.28755112517*Deflactores!$G$5</f>
        <v>3004.6933438208625</v>
      </c>
      <c r="K228" s="57">
        <f>1251.92743625646*Deflactores!$H$5</f>
        <v>3118.4012990461833</v>
      </c>
      <c r="L228" s="57">
        <f>1382.48460054591*Deflactores!$I$5</f>
        <v>3198.164534554302</v>
      </c>
      <c r="M228" s="57">
        <f>1591.79816597595*Deflactores!$J$5</f>
        <v>3610.111626646134</v>
      </c>
      <c r="N228" s="57">
        <f>1706.0588827173*Deflactores!$K$5</f>
        <v>3750.3178034977273</v>
      </c>
      <c r="O228" s="57">
        <f>1844.54177571752*Deflactores!$L$5</f>
        <v>3909.0574372957162</v>
      </c>
      <c r="P228" s="57">
        <f>2123.5887388934*Deflactores!$M$5</f>
        <v>4393.2346462520391</v>
      </c>
      <c r="Q228" s="57">
        <f>2573.40625712867*Deflactores!$N$5</f>
        <v>5222.4911124553564</v>
      </c>
      <c r="R228" s="57">
        <f>2816.204692881*Deflactores!$O$5</f>
        <v>5513.4364150193896</v>
      </c>
      <c r="S228" s="57">
        <f>2925.89222470222*Deflactores!$P$5</f>
        <v>5364.9692191319118</v>
      </c>
      <c r="T228" s="57">
        <f>3162.40046426952*Deflactores!$Q$5</f>
        <v>5483.3428183584556</v>
      </c>
      <c r="U228" s="57">
        <f>3462.24762919294*Deflactores!$R$5</f>
        <v>5767.3678444444822</v>
      </c>
      <c r="V228" s="57">
        <f>4024.01833501514*Deflactores!$S$5</f>
        <v>6496.5674601233741</v>
      </c>
    </row>
    <row r="229" spans="2:22" x14ac:dyDescent="0.2">
      <c r="C229" s="87" t="s">
        <v>145</v>
      </c>
      <c r="D229" s="56">
        <f>162.86828866117*Deflactores!$A$5</f>
        <v>607.81070277609888</v>
      </c>
      <c r="E229" s="56">
        <f>129.521367984739*Deflactores!$B$5</f>
        <v>449.02036743069078</v>
      </c>
      <c r="F229" s="56">
        <f>195.18221528276*Deflactores!$C$5</f>
        <v>632.43253388309529</v>
      </c>
      <c r="G229" s="56">
        <f>241.405617519489*Deflactores!$D$5</f>
        <v>734.52562488566514</v>
      </c>
      <c r="H229" s="56">
        <f>137.96290002252*Deflactores!$E$5</f>
        <v>397.90725259015994</v>
      </c>
      <c r="I229" s="56">
        <f>195.52114332484*Deflactores!$F$5</f>
        <v>537.80327016290994</v>
      </c>
      <c r="J229" s="56">
        <f>478.85840088375*Deflactores!$G$5</f>
        <v>1260.7012565322407</v>
      </c>
      <c r="K229" s="56">
        <f>330.13499634437*Deflactores!$H$5</f>
        <v>822.32673527732834</v>
      </c>
      <c r="L229" s="56">
        <f>322.29767710058*Deflactores!$I$5</f>
        <v>745.58588216120916</v>
      </c>
      <c r="M229" s="56">
        <f>344.87103264158*Deflactores!$J$5</f>
        <v>782.14873672095746</v>
      </c>
      <c r="N229" s="56">
        <f>707.77560472435*Deflactores!$K$5</f>
        <v>1555.8568805382438</v>
      </c>
      <c r="O229" s="56">
        <f>530.47093129209*Deflactores!$L$5</f>
        <v>1124.2040524833817</v>
      </c>
      <c r="P229" s="56">
        <f>416.5564495479*Deflactores!$M$5</f>
        <v>861.76301124444683</v>
      </c>
      <c r="Q229" s="56">
        <f>532.24238499859*Deflactores!$N$5</f>
        <v>1080.1369265452115</v>
      </c>
      <c r="R229" s="56">
        <f>1081.36811758866*Deflactores!$O$5</f>
        <v>2117.0529161554155</v>
      </c>
      <c r="S229" s="56">
        <f>838.95819733716*Deflactores!$P$5</f>
        <v>1538.3290152836516</v>
      </c>
      <c r="T229" s="56">
        <f>721.61593149353*Deflactores!$Q$5</f>
        <v>1251.2227911280957</v>
      </c>
      <c r="U229" s="56">
        <f>761.74939752261*Deflactores!$R$5</f>
        <v>1268.9124093128332</v>
      </c>
      <c r="V229" s="56">
        <f>1823.78899135751*Deflactores!$S$5</f>
        <v>2944.4120848768075</v>
      </c>
    </row>
    <row r="230" spans="2:22" x14ac:dyDescent="0.2">
      <c r="C230" s="88" t="s">
        <v>146</v>
      </c>
      <c r="D230" s="57">
        <f>189.67614194636*Deflactores!$A$5</f>
        <v>707.85534792545639</v>
      </c>
      <c r="E230" s="57">
        <f>204.624024604049*Deflactores!$B$5</f>
        <v>709.38375761814609</v>
      </c>
      <c r="F230" s="57">
        <f>199.01195629783*Deflactores!$C$5</f>
        <v>644.84172193728307</v>
      </c>
      <c r="G230" s="57">
        <f>213.7177854897*Deflactores!$D$5</f>
        <v>650.27977206590526</v>
      </c>
      <c r="H230" s="57">
        <f>213.111016007869*Deflactores!$E$5</f>
        <v>614.64653803701515</v>
      </c>
      <c r="I230" s="57">
        <f>259.97727299458*Deflactores!$F$5</f>
        <v>715.09722788511158</v>
      </c>
      <c r="J230" s="57">
        <f>261.49198880641*Deflactores!$G$5</f>
        <v>688.43582623370617</v>
      </c>
      <c r="K230" s="57">
        <f>253.14528251635*Deflactores!$H$5</f>
        <v>630.55457927090822</v>
      </c>
      <c r="L230" s="57">
        <f>258.45219428857*Deflactores!$I$5</f>
        <v>597.88922156894102</v>
      </c>
      <c r="M230" s="57">
        <f>275.82087038871*Deflactores!$J$5</f>
        <v>625.54672592642169</v>
      </c>
      <c r="N230" s="57">
        <f>320.82054443847*Deflactores!$K$5</f>
        <v>705.23884710185507</v>
      </c>
      <c r="O230" s="57">
        <f>353.989538474867*Deflactores!$L$5</f>
        <v>750.19468591963835</v>
      </c>
      <c r="P230" s="57">
        <f>587.289055004951*Deflactores!$M$5</f>
        <v>1214.9709482622595</v>
      </c>
      <c r="Q230" s="57">
        <f>576.149773761403*Deflactores!$N$5</f>
        <v>1169.2429302901337</v>
      </c>
      <c r="R230" s="57">
        <f>643.094560661233*Deflactores!$O$5</f>
        <v>1259.0210427578324</v>
      </c>
      <c r="S230" s="57">
        <f>814.727557090594*Deflactores!$P$5</f>
        <v>1493.8992724567725</v>
      </c>
      <c r="T230" s="57">
        <f>970.638021477386*Deflactores!$Q$5</f>
        <v>1683.0066540997323</v>
      </c>
      <c r="U230" s="57">
        <f>891.006933013587*Deflactores!$R$5</f>
        <v>1484.2279596960893</v>
      </c>
      <c r="V230" s="57">
        <f>817.33229387514*Deflactores!$S$5</f>
        <v>1319.5403058413876</v>
      </c>
    </row>
    <row r="231" spans="2:22" x14ac:dyDescent="0.2">
      <c r="C231" s="90" t="s">
        <v>147</v>
      </c>
      <c r="D231" s="58">
        <f>4801.66123655999*Deflactores!$A$5</f>
        <v>17919.394344210912</v>
      </c>
      <c r="E231" s="58">
        <f>6489.5945976592*Deflactores!$B$5</f>
        <v>22497.910546007366</v>
      </c>
      <c r="F231" s="58">
        <f>7516.56890423311*Deflactores!$C$5</f>
        <v>24355.306713392507</v>
      </c>
      <c r="G231" s="58">
        <f>8343.37622310467*Deflactores!$D$5</f>
        <v>25386.416840268441</v>
      </c>
      <c r="H231" s="58">
        <f>10517.3973374364*Deflactores!$E$5</f>
        <v>30333.870035025815</v>
      </c>
      <c r="I231" s="58">
        <f>13701.909543934*Deflactores!$F$5</f>
        <v>37688.669546910853</v>
      </c>
      <c r="J231" s="58">
        <f>15092.6279285219*Deflactores!$G$5</f>
        <v>39734.700192678269</v>
      </c>
      <c r="K231" s="58">
        <f>17111.3338741922*Deflactores!$H$5</f>
        <v>42622.283238118136</v>
      </c>
      <c r="L231" s="58">
        <f>18989.3340223265*Deflactores!$I$5</f>
        <v>43928.890478077497</v>
      </c>
      <c r="M231" s="58">
        <f>19927.9792076336*Deflactores!$J$5</f>
        <v>45195.572510872858</v>
      </c>
      <c r="N231" s="58">
        <f>20054.4913758102*Deflactores!$K$5</f>
        <v>44084.47844836508</v>
      </c>
      <c r="O231" s="58">
        <f>20703.7381342028*Deflactores!$L$5</f>
        <v>43876.534865601556</v>
      </c>
      <c r="P231" s="58">
        <f>23573.6346259336*Deflactores!$M$5</f>
        <v>48768.627597218081</v>
      </c>
      <c r="Q231" s="58">
        <f>28265.2954945901*Deflactores!$N$5</f>
        <v>57361.815338137058</v>
      </c>
      <c r="R231" s="58">
        <f>31655.4594451141*Deflactores!$O$5</f>
        <v>61973.606989595486</v>
      </c>
      <c r="S231" s="58">
        <f>32006.668237379*Deflactores!$P$5</f>
        <v>58688.009233826604</v>
      </c>
      <c r="T231" s="58">
        <f>34274.1266870674*Deflactores!$Q$5</f>
        <v>59428.522272384078</v>
      </c>
      <c r="U231" s="58">
        <f>37149.9971082152*Deflactores!$R$5</f>
        <v>61883.990312116963</v>
      </c>
      <c r="V231" s="58">
        <f>46000.2904956762*Deflactores!$S$5</f>
        <v>74265.06678412242</v>
      </c>
    </row>
    <row r="232" spans="2:22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0.22979044090739087</v>
      </c>
      <c r="V232" s="59">
        <f>120.319795553179*Deflactores!$S$5</f>
        <v>194.25002659599929</v>
      </c>
    </row>
    <row r="233" spans="2:22" x14ac:dyDescent="0.2">
      <c r="C233" s="87" t="s">
        <v>149</v>
      </c>
      <c r="D233" s="56">
        <f>169.42402114659*Deflactores!$A$5</f>
        <v>632.27614292979797</v>
      </c>
      <c r="E233" s="56">
        <f>149.61616603736*Deflactores!$B$5</f>
        <v>518.68434446725632</v>
      </c>
      <c r="F233" s="56">
        <f>120.16496513471*Deflactores!$C$5</f>
        <v>389.36044082716694</v>
      </c>
      <c r="G233" s="56">
        <f>126.31937811507*Deflactores!$D$5</f>
        <v>384.35236552707704</v>
      </c>
      <c r="H233" s="56">
        <f>211.10386242088*Deflactores!$E$5</f>
        <v>608.85758340359621</v>
      </c>
      <c r="I233" s="56">
        <f>91.9670290025799*Deflactores!$F$5</f>
        <v>252.96583327860981</v>
      </c>
      <c r="J233" s="56">
        <f>256.657457190679*Deflactores!$G$5</f>
        <v>675.70784637275233</v>
      </c>
      <c r="K233" s="56">
        <f>379.48000777413*Deflactores!$H$5</f>
        <v>945.23924864482854</v>
      </c>
      <c r="L233" s="56">
        <f>434.218503025909*Deflactores!$I$5</f>
        <v>1004.497421581663</v>
      </c>
      <c r="M233" s="56">
        <f>635.25627486534*Deflactores!$J$5</f>
        <v>1440.7266654847531</v>
      </c>
      <c r="N233" s="56">
        <f>688.58569237485*Deflactores!$K$5</f>
        <v>1513.672949689817</v>
      </c>
      <c r="O233" s="56">
        <f>908.77566557938*Deflactores!$L$5</f>
        <v>1925.9288789946474</v>
      </c>
      <c r="P233" s="56">
        <f>888.81470912145*Deflactores!$M$5</f>
        <v>1838.7607273927979</v>
      </c>
      <c r="Q233" s="56">
        <f>1083.53068816234*Deflactores!$N$5</f>
        <v>2198.9257907977185</v>
      </c>
      <c r="R233" s="56">
        <f>1558.05970636825*Deflactores!$O$5</f>
        <v>3050.2978507138341</v>
      </c>
      <c r="S233" s="56">
        <f>1282.87530941286*Deflactores!$P$5</f>
        <v>2352.3035089526543</v>
      </c>
      <c r="T233" s="56">
        <f>1083.8850099488*Deflactores!$Q$5</f>
        <v>1879.3676361927728</v>
      </c>
      <c r="U233" s="56">
        <f>1053.41298792114*Deflactores!$R$5</f>
        <v>1754.7618900017167</v>
      </c>
      <c r="V233" s="56">
        <f>1185.75721917907*Deflactores!$S$5</f>
        <v>1914.3431079063764</v>
      </c>
    </row>
    <row r="234" spans="2:22" x14ac:dyDescent="0.2">
      <c r="C234" s="88" t="s">
        <v>150</v>
      </c>
      <c r="D234" s="57">
        <f>710.6718386997*Deflactores!$A$5</f>
        <v>2652.1673020208427</v>
      </c>
      <c r="E234" s="57">
        <f>1310.42666840421*Deflactores!$B$5</f>
        <v>4542.9435566737084</v>
      </c>
      <c r="F234" s="57">
        <f>852.87997947447*Deflactores!$C$5</f>
        <v>2763.5153425007998</v>
      </c>
      <c r="G234" s="57">
        <f>855.05354285731*Deflactores!$D$5</f>
        <v>2601.6740800460598</v>
      </c>
      <c r="H234" s="57">
        <f>1044.00926729736*Deflactores!$E$5</f>
        <v>3011.091091598892</v>
      </c>
      <c r="I234" s="57">
        <f>1329.05606332228*Deflactores!$F$5</f>
        <v>3655.7207314251496</v>
      </c>
      <c r="J234" s="57">
        <f>1695.86523669854*Deflactores!$G$5</f>
        <v>4464.7424601290886</v>
      </c>
      <c r="K234" s="57">
        <f>2331.58665907746*Deflactores!$H$5</f>
        <v>5807.7031111701417</v>
      </c>
      <c r="L234" s="57">
        <f>2012.62997777102*Deflactores!$I$5</f>
        <v>4655.9085096111612</v>
      </c>
      <c r="M234" s="57">
        <f>2822.91157390977*Deflactores!$J$5</f>
        <v>6402.2098478278886</v>
      </c>
      <c r="N234" s="57">
        <f>2879.68836024903*Deflactores!$K$5</f>
        <v>6330.2308234320599</v>
      </c>
      <c r="O234" s="57">
        <f>3691.7343323927*Deflactores!$L$5</f>
        <v>7823.7325597821891</v>
      </c>
      <c r="P234" s="57">
        <f>5905.67891817859*Deflactores!$M$5</f>
        <v>12217.541352428894</v>
      </c>
      <c r="Q234" s="57">
        <f>5934.82122480479*Deflactores!$N$5</f>
        <v>12044.173365435594</v>
      </c>
      <c r="R234" s="57">
        <f>5931.45502761803*Deflactores!$O$5</f>
        <v>11612.33067538992</v>
      </c>
      <c r="S234" s="57">
        <f>5241.71367924821*Deflactores!$P$5</f>
        <v>9611.3015740117971</v>
      </c>
      <c r="T234" s="57">
        <f>3974.84731708563*Deflactores!$Q$5</f>
        <v>6892.0589711737775</v>
      </c>
      <c r="U234" s="57">
        <f>4137.15985980063*Deflactores!$R$5</f>
        <v>6891.6280111086544</v>
      </c>
      <c r="V234" s="57">
        <f>3920.27935701715*Deflactores!$S$5</f>
        <v>6329.0862975889431</v>
      </c>
    </row>
    <row r="235" spans="2:22" x14ac:dyDescent="0.2">
      <c r="C235" s="87" t="s">
        <v>151</v>
      </c>
      <c r="D235" s="56">
        <f>102.62553094401*Deflactores!$A$5</f>
        <v>382.98981710072144</v>
      </c>
      <c r="E235" s="56">
        <f>56.12031383494*Deflactores!$B$5</f>
        <v>194.55603604695992</v>
      </c>
      <c r="F235" s="56">
        <f>79.36781270879*Deflactores!$C$5</f>
        <v>257.16885540755811</v>
      </c>
      <c r="G235" s="56">
        <f>58.11579675183*Deflactores!$D$5</f>
        <v>176.82911592320346</v>
      </c>
      <c r="H235" s="56">
        <f>29.9712437914*Deflactores!$E$5</f>
        <v>86.441900480485643</v>
      </c>
      <c r="I235" s="56">
        <f>38.39018128682*Deflactores!$F$5</f>
        <v>105.59658503989387</v>
      </c>
      <c r="J235" s="56">
        <f>128.79955595091*Deflactores!$G$5</f>
        <v>339.09348092971328</v>
      </c>
      <c r="K235" s="56">
        <f>303.05471304116*Deflactores!$H$5</f>
        <v>754.87299300310804</v>
      </c>
      <c r="L235" s="56">
        <f>211.56625805128*Deflactores!$I$5</f>
        <v>489.42585178944108</v>
      </c>
      <c r="M235" s="56">
        <f>247.00716585591*Deflactores!$J$5</f>
        <v>560.19881187298927</v>
      </c>
      <c r="N235" s="56">
        <f>184.41300274062*Deflactores!$K$5</f>
        <v>405.38305821723742</v>
      </c>
      <c r="O235" s="56">
        <f>790.501183071729*Deflactores!$L$5</f>
        <v>1675.2748945876062</v>
      </c>
      <c r="P235" s="56">
        <f>2083.90812294276*Deflactores!$M$5</f>
        <v>4311.1442425942132</v>
      </c>
      <c r="Q235" s="56">
        <f>2012.63460090615*Deflactores!$N$5</f>
        <v>4084.4566561287229</v>
      </c>
      <c r="R235" s="56">
        <f>2229.53886662888*Deflactores!$O$5</f>
        <v>4364.8889610355272</v>
      </c>
      <c r="S235" s="56">
        <f>2130.09994283383*Deflactores!$P$5</f>
        <v>3905.7900118454322</v>
      </c>
      <c r="T235" s="56">
        <f>2067.46919018956*Deflactores!$Q$5</f>
        <v>3584.8218668984841</v>
      </c>
      <c r="U235" s="56">
        <f>2294.6695789907*Deflactores!$R$5</f>
        <v>3822.4312530126131</v>
      </c>
      <c r="V235" s="56">
        <f>2303.41686545827*Deflactores!$S$5</f>
        <v>3718.7462405484475</v>
      </c>
    </row>
    <row r="236" spans="2:22" x14ac:dyDescent="0.2">
      <c r="C236" s="79" t="s">
        <v>152</v>
      </c>
      <c r="D236" s="44">
        <f t="shared" ref="D236:V236" si="63">+SUM(D207:D235)</f>
        <v>97812.814627968008</v>
      </c>
      <c r="E236" s="44">
        <f t="shared" si="63"/>
        <v>119174.71194409998</v>
      </c>
      <c r="F236" s="44">
        <f t="shared" si="63"/>
        <v>114508.22327746716</v>
      </c>
      <c r="G236" s="44">
        <f t="shared" si="63"/>
        <v>115726.32638631314</v>
      </c>
      <c r="H236" s="44">
        <f t="shared" si="63"/>
        <v>132784.11983794204</v>
      </c>
      <c r="I236" s="44">
        <f t="shared" si="63"/>
        <v>148304.04724514709</v>
      </c>
      <c r="J236" s="44">
        <f t="shared" si="63"/>
        <v>150243.47256010192</v>
      </c>
      <c r="K236" s="44">
        <f t="shared" si="63"/>
        <v>168670.26412000458</v>
      </c>
      <c r="L236" s="44">
        <f t="shared" si="63"/>
        <v>177428.55286380937</v>
      </c>
      <c r="M236" s="44">
        <f t="shared" si="63"/>
        <v>201555.47935087324</v>
      </c>
      <c r="N236" s="44">
        <f t="shared" si="63"/>
        <v>196479.87392280868</v>
      </c>
      <c r="O236" s="44">
        <f t="shared" si="63"/>
        <v>203991.83261170139</v>
      </c>
      <c r="P236" s="44">
        <f t="shared" si="63"/>
        <v>220173.048325068</v>
      </c>
      <c r="Q236" s="44">
        <f t="shared" si="63"/>
        <v>245618.27156637757</v>
      </c>
      <c r="R236" s="44">
        <f t="shared" si="63"/>
        <v>256778.97118761361</v>
      </c>
      <c r="S236" s="44">
        <f t="shared" si="63"/>
        <v>254462.55819703935</v>
      </c>
      <c r="T236" s="44">
        <f t="shared" si="63"/>
        <v>249348.36157149871</v>
      </c>
      <c r="U236" s="44">
        <f t="shared" si="63"/>
        <v>265319.88068216713</v>
      </c>
      <c r="V236" s="44">
        <f t="shared" si="63"/>
        <v>269989.40221241256</v>
      </c>
    </row>
    <row r="237" spans="2:22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B238" s="9"/>
    </row>
    <row r="241" spans="3:22" ht="18" customHeight="1" x14ac:dyDescent="0.2">
      <c r="D241" s="164" t="s">
        <v>159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spans="3:22" x14ac:dyDescent="0.2">
      <c r="H242" s="27"/>
      <c r="I242" s="27"/>
      <c r="J242" s="27"/>
      <c r="L242" s="179"/>
      <c r="M242" s="160"/>
      <c r="N242" s="160"/>
      <c r="O242" s="160"/>
      <c r="P242" s="160"/>
      <c r="Q242" s="160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81" t="s">
        <v>120</v>
      </c>
      <c r="D244" s="155">
        <v>2000</v>
      </c>
      <c r="E244" s="155">
        <v>2001</v>
      </c>
      <c r="F244" s="155">
        <v>2002</v>
      </c>
      <c r="G244" s="155">
        <v>2003</v>
      </c>
      <c r="H244" s="155">
        <v>2004</v>
      </c>
      <c r="I244" s="155">
        <v>2005</v>
      </c>
      <c r="J244" s="155">
        <v>2006</v>
      </c>
      <c r="K244" s="155">
        <v>2007</v>
      </c>
      <c r="L244" s="155">
        <v>2008</v>
      </c>
      <c r="M244" s="155">
        <v>2009</v>
      </c>
      <c r="N244" s="155">
        <v>2010</v>
      </c>
      <c r="O244" s="155">
        <v>2011</v>
      </c>
      <c r="P244" s="155">
        <v>2012</v>
      </c>
      <c r="Q244" s="155">
        <v>2013</v>
      </c>
      <c r="R244" s="155">
        <v>2014</v>
      </c>
      <c r="S244" s="155">
        <v>2015</v>
      </c>
      <c r="T244" s="155">
        <v>2016</v>
      </c>
      <c r="U244" s="155">
        <v>2017</v>
      </c>
      <c r="V244" s="155">
        <v>2018</v>
      </c>
    </row>
    <row r="245" spans="3:22" ht="12" customHeight="1" thickBot="1" x14ac:dyDescent="0.25">
      <c r="C245" s="162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</row>
    <row r="246" spans="3:22" x14ac:dyDescent="0.2">
      <c r="C246" s="87" t="s">
        <v>123</v>
      </c>
      <c r="D246" s="60">
        <f t="shared" ref="D246:V246" si="64">+IFERROR(IF(D207&gt;0,+((D207/D14)*100)," "),"")</f>
        <v>60.160546682464975</v>
      </c>
      <c r="E246" s="60">
        <f t="shared" si="64"/>
        <v>63.457511373096565</v>
      </c>
      <c r="F246" s="60">
        <f t="shared" si="64"/>
        <v>58.509631515480621</v>
      </c>
      <c r="G246" s="60">
        <f t="shared" si="64"/>
        <v>66.100723644467948</v>
      </c>
      <c r="H246" s="60">
        <f t="shared" si="64"/>
        <v>65.161453767044762</v>
      </c>
      <c r="I246" s="60">
        <f t="shared" si="64"/>
        <v>72.924475103273707</v>
      </c>
      <c r="J246" s="60">
        <f t="shared" si="64"/>
        <v>78.033019045122145</v>
      </c>
      <c r="K246" s="60">
        <f t="shared" si="64"/>
        <v>88.766811840723463</v>
      </c>
      <c r="L246" s="60">
        <f t="shared" si="64"/>
        <v>91.485988038595295</v>
      </c>
      <c r="M246" s="60">
        <f t="shared" si="64"/>
        <v>76.297830517400584</v>
      </c>
      <c r="N246" s="60">
        <f t="shared" si="64"/>
        <v>77.380378930863131</v>
      </c>
      <c r="O246" s="60">
        <f t="shared" si="64"/>
        <v>77.05141809103506</v>
      </c>
      <c r="P246" s="60">
        <f t="shared" si="64"/>
        <v>61.938219361280822</v>
      </c>
      <c r="Q246" s="60">
        <f t="shared" si="64"/>
        <v>67.658759684932349</v>
      </c>
      <c r="R246" s="60">
        <f t="shared" si="64"/>
        <v>57.114464856097968</v>
      </c>
      <c r="S246" s="60">
        <f t="shared" si="64"/>
        <v>58.793721003455047</v>
      </c>
      <c r="T246" s="60">
        <f t="shared" si="64"/>
        <v>50.509581916507805</v>
      </c>
      <c r="U246" s="60">
        <f t="shared" si="64"/>
        <v>60.710439166762967</v>
      </c>
      <c r="V246" s="60">
        <f t="shared" si="64"/>
        <v>60.355080710273</v>
      </c>
    </row>
    <row r="247" spans="3:22" x14ac:dyDescent="0.2">
      <c r="C247" s="88" t="s">
        <v>124</v>
      </c>
      <c r="D247" s="62">
        <f t="shared" ref="D247:V247" si="65">+IFERROR(IF(D208&gt;0,+((D208/D15)*100)," "),"")</f>
        <v>60.837948200215976</v>
      </c>
      <c r="E247" s="62">
        <f t="shared" si="65"/>
        <v>72.246910875912207</v>
      </c>
      <c r="F247" s="62">
        <f t="shared" si="65"/>
        <v>67.207173512942148</v>
      </c>
      <c r="G247" s="62">
        <f t="shared" si="65"/>
        <v>62.606102539661677</v>
      </c>
      <c r="H247" s="62">
        <f t="shared" si="65"/>
        <v>39.331421175303156</v>
      </c>
      <c r="I247" s="62">
        <f t="shared" si="65"/>
        <v>52.359765255651183</v>
      </c>
      <c r="J247" s="62">
        <f t="shared" si="65"/>
        <v>46.472173054335272</v>
      </c>
      <c r="K247" s="62">
        <f t="shared" si="65"/>
        <v>80.888308657986499</v>
      </c>
      <c r="L247" s="62">
        <f t="shared" si="65"/>
        <v>79.536711913248297</v>
      </c>
      <c r="M247" s="62">
        <f t="shared" si="65"/>
        <v>79.45646583506759</v>
      </c>
      <c r="N247" s="62">
        <f t="shared" si="65"/>
        <v>83.807616496719461</v>
      </c>
      <c r="O247" s="62">
        <f t="shared" si="65"/>
        <v>94.523961100042442</v>
      </c>
      <c r="P247" s="62">
        <f t="shared" si="65"/>
        <v>76.175310074404351</v>
      </c>
      <c r="Q247" s="62">
        <f t="shared" si="65"/>
        <v>66.949319195099051</v>
      </c>
      <c r="R247" s="62">
        <f t="shared" si="65"/>
        <v>72.081549268988113</v>
      </c>
      <c r="S247" s="62">
        <f t="shared" si="65"/>
        <v>63.916490507191646</v>
      </c>
      <c r="T247" s="62">
        <f t="shared" si="65"/>
        <v>66.254142194130594</v>
      </c>
      <c r="U247" s="62">
        <f t="shared" si="65"/>
        <v>69.124640990805403</v>
      </c>
      <c r="V247" s="62">
        <f t="shared" si="65"/>
        <v>76.945092983467205</v>
      </c>
    </row>
    <row r="248" spans="3:22" x14ac:dyDescent="0.2">
      <c r="C248" s="87" t="s">
        <v>125</v>
      </c>
      <c r="D248" s="60">
        <f t="shared" ref="D248:V248" si="66">+IFERROR(IF(D209&gt;0,+((D209/D16)*100)," "),"")</f>
        <v>66.15653595535953</v>
      </c>
      <c r="E248" s="60">
        <f t="shared" si="66"/>
        <v>51.967734163153523</v>
      </c>
      <c r="F248" s="60">
        <f t="shared" si="66"/>
        <v>34.234644661719003</v>
      </c>
      <c r="G248" s="60">
        <f t="shared" si="66"/>
        <v>24.513710702207771</v>
      </c>
      <c r="H248" s="60">
        <f t="shared" si="66"/>
        <v>44.584197100288229</v>
      </c>
      <c r="I248" s="60">
        <f t="shared" si="66"/>
        <v>43.73102977581042</v>
      </c>
      <c r="J248" s="60">
        <f t="shared" si="66"/>
        <v>34.136821742501958</v>
      </c>
      <c r="K248" s="60">
        <f t="shared" si="66"/>
        <v>57.681431676382388</v>
      </c>
      <c r="L248" s="60">
        <f t="shared" si="66"/>
        <v>53.911193872455208</v>
      </c>
      <c r="M248" s="60">
        <f t="shared" si="66"/>
        <v>50.458907960121877</v>
      </c>
      <c r="N248" s="60">
        <f t="shared" si="66"/>
        <v>61.83890326328256</v>
      </c>
      <c r="O248" s="60">
        <f t="shared" si="66"/>
        <v>61.729374805515526</v>
      </c>
      <c r="P248" s="60">
        <f t="shared" si="66"/>
        <v>73.926304972042942</v>
      </c>
      <c r="Q248" s="60">
        <f t="shared" si="66"/>
        <v>86.366437864929907</v>
      </c>
      <c r="R248" s="60">
        <f t="shared" si="66"/>
        <v>79.652372022857989</v>
      </c>
      <c r="S248" s="60">
        <f t="shared" si="66"/>
        <v>50.22951973257598</v>
      </c>
      <c r="T248" s="60">
        <f t="shared" si="66"/>
        <v>79.500286032561164</v>
      </c>
      <c r="U248" s="60">
        <f t="shared" si="66"/>
        <v>88.30370300656071</v>
      </c>
      <c r="V248" s="60">
        <f t="shared" si="66"/>
        <v>62.015615686145033</v>
      </c>
    </row>
    <row r="249" spans="3:22" x14ac:dyDescent="0.2">
      <c r="C249" s="88" t="s">
        <v>126</v>
      </c>
      <c r="D249" s="62">
        <f t="shared" ref="D249:V249" si="67">+IFERROR(IF(D210&gt;0,+((D210/D17)*100)," "),"")</f>
        <v>53.894567124573911</v>
      </c>
      <c r="E249" s="62">
        <f t="shared" si="67"/>
        <v>61.595914097054141</v>
      </c>
      <c r="F249" s="62">
        <f t="shared" si="67"/>
        <v>55.634209006598198</v>
      </c>
      <c r="G249" s="62">
        <f t="shared" si="67"/>
        <v>74.416736956690286</v>
      </c>
      <c r="H249" s="62">
        <f t="shared" si="67"/>
        <v>76.753227939196407</v>
      </c>
      <c r="I249" s="62">
        <f t="shared" si="67"/>
        <v>79.216855395944492</v>
      </c>
      <c r="J249" s="62">
        <f t="shared" si="67"/>
        <v>71.254012706817008</v>
      </c>
      <c r="K249" s="62">
        <f t="shared" si="67"/>
        <v>85.738396172064384</v>
      </c>
      <c r="L249" s="62">
        <f t="shared" si="67"/>
        <v>85.878736434639308</v>
      </c>
      <c r="M249" s="62">
        <f t="shared" si="67"/>
        <v>79.625200828640672</v>
      </c>
      <c r="N249" s="62">
        <f t="shared" si="67"/>
        <v>77.961835220248545</v>
      </c>
      <c r="O249" s="62">
        <f t="shared" si="67"/>
        <v>87.667011227931781</v>
      </c>
      <c r="P249" s="62">
        <f t="shared" si="67"/>
        <v>87.592718558949088</v>
      </c>
      <c r="Q249" s="62">
        <f t="shared" si="67"/>
        <v>71.692557772592806</v>
      </c>
      <c r="R249" s="62">
        <f t="shared" si="67"/>
        <v>76.857589097601576</v>
      </c>
      <c r="S249" s="62">
        <f t="shared" si="67"/>
        <v>78.970285199691176</v>
      </c>
      <c r="T249" s="62">
        <f t="shared" si="67"/>
        <v>79.81360872356349</v>
      </c>
      <c r="U249" s="62">
        <f t="shared" si="67"/>
        <v>77.879657331022685</v>
      </c>
      <c r="V249" s="62">
        <f t="shared" si="67"/>
        <v>86.253885642717592</v>
      </c>
    </row>
    <row r="250" spans="3:22" x14ac:dyDescent="0.2">
      <c r="C250" s="87" t="s">
        <v>127</v>
      </c>
      <c r="D250" s="60">
        <f t="shared" ref="D250:V250" si="68">+IFERROR(IF(D211&gt;0,+((D211/D18)*100)," "),"")</f>
        <v>83.645771919463215</v>
      </c>
      <c r="E250" s="60">
        <f t="shared" si="68"/>
        <v>79.068846529736575</v>
      </c>
      <c r="F250" s="60">
        <f t="shared" si="68"/>
        <v>93.294313025223687</v>
      </c>
      <c r="G250" s="60">
        <f t="shared" si="68"/>
        <v>87.723321854074698</v>
      </c>
      <c r="H250" s="60">
        <f t="shared" si="68"/>
        <v>92.166551913861113</v>
      </c>
      <c r="I250" s="60">
        <f t="shared" si="68"/>
        <v>93.607985295995618</v>
      </c>
      <c r="J250" s="60">
        <f t="shared" si="68"/>
        <v>91.06355261593248</v>
      </c>
      <c r="K250" s="60">
        <f t="shared" si="68"/>
        <v>97.002818481250415</v>
      </c>
      <c r="L250" s="60">
        <f t="shared" si="68"/>
        <v>92.736766616361919</v>
      </c>
      <c r="M250" s="60">
        <f t="shared" si="68"/>
        <v>93.293641117560412</v>
      </c>
      <c r="N250" s="60">
        <f t="shared" si="68"/>
        <v>93.620951287597237</v>
      </c>
      <c r="O250" s="60">
        <f t="shared" si="68"/>
        <v>85.84881792754507</v>
      </c>
      <c r="P250" s="60">
        <f t="shared" si="68"/>
        <v>86.721928890449234</v>
      </c>
      <c r="Q250" s="60">
        <f t="shared" si="68"/>
        <v>88.006353443457584</v>
      </c>
      <c r="R250" s="60">
        <f t="shared" si="68"/>
        <v>93.139272443582499</v>
      </c>
      <c r="S250" s="60">
        <f t="shared" si="68"/>
        <v>94.495492583143104</v>
      </c>
      <c r="T250" s="60">
        <f t="shared" si="68"/>
        <v>95.81251351996994</v>
      </c>
      <c r="U250" s="60">
        <f t="shared" si="68"/>
        <v>94.480314855932875</v>
      </c>
      <c r="V250" s="60">
        <f t="shared" si="68"/>
        <v>92.267871381005776</v>
      </c>
    </row>
    <row r="251" spans="3:22" x14ac:dyDescent="0.2">
      <c r="C251" s="88" t="s">
        <v>128</v>
      </c>
      <c r="D251" s="62">
        <f t="shared" ref="D251:V251" si="69">+IFERROR(IF(D212&gt;0,+((D212/D19)*100)," "),"")</f>
        <v>57.45985387727174</v>
      </c>
      <c r="E251" s="62">
        <f t="shared" si="69"/>
        <v>76.299479469873219</v>
      </c>
      <c r="F251" s="62">
        <f t="shared" si="69"/>
        <v>66.48660981693925</v>
      </c>
      <c r="G251" s="62">
        <f t="shared" si="69"/>
        <v>75.87237638572779</v>
      </c>
      <c r="H251" s="62">
        <f t="shared" si="69"/>
        <v>70.880399960301617</v>
      </c>
      <c r="I251" s="62">
        <f t="shared" si="69"/>
        <v>81.814083279858181</v>
      </c>
      <c r="J251" s="62">
        <f t="shared" si="69"/>
        <v>79.955628056143667</v>
      </c>
      <c r="K251" s="62">
        <f t="shared" si="69"/>
        <v>77.696282787522748</v>
      </c>
      <c r="L251" s="62">
        <f t="shared" si="69"/>
        <v>80.643191113421409</v>
      </c>
      <c r="M251" s="62">
        <f t="shared" si="69"/>
        <v>79.227511522348848</v>
      </c>
      <c r="N251" s="62">
        <f t="shared" si="69"/>
        <v>85.811560883073696</v>
      </c>
      <c r="O251" s="62">
        <f t="shared" si="69"/>
        <v>84.233986169695413</v>
      </c>
      <c r="P251" s="62">
        <f t="shared" si="69"/>
        <v>79.823170259099186</v>
      </c>
      <c r="Q251" s="62">
        <f t="shared" si="69"/>
        <v>84.519709363883109</v>
      </c>
      <c r="R251" s="62">
        <f t="shared" si="69"/>
        <v>87.460111941343357</v>
      </c>
      <c r="S251" s="62">
        <f t="shared" si="69"/>
        <v>83.457786050510236</v>
      </c>
      <c r="T251" s="62">
        <f t="shared" si="69"/>
        <v>81.46141510422747</v>
      </c>
      <c r="U251" s="62">
        <f t="shared" si="69"/>
        <v>79.567329083938063</v>
      </c>
      <c r="V251" s="62">
        <f t="shared" si="69"/>
        <v>89.968851395940121</v>
      </c>
    </row>
    <row r="252" spans="3:22" x14ac:dyDescent="0.2">
      <c r="C252" s="87" t="s">
        <v>129</v>
      </c>
      <c r="D252" s="60">
        <f t="shared" ref="D252:V252" si="70">+IFERROR(IF(D213&gt;0,+((D213/D20)*100)," "),"")</f>
        <v>83.176108106447018</v>
      </c>
      <c r="E252" s="60">
        <f t="shared" si="70"/>
        <v>86.086775901333041</v>
      </c>
      <c r="F252" s="60">
        <f t="shared" si="70"/>
        <v>83.423415567017443</v>
      </c>
      <c r="G252" s="60">
        <f t="shared" si="70"/>
        <v>83.956352670498703</v>
      </c>
      <c r="H252" s="60">
        <f t="shared" si="70"/>
        <v>82.000830463631985</v>
      </c>
      <c r="I252" s="60">
        <f t="shared" si="70"/>
        <v>84.884233492206405</v>
      </c>
      <c r="J252" s="60">
        <f t="shared" si="70"/>
        <v>87.012611585637572</v>
      </c>
      <c r="K252" s="60">
        <f t="shared" si="70"/>
        <v>93.141956655042435</v>
      </c>
      <c r="L252" s="60">
        <f t="shared" si="70"/>
        <v>93.535704968460607</v>
      </c>
      <c r="M252" s="60">
        <f t="shared" si="70"/>
        <v>89.734533221832066</v>
      </c>
      <c r="N252" s="60">
        <f t="shared" si="70"/>
        <v>90.670125810725807</v>
      </c>
      <c r="O252" s="60">
        <f t="shared" si="70"/>
        <v>91.086224058882578</v>
      </c>
      <c r="P252" s="60">
        <f t="shared" si="70"/>
        <v>91.856170094936274</v>
      </c>
      <c r="Q252" s="60">
        <f t="shared" si="70"/>
        <v>91.965992427263032</v>
      </c>
      <c r="R252" s="60">
        <f t="shared" si="70"/>
        <v>91.579898185920243</v>
      </c>
      <c r="S252" s="60">
        <f t="shared" si="70"/>
        <v>91.887866095829224</v>
      </c>
      <c r="T252" s="60">
        <f t="shared" si="70"/>
        <v>92.053046874477005</v>
      </c>
      <c r="U252" s="60">
        <f t="shared" si="70"/>
        <v>93.337417398980264</v>
      </c>
      <c r="V252" s="60">
        <f t="shared" si="70"/>
        <v>94.618423299175547</v>
      </c>
    </row>
    <row r="253" spans="3:22" x14ac:dyDescent="0.2">
      <c r="C253" s="88" t="s">
        <v>130</v>
      </c>
      <c r="D253" s="62">
        <f t="shared" ref="D253:V253" si="71">+IFERROR(IF(D214&gt;0,+((D214/D21)*100)," "),"")</f>
        <v>55.182677979638072</v>
      </c>
      <c r="E253" s="62">
        <f t="shared" si="71"/>
        <v>63.412538728571597</v>
      </c>
      <c r="F253" s="62">
        <f t="shared" si="71"/>
        <v>43.961162747306822</v>
      </c>
      <c r="G253" s="62">
        <f t="shared" si="71"/>
        <v>59.831265919166029</v>
      </c>
      <c r="H253" s="62">
        <f t="shared" si="71"/>
        <v>78.816182715645226</v>
      </c>
      <c r="I253" s="62">
        <f t="shared" si="71"/>
        <v>86.494795132591165</v>
      </c>
      <c r="J253" s="62">
        <f t="shared" si="71"/>
        <v>90.095301017071478</v>
      </c>
      <c r="K253" s="62">
        <f t="shared" si="71"/>
        <v>86.030954552977946</v>
      </c>
      <c r="L253" s="62">
        <f t="shared" si="71"/>
        <v>90.8638714680242</v>
      </c>
      <c r="M253" s="62">
        <f t="shared" si="71"/>
        <v>81.051418283908703</v>
      </c>
      <c r="N253" s="62">
        <f t="shared" si="71"/>
        <v>86.894850029311897</v>
      </c>
      <c r="O253" s="62">
        <f t="shared" si="71"/>
        <v>81.034827926966202</v>
      </c>
      <c r="P253" s="62">
        <f t="shared" si="71"/>
        <v>62.891495082619151</v>
      </c>
      <c r="Q253" s="62">
        <f t="shared" si="71"/>
        <v>71.506263902798068</v>
      </c>
      <c r="R253" s="62">
        <f t="shared" si="71"/>
        <v>70.965776838655202</v>
      </c>
      <c r="S253" s="62">
        <f t="shared" si="71"/>
        <v>80.72590274090706</v>
      </c>
      <c r="T253" s="62">
        <f t="shared" si="71"/>
        <v>54.997377208670905</v>
      </c>
      <c r="U253" s="62">
        <f t="shared" si="71"/>
        <v>60.760628225669144</v>
      </c>
      <c r="V253" s="62">
        <f t="shared" si="71"/>
        <v>70.786797847004777</v>
      </c>
    </row>
    <row r="254" spans="3:22" x14ac:dyDescent="0.2">
      <c r="C254" s="87" t="s">
        <v>131</v>
      </c>
      <c r="D254" s="60">
        <f t="shared" ref="D254:V254" si="72">+IFERROR(IF(D215&gt;0,+((D215/D22)*100)," "),"")</f>
        <v>88.383644031752155</v>
      </c>
      <c r="E254" s="60">
        <f t="shared" si="72"/>
        <v>95.180570255367797</v>
      </c>
      <c r="F254" s="60">
        <f t="shared" si="72"/>
        <v>94.206384661213406</v>
      </c>
      <c r="G254" s="60">
        <f t="shared" si="72"/>
        <v>95.242720797206431</v>
      </c>
      <c r="H254" s="60">
        <f t="shared" si="72"/>
        <v>95.828685634298253</v>
      </c>
      <c r="I254" s="60">
        <f t="shared" si="72"/>
        <v>96.986123173673036</v>
      </c>
      <c r="J254" s="60">
        <f t="shared" si="72"/>
        <v>96.315343250201295</v>
      </c>
      <c r="K254" s="60">
        <f t="shared" si="72"/>
        <v>98.386371027577411</v>
      </c>
      <c r="L254" s="60">
        <f t="shared" si="72"/>
        <v>95.750499609971385</v>
      </c>
      <c r="M254" s="60">
        <f t="shared" si="72"/>
        <v>96.838658325927426</v>
      </c>
      <c r="N254" s="60">
        <f t="shared" si="72"/>
        <v>95.264882434300475</v>
      </c>
      <c r="O254" s="60">
        <f t="shared" si="72"/>
        <v>97.571183828190001</v>
      </c>
      <c r="P254" s="60">
        <f t="shared" si="72"/>
        <v>95.498822309255331</v>
      </c>
      <c r="Q254" s="60">
        <f t="shared" si="72"/>
        <v>96.977705528505524</v>
      </c>
      <c r="R254" s="60">
        <f t="shared" si="72"/>
        <v>96.825232022415946</v>
      </c>
      <c r="S254" s="60">
        <f t="shared" si="72"/>
        <v>98.793335012974595</v>
      </c>
      <c r="T254" s="60">
        <f t="shared" si="72"/>
        <v>98.219339096210661</v>
      </c>
      <c r="U254" s="60">
        <f t="shared" si="72"/>
        <v>99.320043232732374</v>
      </c>
      <c r="V254" s="60">
        <f t="shared" si="72"/>
        <v>99.055361868544551</v>
      </c>
    </row>
    <row r="255" spans="3:22" x14ac:dyDescent="0.2">
      <c r="C255" s="88" t="s">
        <v>132</v>
      </c>
      <c r="D255" s="62">
        <f t="shared" ref="D255:V255" si="73">+IFERROR(IF(D216&gt;0,+((D216/D23)*100)," "),"")</f>
        <v>86.845425437732715</v>
      </c>
      <c r="E255" s="62">
        <f t="shared" si="73"/>
        <v>67.572281858513065</v>
      </c>
      <c r="F255" s="62">
        <f t="shared" si="73"/>
        <v>77.867020615999749</v>
      </c>
      <c r="G255" s="62">
        <f t="shared" si="73"/>
        <v>85.825875086626326</v>
      </c>
      <c r="H255" s="62">
        <f t="shared" si="73"/>
        <v>74.331006326322054</v>
      </c>
      <c r="I255" s="62">
        <f t="shared" si="73"/>
        <v>76.037665559315613</v>
      </c>
      <c r="J255" s="62">
        <f t="shared" si="73"/>
        <v>71.205098610412989</v>
      </c>
      <c r="K255" s="62">
        <f t="shared" si="73"/>
        <v>47.652865310998934</v>
      </c>
      <c r="L255" s="62">
        <f t="shared" si="73"/>
        <v>59.120084572865736</v>
      </c>
      <c r="M255" s="62">
        <f t="shared" si="73"/>
        <v>58.456179632783389</v>
      </c>
      <c r="N255" s="62">
        <f t="shared" si="73"/>
        <v>61.605866056254946</v>
      </c>
      <c r="O255" s="62">
        <f t="shared" si="73"/>
        <v>51.286317878306185</v>
      </c>
      <c r="P255" s="62">
        <f t="shared" si="73"/>
        <v>67.00893543795668</v>
      </c>
      <c r="Q255" s="62">
        <f t="shared" si="73"/>
        <v>66.333813272700397</v>
      </c>
      <c r="R255" s="62">
        <f t="shared" si="73"/>
        <v>62.839139910687138</v>
      </c>
      <c r="S255" s="62">
        <f t="shared" si="73"/>
        <v>69.280405186405034</v>
      </c>
      <c r="T255" s="62">
        <f t="shared" si="73"/>
        <v>83.532140027735906</v>
      </c>
      <c r="U255" s="62">
        <f t="shared" si="73"/>
        <v>84.507186107358393</v>
      </c>
      <c r="V255" s="62">
        <f t="shared" si="73"/>
        <v>85.26163954449288</v>
      </c>
    </row>
    <row r="256" spans="3:22" x14ac:dyDescent="0.2">
      <c r="C256" s="87" t="s">
        <v>133</v>
      </c>
      <c r="D256" s="60">
        <f t="shared" ref="D256:V256" si="74">+IFERROR(IF(D217&gt;0,+((D217/D24)*100)," "),"")</f>
        <v>86.188198267021903</v>
      </c>
      <c r="E256" s="60">
        <f t="shared" si="74"/>
        <v>93.895132610523959</v>
      </c>
      <c r="F256" s="60">
        <f t="shared" si="74"/>
        <v>90.043013328075418</v>
      </c>
      <c r="G256" s="60">
        <f t="shared" si="74"/>
        <v>89.690971252228607</v>
      </c>
      <c r="H256" s="60">
        <f t="shared" si="74"/>
        <v>92.311971830210638</v>
      </c>
      <c r="I256" s="60">
        <f t="shared" si="74"/>
        <v>94.9942700815878</v>
      </c>
      <c r="J256" s="60">
        <f t="shared" si="74"/>
        <v>92.78814519367063</v>
      </c>
      <c r="K256" s="60">
        <f t="shared" si="74"/>
        <v>92.052254636428771</v>
      </c>
      <c r="L256" s="60">
        <f t="shared" si="74"/>
        <v>91.341435659598147</v>
      </c>
      <c r="M256" s="60">
        <f t="shared" si="74"/>
        <v>91.679148450160255</v>
      </c>
      <c r="N256" s="60">
        <f t="shared" si="74"/>
        <v>87.027504963049324</v>
      </c>
      <c r="O256" s="60">
        <f t="shared" si="74"/>
        <v>87.449422053298633</v>
      </c>
      <c r="P256" s="60">
        <f t="shared" si="74"/>
        <v>87.229069278208826</v>
      </c>
      <c r="Q256" s="60">
        <f t="shared" si="74"/>
        <v>89.602954493534511</v>
      </c>
      <c r="R256" s="60">
        <f t="shared" si="74"/>
        <v>86.799071409105167</v>
      </c>
      <c r="S256" s="60">
        <f t="shared" si="74"/>
        <v>84.844148689961941</v>
      </c>
      <c r="T256" s="60">
        <f t="shared" si="74"/>
        <v>88.940472080846689</v>
      </c>
      <c r="U256" s="60">
        <f t="shared" si="74"/>
        <v>90.384693785100794</v>
      </c>
      <c r="V256" s="60">
        <f t="shared" si="74"/>
        <v>91.618917750489814</v>
      </c>
    </row>
    <row r="257" spans="3:22" x14ac:dyDescent="0.2">
      <c r="C257" s="88" t="s">
        <v>134</v>
      </c>
      <c r="D257" s="62">
        <f t="shared" ref="D257:V257" si="75">+IFERROR(IF(D218&gt;0,+((D218/D25)*100)," "),"")</f>
        <v>69.19656731397879</v>
      </c>
      <c r="E257" s="62">
        <f t="shared" si="75"/>
        <v>83.259521737372665</v>
      </c>
      <c r="F257" s="62">
        <f t="shared" si="75"/>
        <v>79.156589299109953</v>
      </c>
      <c r="G257" s="62">
        <f t="shared" si="75"/>
        <v>85.068214743877405</v>
      </c>
      <c r="H257" s="62">
        <f t="shared" si="75"/>
        <v>78.461419210210821</v>
      </c>
      <c r="I257" s="62">
        <f t="shared" si="75"/>
        <v>82.122482329802565</v>
      </c>
      <c r="J257" s="62">
        <f t="shared" si="75"/>
        <v>83.224908735243446</v>
      </c>
      <c r="K257" s="62">
        <f t="shared" si="75"/>
        <v>79.32452204634275</v>
      </c>
      <c r="L257" s="62">
        <f t="shared" si="75"/>
        <v>75.688206965025927</v>
      </c>
      <c r="M257" s="62">
        <f t="shared" si="75"/>
        <v>70.637533492831878</v>
      </c>
      <c r="N257" s="62">
        <f t="shared" si="75"/>
        <v>71.222845889476531</v>
      </c>
      <c r="O257" s="62">
        <f t="shared" si="75"/>
        <v>80.80013552616829</v>
      </c>
      <c r="P257" s="62">
        <f t="shared" si="75"/>
        <v>71.117899554350288</v>
      </c>
      <c r="Q257" s="62">
        <f t="shared" si="75"/>
        <v>53.827006867143353</v>
      </c>
      <c r="R257" s="62">
        <f t="shared" si="75"/>
        <v>60.828649959248459</v>
      </c>
      <c r="S257" s="62">
        <f t="shared" si="75"/>
        <v>75.923064625278883</v>
      </c>
      <c r="T257" s="62">
        <f t="shared" si="75"/>
        <v>83.57837228506186</v>
      </c>
      <c r="U257" s="62">
        <f t="shared" si="75"/>
        <v>87.855050736416132</v>
      </c>
      <c r="V257" s="62">
        <f t="shared" si="75"/>
        <v>82.48111221535855</v>
      </c>
    </row>
    <row r="258" spans="3:22" x14ac:dyDescent="0.2">
      <c r="C258" s="87" t="s">
        <v>135</v>
      </c>
      <c r="D258" s="60" t="str">
        <f t="shared" ref="D258:V258" si="76">+IFERROR(IF(D219&gt;0,+((D219/D26)*100)," "),"")</f>
        <v xml:space="preserve"> </v>
      </c>
      <c r="E258" s="60" t="str">
        <f t="shared" si="76"/>
        <v xml:space="preserve"> </v>
      </c>
      <c r="F258" s="60" t="str">
        <f t="shared" si="76"/>
        <v xml:space="preserve"> </v>
      </c>
      <c r="G258" s="60" t="str">
        <f t="shared" si="76"/>
        <v xml:space="preserve"> </v>
      </c>
      <c r="H258" s="60" t="str">
        <f t="shared" si="76"/>
        <v xml:space="preserve"> </v>
      </c>
      <c r="I258" s="60" t="str">
        <f t="shared" si="76"/>
        <v xml:space="preserve"> </v>
      </c>
      <c r="J258" s="60" t="str">
        <f t="shared" si="76"/>
        <v xml:space="preserve"> </v>
      </c>
      <c r="K258" s="60" t="str">
        <f t="shared" si="76"/>
        <v xml:space="preserve"> </v>
      </c>
      <c r="L258" s="60" t="str">
        <f t="shared" si="76"/>
        <v xml:space="preserve"> </v>
      </c>
      <c r="M258" s="60" t="str">
        <f t="shared" si="76"/>
        <v xml:space="preserve"> </v>
      </c>
      <c r="N258" s="60" t="str">
        <f t="shared" si="76"/>
        <v xml:space="preserve"> </v>
      </c>
      <c r="O258" s="60" t="str">
        <f t="shared" si="76"/>
        <v xml:space="preserve"> </v>
      </c>
      <c r="P258" s="60" t="str">
        <f t="shared" si="76"/>
        <v xml:space="preserve"> </v>
      </c>
      <c r="Q258" s="60" t="str">
        <f t="shared" si="76"/>
        <v xml:space="preserve"> </v>
      </c>
      <c r="R258" s="60" t="str">
        <f t="shared" si="76"/>
        <v xml:space="preserve"> </v>
      </c>
      <c r="S258" s="60" t="str">
        <f t="shared" si="76"/>
        <v xml:space="preserve"> </v>
      </c>
      <c r="T258" s="60" t="str">
        <f t="shared" si="76"/>
        <v xml:space="preserve"> </v>
      </c>
      <c r="U258" s="60" t="str">
        <f t="shared" si="76"/>
        <v xml:space="preserve"> </v>
      </c>
      <c r="V258" s="60" t="str">
        <f t="shared" si="76"/>
        <v xml:space="preserve"> </v>
      </c>
    </row>
    <row r="259" spans="3:22" x14ac:dyDescent="0.2">
      <c r="C259" s="88" t="s">
        <v>136</v>
      </c>
      <c r="D259" s="62">
        <f t="shared" ref="D259:V259" si="77">+IFERROR(IF(D220&gt;0,+((D220/D27)*100)," "),"")</f>
        <v>70.823919082808345</v>
      </c>
      <c r="E259" s="62">
        <f t="shared" si="77"/>
        <v>76.435920228256322</v>
      </c>
      <c r="F259" s="62">
        <f t="shared" si="77"/>
        <v>78.509510539175864</v>
      </c>
      <c r="G259" s="62">
        <f t="shared" si="77"/>
        <v>80.859468725356848</v>
      </c>
      <c r="H259" s="62">
        <f t="shared" si="77"/>
        <v>81.495191411905296</v>
      </c>
      <c r="I259" s="62">
        <f t="shared" si="77"/>
        <v>82.08182727075048</v>
      </c>
      <c r="J259" s="62">
        <f t="shared" si="77"/>
        <v>75.946336212851193</v>
      </c>
      <c r="K259" s="62">
        <f t="shared" si="77"/>
        <v>75.663382912438948</v>
      </c>
      <c r="L259" s="62">
        <f t="shared" si="77"/>
        <v>81.190397957042464</v>
      </c>
      <c r="M259" s="62">
        <f t="shared" si="77"/>
        <v>84.301035060552948</v>
      </c>
      <c r="N259" s="62">
        <f t="shared" si="77"/>
        <v>83.594325420931028</v>
      </c>
      <c r="O259" s="62">
        <f t="shared" si="77"/>
        <v>74.616393627827151</v>
      </c>
      <c r="P259" s="62">
        <f t="shared" si="77"/>
        <v>79.096671414464112</v>
      </c>
      <c r="Q259" s="62">
        <f t="shared" si="77"/>
        <v>84.878761175449341</v>
      </c>
      <c r="R259" s="62">
        <f t="shared" si="77"/>
        <v>88.666651497356767</v>
      </c>
      <c r="S259" s="62">
        <f t="shared" si="77"/>
        <v>91.393128597457292</v>
      </c>
      <c r="T259" s="62">
        <f t="shared" si="77"/>
        <v>83.237614238253968</v>
      </c>
      <c r="U259" s="62">
        <f t="shared" si="77"/>
        <v>88.631843804006749</v>
      </c>
      <c r="V259" s="62">
        <f t="shared" si="77"/>
        <v>91.77410212524974</v>
      </c>
    </row>
    <row r="260" spans="3:22" x14ac:dyDescent="0.2">
      <c r="C260" s="87" t="s">
        <v>137</v>
      </c>
      <c r="D260" s="60">
        <f t="shared" ref="D260:V260" si="78">+IFERROR(IF(D221&gt;0,+((D221/D28)*100)," "),"")</f>
        <v>65.108540128720549</v>
      </c>
      <c r="E260" s="60">
        <f t="shared" si="78"/>
        <v>79.20421074862503</v>
      </c>
      <c r="F260" s="60">
        <f t="shared" si="78"/>
        <v>70.086519302459649</v>
      </c>
      <c r="G260" s="60">
        <f t="shared" si="78"/>
        <v>73.588009334190019</v>
      </c>
      <c r="H260" s="60">
        <f t="shared" si="78"/>
        <v>71.199222422538938</v>
      </c>
      <c r="I260" s="60">
        <f t="shared" si="78"/>
        <v>67.831692086686388</v>
      </c>
      <c r="J260" s="60">
        <f t="shared" si="78"/>
        <v>84.299213468857133</v>
      </c>
      <c r="K260" s="60">
        <f t="shared" si="78"/>
        <v>77.91423381923326</v>
      </c>
      <c r="L260" s="60">
        <f t="shared" si="78"/>
        <v>81.894576195250863</v>
      </c>
      <c r="M260" s="60">
        <f t="shared" si="78"/>
        <v>78.824361116994041</v>
      </c>
      <c r="N260" s="60">
        <f t="shared" si="78"/>
        <v>74.218631786509576</v>
      </c>
      <c r="O260" s="60">
        <f t="shared" si="78"/>
        <v>81.907762635337519</v>
      </c>
      <c r="P260" s="60">
        <f t="shared" si="78"/>
        <v>78.37991019013316</v>
      </c>
      <c r="Q260" s="60">
        <f t="shared" si="78"/>
        <v>72.946220337149043</v>
      </c>
      <c r="R260" s="60">
        <f t="shared" si="78"/>
        <v>82.397969811399022</v>
      </c>
      <c r="S260" s="60">
        <f t="shared" si="78"/>
        <v>80.381280633953651</v>
      </c>
      <c r="T260" s="60">
        <f t="shared" si="78"/>
        <v>86.373992422522278</v>
      </c>
      <c r="U260" s="60">
        <f t="shared" si="78"/>
        <v>77.702531536312719</v>
      </c>
      <c r="V260" s="60">
        <f t="shared" si="78"/>
        <v>91.02028247789795</v>
      </c>
    </row>
    <row r="261" spans="3:22" x14ac:dyDescent="0.2">
      <c r="C261" s="88" t="s">
        <v>138</v>
      </c>
      <c r="D261" s="62">
        <f t="shared" ref="D261:V261" si="79">+IFERROR(IF(D222&gt;0,+((D222/D29)*100)," "),"")</f>
        <v>89.369768205448864</v>
      </c>
      <c r="E261" s="62">
        <f t="shared" si="79"/>
        <v>91.694958779137139</v>
      </c>
      <c r="F261" s="62">
        <f t="shared" si="79"/>
        <v>89.427088838435807</v>
      </c>
      <c r="G261" s="62">
        <f t="shared" si="79"/>
        <v>75.067858989003454</v>
      </c>
      <c r="H261" s="62">
        <f t="shared" si="79"/>
        <v>82.604842405010402</v>
      </c>
      <c r="I261" s="62">
        <f t="shared" si="79"/>
        <v>83.097921718472833</v>
      </c>
      <c r="J261" s="62">
        <f t="shared" si="79"/>
        <v>73.99508403720165</v>
      </c>
      <c r="K261" s="62">
        <f t="shared" si="79"/>
        <v>86.714986116228516</v>
      </c>
      <c r="L261" s="62">
        <f t="shared" si="79"/>
        <v>81.349681723846601</v>
      </c>
      <c r="M261" s="62">
        <f t="shared" si="79"/>
        <v>71.553306450998889</v>
      </c>
      <c r="N261" s="62">
        <f t="shared" si="79"/>
        <v>70.605143855550708</v>
      </c>
      <c r="O261" s="62">
        <f t="shared" si="79"/>
        <v>78.756144201173328</v>
      </c>
      <c r="P261" s="62">
        <f t="shared" si="79"/>
        <v>73.293693836751743</v>
      </c>
      <c r="Q261" s="62">
        <f t="shared" si="79"/>
        <v>74.046420410376797</v>
      </c>
      <c r="R261" s="62">
        <f t="shared" si="79"/>
        <v>80.048325430295634</v>
      </c>
      <c r="S261" s="62">
        <f t="shared" si="79"/>
        <v>89.364249351673166</v>
      </c>
      <c r="T261" s="62">
        <f t="shared" si="79"/>
        <v>92.5264668747038</v>
      </c>
      <c r="U261" s="62">
        <f t="shared" si="79"/>
        <v>93.270341973557649</v>
      </c>
      <c r="V261" s="62">
        <f t="shared" si="79"/>
        <v>95.855719219842754</v>
      </c>
    </row>
    <row r="262" spans="3:22" x14ac:dyDescent="0.2">
      <c r="C262" s="87" t="s">
        <v>139</v>
      </c>
      <c r="D262" s="60">
        <f t="shared" ref="D262:V262" si="80">+IFERROR(IF(D223&gt;0,+((D223/D30)*100)," "),"")</f>
        <v>76.189722053102543</v>
      </c>
      <c r="E262" s="60">
        <f t="shared" si="80"/>
        <v>75.25376215699292</v>
      </c>
      <c r="F262" s="60">
        <f t="shared" si="80"/>
        <v>75.529599315393128</v>
      </c>
      <c r="G262" s="60">
        <f t="shared" si="80"/>
        <v>80.08668676101712</v>
      </c>
      <c r="H262" s="60">
        <f t="shared" si="80"/>
        <v>73.882131678472888</v>
      </c>
      <c r="I262" s="60">
        <f t="shared" si="80"/>
        <v>85.041748895855278</v>
      </c>
      <c r="J262" s="60">
        <f t="shared" si="80"/>
        <v>76.256025390458888</v>
      </c>
      <c r="K262" s="60">
        <f t="shared" si="80"/>
        <v>77.497630726749179</v>
      </c>
      <c r="L262" s="60">
        <f t="shared" si="80"/>
        <v>70.248125567812423</v>
      </c>
      <c r="M262" s="60">
        <f t="shared" si="80"/>
        <v>76.125394866676587</v>
      </c>
      <c r="N262" s="60">
        <f t="shared" si="80"/>
        <v>61.64346613468863</v>
      </c>
      <c r="O262" s="60">
        <f t="shared" si="80"/>
        <v>56.846053258321561</v>
      </c>
      <c r="P262" s="60">
        <f t="shared" si="80"/>
        <v>78.610853272417742</v>
      </c>
      <c r="Q262" s="60">
        <f t="shared" si="80"/>
        <v>80.403297646720944</v>
      </c>
      <c r="R262" s="60">
        <f t="shared" si="80"/>
        <v>78.197360788169206</v>
      </c>
      <c r="S262" s="60">
        <f t="shared" si="80"/>
        <v>78.58928625116954</v>
      </c>
      <c r="T262" s="60">
        <f t="shared" si="80"/>
        <v>74.026840455577016</v>
      </c>
      <c r="U262" s="60">
        <f t="shared" si="80"/>
        <v>67.819259707775728</v>
      </c>
      <c r="V262" s="60">
        <f t="shared" si="80"/>
        <v>80.836524814465776</v>
      </c>
    </row>
    <row r="263" spans="3:22" x14ac:dyDescent="0.2">
      <c r="C263" s="88" t="s">
        <v>140</v>
      </c>
      <c r="D263" s="62">
        <f t="shared" ref="D263:V263" si="81">+IFERROR(IF(D224&gt;0,+((D224/D31)*100)," "),"")</f>
        <v>72.185139526650474</v>
      </c>
      <c r="E263" s="62">
        <f t="shared" si="81"/>
        <v>69.047975489323548</v>
      </c>
      <c r="F263" s="62">
        <f t="shared" si="81"/>
        <v>68.796677831529792</v>
      </c>
      <c r="G263" s="62">
        <f t="shared" si="81"/>
        <v>81.659717814491486</v>
      </c>
      <c r="H263" s="62">
        <f t="shared" si="81"/>
        <v>81.701032771702089</v>
      </c>
      <c r="I263" s="62">
        <f t="shared" si="81"/>
        <v>86.572081320338128</v>
      </c>
      <c r="J263" s="62">
        <f t="shared" si="81"/>
        <v>64.339916990326941</v>
      </c>
      <c r="K263" s="62">
        <f t="shared" si="81"/>
        <v>57.905893047153043</v>
      </c>
      <c r="L263" s="62">
        <f t="shared" si="81"/>
        <v>88.953326890061831</v>
      </c>
      <c r="M263" s="62">
        <f t="shared" si="81"/>
        <v>87.140463443630196</v>
      </c>
      <c r="N263" s="62">
        <f t="shared" si="81"/>
        <v>88.481472221780962</v>
      </c>
      <c r="O263" s="62">
        <f t="shared" si="81"/>
        <v>89.357530726157535</v>
      </c>
      <c r="P263" s="62">
        <f t="shared" si="81"/>
        <v>85.209917979091557</v>
      </c>
      <c r="Q263" s="62">
        <f t="shared" si="81"/>
        <v>82.059598532973681</v>
      </c>
      <c r="R263" s="62">
        <f t="shared" si="81"/>
        <v>85.03428648713772</v>
      </c>
      <c r="S263" s="62">
        <f t="shared" si="81"/>
        <v>89.677386310614409</v>
      </c>
      <c r="T263" s="62">
        <f t="shared" si="81"/>
        <v>88.459922901350424</v>
      </c>
      <c r="U263" s="62">
        <f t="shared" si="81"/>
        <v>83.273524623918576</v>
      </c>
      <c r="V263" s="62">
        <f t="shared" si="81"/>
        <v>90.854693017743372</v>
      </c>
    </row>
    <row r="264" spans="3:22" x14ac:dyDescent="0.2">
      <c r="C264" s="87" t="s">
        <v>141</v>
      </c>
      <c r="D264" s="60">
        <f t="shared" ref="D264:V264" si="82">+IFERROR(IF(D225&gt;0,+((D225/D32)*100)," "),"")</f>
        <v>86.934112384420388</v>
      </c>
      <c r="E264" s="60">
        <f t="shared" si="82"/>
        <v>84.445394825185375</v>
      </c>
      <c r="F264" s="60">
        <f t="shared" si="82"/>
        <v>84.323402956969872</v>
      </c>
      <c r="G264" s="60">
        <f t="shared" si="82"/>
        <v>84.006900007356506</v>
      </c>
      <c r="H264" s="60">
        <f t="shared" si="82"/>
        <v>78.532846368336507</v>
      </c>
      <c r="I264" s="60">
        <f t="shared" si="82"/>
        <v>85.177510228768142</v>
      </c>
      <c r="J264" s="60">
        <f t="shared" si="82"/>
        <v>87.565376910302177</v>
      </c>
      <c r="K264" s="60">
        <f t="shared" si="82"/>
        <v>87.849000415831384</v>
      </c>
      <c r="L264" s="60">
        <f t="shared" si="82"/>
        <v>88.754582133674845</v>
      </c>
      <c r="M264" s="60">
        <f t="shared" si="82"/>
        <v>87.997367639410513</v>
      </c>
      <c r="N264" s="60">
        <f t="shared" si="82"/>
        <v>83.365511432688351</v>
      </c>
      <c r="O264" s="60">
        <f t="shared" si="82"/>
        <v>85.996581627097484</v>
      </c>
      <c r="P264" s="60">
        <f t="shared" si="82"/>
        <v>83.216377687869596</v>
      </c>
      <c r="Q264" s="60">
        <f t="shared" si="82"/>
        <v>83.830004833994934</v>
      </c>
      <c r="R264" s="60">
        <f t="shared" si="82"/>
        <v>87.599451252465258</v>
      </c>
      <c r="S264" s="60">
        <f t="shared" si="82"/>
        <v>83.507262516581577</v>
      </c>
      <c r="T264" s="60">
        <f t="shared" si="82"/>
        <v>90.354768174903882</v>
      </c>
      <c r="U264" s="60">
        <f t="shared" si="82"/>
        <v>89.693182125744514</v>
      </c>
      <c r="V264" s="60">
        <f t="shared" si="82"/>
        <v>91.832445316183097</v>
      </c>
    </row>
    <row r="265" spans="3:22" x14ac:dyDescent="0.2">
      <c r="C265" s="88" t="s">
        <v>142</v>
      </c>
      <c r="D265" s="62">
        <f t="shared" ref="D265:V265" si="83">+IFERROR(IF(D226&gt;0,+((D226/D33)*100)," "),"")</f>
        <v>20.593018036864724</v>
      </c>
      <c r="E265" s="62">
        <f t="shared" si="83"/>
        <v>24.955026358725672</v>
      </c>
      <c r="F265" s="62">
        <f t="shared" si="83"/>
        <v>12.958665335317404</v>
      </c>
      <c r="G265" s="62">
        <f t="shared" si="83"/>
        <v>25.355516621883321</v>
      </c>
      <c r="H265" s="62">
        <f t="shared" si="83"/>
        <v>58.809622593098496</v>
      </c>
      <c r="I265" s="62">
        <f t="shared" si="83"/>
        <v>29.174497564191181</v>
      </c>
      <c r="J265" s="62">
        <f t="shared" si="83"/>
        <v>30.179151243463949</v>
      </c>
      <c r="K265" s="62">
        <f t="shared" si="83"/>
        <v>46.473836248213487</v>
      </c>
      <c r="L265" s="62">
        <f t="shared" si="83"/>
        <v>35.540731679800764</v>
      </c>
      <c r="M265" s="62">
        <f t="shared" si="83"/>
        <v>32.695264996542143</v>
      </c>
      <c r="N265" s="62">
        <f t="shared" si="83"/>
        <v>37.931166931075985</v>
      </c>
      <c r="O265" s="62">
        <f t="shared" si="83"/>
        <v>37.462152210553839</v>
      </c>
      <c r="P265" s="62">
        <f t="shared" si="83"/>
        <v>51.843421110783225</v>
      </c>
      <c r="Q265" s="62">
        <f t="shared" si="83"/>
        <v>56.364212720323124</v>
      </c>
      <c r="R265" s="62">
        <f t="shared" si="83"/>
        <v>78.319367052894208</v>
      </c>
      <c r="S265" s="62">
        <f t="shared" si="83"/>
        <v>73.782183410297677</v>
      </c>
      <c r="T265" s="62">
        <f t="shared" si="83"/>
        <v>64.332606358253969</v>
      </c>
      <c r="U265" s="62">
        <f t="shared" si="83"/>
        <v>71.463296731925155</v>
      </c>
      <c r="V265" s="62">
        <f t="shared" si="83"/>
        <v>70.063513364392776</v>
      </c>
    </row>
    <row r="266" spans="3:22" x14ac:dyDescent="0.2">
      <c r="C266" s="87" t="s">
        <v>143</v>
      </c>
      <c r="D266" s="60">
        <f t="shared" ref="D266:V266" si="84">+IFERROR(IF(D227&gt;0,+((D227/D34)*100)," "),"")</f>
        <v>65.848029805363723</v>
      </c>
      <c r="E266" s="60">
        <f t="shared" si="84"/>
        <v>52.787824426604089</v>
      </c>
      <c r="F266" s="60">
        <f t="shared" si="84"/>
        <v>49.912137427667851</v>
      </c>
      <c r="G266" s="60">
        <f t="shared" si="84"/>
        <v>61.133984684031581</v>
      </c>
      <c r="H266" s="60">
        <f t="shared" si="84"/>
        <v>64.998096840070232</v>
      </c>
      <c r="I266" s="60">
        <f t="shared" si="84"/>
        <v>78.296560101361038</v>
      </c>
      <c r="J266" s="60">
        <f t="shared" si="84"/>
        <v>89.253749106967632</v>
      </c>
      <c r="K266" s="60">
        <f t="shared" si="84"/>
        <v>89.273883695587642</v>
      </c>
      <c r="L266" s="60">
        <f t="shared" si="84"/>
        <v>78.50178551893751</v>
      </c>
      <c r="M266" s="60">
        <f t="shared" si="84"/>
        <v>84.111484157846533</v>
      </c>
      <c r="N266" s="60">
        <f t="shared" si="84"/>
        <v>82.965561728983403</v>
      </c>
      <c r="O266" s="60">
        <f t="shared" si="84"/>
        <v>77.047071786745448</v>
      </c>
      <c r="P266" s="60">
        <f t="shared" si="84"/>
        <v>34.576144898199821</v>
      </c>
      <c r="Q266" s="60">
        <f t="shared" si="84"/>
        <v>65.139735564451513</v>
      </c>
      <c r="R266" s="60">
        <f t="shared" si="84"/>
        <v>56.62623467683138</v>
      </c>
      <c r="S266" s="60">
        <f t="shared" si="84"/>
        <v>65.976629506009388</v>
      </c>
      <c r="T266" s="60">
        <f t="shared" si="84"/>
        <v>61.862590254340944</v>
      </c>
      <c r="U266" s="60">
        <f t="shared" si="84"/>
        <v>51.908076838708205</v>
      </c>
      <c r="V266" s="60">
        <f t="shared" si="84"/>
        <v>37.578864825330363</v>
      </c>
    </row>
    <row r="267" spans="3:22" x14ac:dyDescent="0.2">
      <c r="C267" s="88" t="s">
        <v>144</v>
      </c>
      <c r="D267" s="62">
        <f t="shared" ref="D267:V267" si="85">+IFERROR(IF(D228&gt;0,+((D228/D35)*100)," "),"")</f>
        <v>92.145222137339999</v>
      </c>
      <c r="E267" s="62">
        <f t="shared" si="85"/>
        <v>95.214732292553748</v>
      </c>
      <c r="F267" s="62">
        <f t="shared" si="85"/>
        <v>91.064721097595026</v>
      </c>
      <c r="G267" s="62">
        <f t="shared" si="85"/>
        <v>92.814060848517897</v>
      </c>
      <c r="H267" s="62">
        <f t="shared" si="85"/>
        <v>82.650642232541486</v>
      </c>
      <c r="I267" s="62">
        <f t="shared" si="85"/>
        <v>93.088778627890065</v>
      </c>
      <c r="J267" s="62">
        <f t="shared" si="85"/>
        <v>93.450483186222883</v>
      </c>
      <c r="K267" s="62">
        <f t="shared" si="85"/>
        <v>94.886122283009399</v>
      </c>
      <c r="L267" s="62">
        <f t="shared" si="85"/>
        <v>94.040223967395306</v>
      </c>
      <c r="M267" s="62">
        <f t="shared" si="85"/>
        <v>94.348739213793152</v>
      </c>
      <c r="N267" s="62">
        <f t="shared" si="85"/>
        <v>91.648085050716219</v>
      </c>
      <c r="O267" s="62">
        <f t="shared" si="85"/>
        <v>86.265884155757306</v>
      </c>
      <c r="P267" s="62">
        <f t="shared" si="85"/>
        <v>86.724505576347497</v>
      </c>
      <c r="Q267" s="62">
        <f t="shared" si="85"/>
        <v>90.857444292584617</v>
      </c>
      <c r="R267" s="62">
        <f t="shared" si="85"/>
        <v>93.069177049633282</v>
      </c>
      <c r="S267" s="62">
        <f t="shared" si="85"/>
        <v>90.36711648907027</v>
      </c>
      <c r="T267" s="62">
        <f t="shared" si="85"/>
        <v>90.395255307324589</v>
      </c>
      <c r="U267" s="62">
        <f t="shared" si="85"/>
        <v>90.767394920157344</v>
      </c>
      <c r="V267" s="62">
        <f t="shared" si="85"/>
        <v>95.93692882631774</v>
      </c>
    </row>
    <row r="268" spans="3:22" x14ac:dyDescent="0.2">
      <c r="C268" s="87" t="s">
        <v>145</v>
      </c>
      <c r="D268" s="60">
        <f t="shared" ref="D268:V268" si="86">+IFERROR(IF(D229&gt;0,+((D229/D36)*100)," "),"")</f>
        <v>71.936588445693005</v>
      </c>
      <c r="E268" s="60">
        <f t="shared" si="86"/>
        <v>64.402597030484657</v>
      </c>
      <c r="F268" s="60">
        <f t="shared" si="86"/>
        <v>72.175261319960555</v>
      </c>
      <c r="G268" s="60">
        <f t="shared" si="86"/>
        <v>69.182859020457727</v>
      </c>
      <c r="H268" s="60">
        <f t="shared" si="86"/>
        <v>79.084360297730328</v>
      </c>
      <c r="I268" s="60">
        <f t="shared" si="86"/>
        <v>92.63694459594636</v>
      </c>
      <c r="J268" s="60">
        <f t="shared" si="86"/>
        <v>84.089219619591688</v>
      </c>
      <c r="K268" s="60">
        <f t="shared" si="86"/>
        <v>69.549470223305974</v>
      </c>
      <c r="L268" s="60">
        <f t="shared" si="86"/>
        <v>82.46182186175794</v>
      </c>
      <c r="M268" s="60">
        <f t="shared" si="86"/>
        <v>77.058157005526098</v>
      </c>
      <c r="N268" s="60">
        <f t="shared" si="86"/>
        <v>90.961314760538528</v>
      </c>
      <c r="O268" s="60">
        <f t="shared" si="86"/>
        <v>80.4185573523702</v>
      </c>
      <c r="P268" s="60">
        <f t="shared" si="86"/>
        <v>83.572450857873207</v>
      </c>
      <c r="Q268" s="60">
        <f t="shared" si="86"/>
        <v>81.211398256474325</v>
      </c>
      <c r="R268" s="60">
        <f t="shared" si="86"/>
        <v>90.303802573605523</v>
      </c>
      <c r="S268" s="60">
        <f t="shared" si="86"/>
        <v>87.078835712770768</v>
      </c>
      <c r="T268" s="60">
        <f t="shared" si="86"/>
        <v>88.842795555353533</v>
      </c>
      <c r="U268" s="60">
        <f t="shared" si="86"/>
        <v>89.281005830577783</v>
      </c>
      <c r="V268" s="60">
        <f t="shared" si="86"/>
        <v>95.461851849174792</v>
      </c>
    </row>
    <row r="269" spans="3:22" x14ac:dyDescent="0.2">
      <c r="C269" s="88" t="s">
        <v>146</v>
      </c>
      <c r="D269" s="62">
        <f t="shared" ref="D269:V269" si="87">+IFERROR(IF(D230&gt;0,+((D230/D37)*100)," "),"")</f>
        <v>90.060204679367445</v>
      </c>
      <c r="E269" s="62">
        <f t="shared" si="87"/>
        <v>91.625136542882117</v>
      </c>
      <c r="F269" s="62">
        <f t="shared" si="87"/>
        <v>82.670830534979117</v>
      </c>
      <c r="G269" s="62">
        <f t="shared" si="87"/>
        <v>95.301754208025116</v>
      </c>
      <c r="H269" s="62">
        <f t="shared" si="87"/>
        <v>87.633182390137947</v>
      </c>
      <c r="I269" s="62">
        <f t="shared" si="87"/>
        <v>86.047709004973669</v>
      </c>
      <c r="J269" s="62">
        <f t="shared" si="87"/>
        <v>86.044264760271176</v>
      </c>
      <c r="K269" s="62">
        <f t="shared" si="87"/>
        <v>82.965750943570427</v>
      </c>
      <c r="L269" s="62">
        <f t="shared" si="87"/>
        <v>87.568105863036877</v>
      </c>
      <c r="M269" s="62">
        <f t="shared" si="87"/>
        <v>90.598582909516097</v>
      </c>
      <c r="N269" s="62">
        <f t="shared" si="87"/>
        <v>83.844685847950359</v>
      </c>
      <c r="O269" s="62">
        <f t="shared" si="87"/>
        <v>93.153285724711537</v>
      </c>
      <c r="P269" s="62">
        <f t="shared" si="87"/>
        <v>91.724314857558568</v>
      </c>
      <c r="Q269" s="62">
        <f t="shared" si="87"/>
        <v>90.301177036518894</v>
      </c>
      <c r="R269" s="62">
        <f t="shared" si="87"/>
        <v>96.620652060050531</v>
      </c>
      <c r="S269" s="62">
        <f t="shared" si="87"/>
        <v>96.844827330492777</v>
      </c>
      <c r="T269" s="62">
        <f t="shared" si="87"/>
        <v>95.160289797360846</v>
      </c>
      <c r="U269" s="62">
        <f t="shared" si="87"/>
        <v>92.166700258709611</v>
      </c>
      <c r="V269" s="62">
        <f t="shared" si="87"/>
        <v>88.396895954743471</v>
      </c>
    </row>
    <row r="270" spans="3:22" x14ac:dyDescent="0.2">
      <c r="C270" s="90" t="s">
        <v>147</v>
      </c>
      <c r="D270" s="61">
        <f t="shared" ref="D270:V270" si="88">+IFERROR(IF(D231&gt;0,+((D231/D38)*100)," "),"")</f>
        <v>83.79035830101887</v>
      </c>
      <c r="E270" s="61">
        <f t="shared" si="88"/>
        <v>91.456654076735447</v>
      </c>
      <c r="F270" s="61">
        <f t="shared" si="88"/>
        <v>91.902862663995492</v>
      </c>
      <c r="G270" s="61">
        <f t="shared" si="88"/>
        <v>90.966133790529881</v>
      </c>
      <c r="H270" s="61">
        <f t="shared" si="88"/>
        <v>87.936065319598811</v>
      </c>
      <c r="I270" s="61">
        <f t="shared" si="88"/>
        <v>90.898866925580606</v>
      </c>
      <c r="J270" s="61">
        <f t="shared" si="88"/>
        <v>87.858584663068086</v>
      </c>
      <c r="K270" s="61">
        <f t="shared" si="88"/>
        <v>90.480302825830279</v>
      </c>
      <c r="L270" s="61">
        <f t="shared" si="88"/>
        <v>94.040052970778916</v>
      </c>
      <c r="M270" s="61">
        <f t="shared" si="88"/>
        <v>84.091319969033151</v>
      </c>
      <c r="N270" s="61">
        <f t="shared" si="88"/>
        <v>73.551830596966255</v>
      </c>
      <c r="O270" s="61">
        <f t="shared" si="88"/>
        <v>77.944614305994008</v>
      </c>
      <c r="P270" s="61">
        <f t="shared" si="88"/>
        <v>78.825280865433399</v>
      </c>
      <c r="Q270" s="61">
        <f t="shared" si="88"/>
        <v>90.980261379595831</v>
      </c>
      <c r="R270" s="61">
        <f t="shared" si="88"/>
        <v>85.991382022001204</v>
      </c>
      <c r="S270" s="61">
        <f t="shared" si="88"/>
        <v>87.365786420373311</v>
      </c>
      <c r="T270" s="61">
        <f t="shared" si="88"/>
        <v>89.939218374955317</v>
      </c>
      <c r="U270" s="61">
        <f t="shared" si="88"/>
        <v>91.520405378455237</v>
      </c>
      <c r="V270" s="61">
        <f t="shared" si="88"/>
        <v>90.668390397995609</v>
      </c>
    </row>
    <row r="271" spans="3:22" ht="22.5" customHeight="1" x14ac:dyDescent="0.2">
      <c r="C271" s="89" t="s">
        <v>148</v>
      </c>
      <c r="D271" s="63" t="str">
        <f t="shared" ref="D271:V271" si="89">+IFERROR(IF(D232&gt;0,+((D232/D39)*100)," "),"")</f>
        <v xml:space="preserve"> </v>
      </c>
      <c r="E271" s="63" t="str">
        <f t="shared" si="89"/>
        <v xml:space="preserve"> </v>
      </c>
      <c r="F271" s="63" t="str">
        <f t="shared" si="89"/>
        <v xml:space="preserve"> </v>
      </c>
      <c r="G271" s="63" t="str">
        <f t="shared" si="89"/>
        <v xml:space="preserve"> </v>
      </c>
      <c r="H271" s="63" t="str">
        <f t="shared" si="89"/>
        <v xml:space="preserve"> </v>
      </c>
      <c r="I271" s="63" t="str">
        <f t="shared" si="89"/>
        <v xml:space="preserve"> </v>
      </c>
      <c r="J271" s="63" t="str">
        <f t="shared" si="89"/>
        <v xml:space="preserve"> </v>
      </c>
      <c r="K271" s="63" t="str">
        <f t="shared" si="89"/>
        <v xml:space="preserve"> </v>
      </c>
      <c r="L271" s="63" t="str">
        <f t="shared" si="89"/>
        <v xml:space="preserve"> </v>
      </c>
      <c r="M271" s="63" t="str">
        <f t="shared" si="89"/>
        <v xml:space="preserve"> </v>
      </c>
      <c r="N271" s="63" t="str">
        <f t="shared" si="89"/>
        <v xml:space="preserve"> </v>
      </c>
      <c r="O271" s="63" t="str">
        <f t="shared" si="89"/>
        <v xml:space="preserve"> </v>
      </c>
      <c r="P271" s="63" t="str">
        <f t="shared" si="89"/>
        <v xml:space="preserve"> </v>
      </c>
      <c r="Q271" s="63" t="str">
        <f t="shared" si="89"/>
        <v xml:space="preserve"> </v>
      </c>
      <c r="R271" s="63" t="str">
        <f t="shared" si="89"/>
        <v xml:space="preserve"> </v>
      </c>
      <c r="S271" s="63" t="str">
        <f t="shared" si="89"/>
        <v xml:space="preserve"> </v>
      </c>
      <c r="T271" s="63" t="str">
        <f t="shared" si="89"/>
        <v xml:space="preserve"> </v>
      </c>
      <c r="U271" s="63">
        <f t="shared" si="89"/>
        <v>55.081877894904977</v>
      </c>
      <c r="V271" s="63">
        <f t="shared" si="89"/>
        <v>74.776759865949245</v>
      </c>
    </row>
    <row r="272" spans="3:22" x14ac:dyDescent="0.2">
      <c r="C272" s="87" t="s">
        <v>149</v>
      </c>
      <c r="D272" s="60">
        <f t="shared" ref="D272:V272" si="90">+IFERROR(IF(D233&gt;0,+((D233/D40)*100)," "),"")</f>
        <v>50.677427092372383</v>
      </c>
      <c r="E272" s="60">
        <f t="shared" si="90"/>
        <v>45.628065984643712</v>
      </c>
      <c r="F272" s="60">
        <f t="shared" si="90"/>
        <v>36.917901449928422</v>
      </c>
      <c r="G272" s="60">
        <f t="shared" si="90"/>
        <v>46.589072018313452</v>
      </c>
      <c r="H272" s="60">
        <f t="shared" si="90"/>
        <v>68.246972014158644</v>
      </c>
      <c r="I272" s="60">
        <f t="shared" si="90"/>
        <v>31.425672867248682</v>
      </c>
      <c r="J272" s="60">
        <f t="shared" si="90"/>
        <v>58.712695428514927</v>
      </c>
      <c r="K272" s="60">
        <f t="shared" si="90"/>
        <v>70.194098365211701</v>
      </c>
      <c r="L272" s="60">
        <f t="shared" si="90"/>
        <v>61.699266023532282</v>
      </c>
      <c r="M272" s="60">
        <f t="shared" si="90"/>
        <v>58.170269578933706</v>
      </c>
      <c r="N272" s="60">
        <f t="shared" si="90"/>
        <v>58.139535047028211</v>
      </c>
      <c r="O272" s="60">
        <f t="shared" si="90"/>
        <v>70.178147341679974</v>
      </c>
      <c r="P272" s="60">
        <f t="shared" si="90"/>
        <v>60.286875717244591</v>
      </c>
      <c r="Q272" s="60">
        <f t="shared" si="90"/>
        <v>71.436351998361147</v>
      </c>
      <c r="R272" s="60">
        <f t="shared" si="90"/>
        <v>76.359734323910942</v>
      </c>
      <c r="S272" s="60">
        <f t="shared" si="90"/>
        <v>78.464781735800656</v>
      </c>
      <c r="T272" s="60">
        <f t="shared" si="90"/>
        <v>85.049944680990649</v>
      </c>
      <c r="U272" s="60">
        <f t="shared" si="90"/>
        <v>78.872314147129458</v>
      </c>
      <c r="V272" s="60">
        <f t="shared" si="90"/>
        <v>85.646050911875463</v>
      </c>
    </row>
    <row r="273" spans="3:22" x14ac:dyDescent="0.2">
      <c r="C273" s="88" t="s">
        <v>150</v>
      </c>
      <c r="D273" s="62">
        <f t="shared" ref="D273:V273" si="91">+IFERROR(IF(D234&gt;0,+((D234/D41)*100)," "),"")</f>
        <v>55.842420493236432</v>
      </c>
      <c r="E273" s="62">
        <f t="shared" si="91"/>
        <v>69.533235739447235</v>
      </c>
      <c r="F273" s="62">
        <f t="shared" si="91"/>
        <v>42.106719615506009</v>
      </c>
      <c r="G273" s="62">
        <f t="shared" si="91"/>
        <v>68.853709447701007</v>
      </c>
      <c r="H273" s="62">
        <f t="shared" si="91"/>
        <v>68.046859212119998</v>
      </c>
      <c r="I273" s="62">
        <f t="shared" si="91"/>
        <v>72.568465755153838</v>
      </c>
      <c r="J273" s="62">
        <f t="shared" si="91"/>
        <v>57.341550547583608</v>
      </c>
      <c r="K273" s="62">
        <f t="shared" si="91"/>
        <v>71.6776614523624</v>
      </c>
      <c r="L273" s="62">
        <f t="shared" si="91"/>
        <v>74.89315647405661</v>
      </c>
      <c r="M273" s="62">
        <f t="shared" si="91"/>
        <v>70.570742351461618</v>
      </c>
      <c r="N273" s="62">
        <f t="shared" si="91"/>
        <v>66.29835116452233</v>
      </c>
      <c r="O273" s="62">
        <f t="shared" si="91"/>
        <v>68.251893961938364</v>
      </c>
      <c r="P273" s="62">
        <f t="shared" si="91"/>
        <v>70.823352664050134</v>
      </c>
      <c r="Q273" s="62">
        <f t="shared" si="91"/>
        <v>69.328680569731816</v>
      </c>
      <c r="R273" s="62">
        <f t="shared" si="91"/>
        <v>77.337944095443589</v>
      </c>
      <c r="S273" s="62">
        <f t="shared" si="91"/>
        <v>72.262847350766364</v>
      </c>
      <c r="T273" s="62">
        <f t="shared" si="91"/>
        <v>66.75212936468273</v>
      </c>
      <c r="U273" s="62">
        <f t="shared" si="91"/>
        <v>62.819656486324234</v>
      </c>
      <c r="V273" s="62">
        <f t="shared" si="91"/>
        <v>72.406321516523349</v>
      </c>
    </row>
    <row r="274" spans="3:22" x14ac:dyDescent="0.2">
      <c r="C274" s="87" t="s">
        <v>151</v>
      </c>
      <c r="D274" s="60">
        <f t="shared" ref="D274:V274" si="92">+IFERROR(IF(D235&gt;0,+((D235/D42)*100)," "),"")</f>
        <v>51.176585022704693</v>
      </c>
      <c r="E274" s="60">
        <f t="shared" si="92"/>
        <v>24.018877695354337</v>
      </c>
      <c r="F274" s="60">
        <f t="shared" si="92"/>
        <v>41.382043547503137</v>
      </c>
      <c r="G274" s="60">
        <f t="shared" si="92"/>
        <v>25.476252934758431</v>
      </c>
      <c r="H274" s="60">
        <f t="shared" si="92"/>
        <v>11.094667839161547</v>
      </c>
      <c r="I274" s="60">
        <f t="shared" si="92"/>
        <v>13.870886398339998</v>
      </c>
      <c r="J274" s="60">
        <f t="shared" si="92"/>
        <v>49.872442994093952</v>
      </c>
      <c r="K274" s="60">
        <f t="shared" si="92"/>
        <v>74.060694007984665</v>
      </c>
      <c r="L274" s="60">
        <f t="shared" si="92"/>
        <v>47.68559892771767</v>
      </c>
      <c r="M274" s="60">
        <f t="shared" si="92"/>
        <v>34.220245691438585</v>
      </c>
      <c r="N274" s="60">
        <f t="shared" si="92"/>
        <v>29.026405123128836</v>
      </c>
      <c r="O274" s="60">
        <f t="shared" si="92"/>
        <v>68.991385617817585</v>
      </c>
      <c r="P274" s="60">
        <f t="shared" si="92"/>
        <v>67.669579693836809</v>
      </c>
      <c r="Q274" s="60">
        <f t="shared" si="92"/>
        <v>55.96133019524072</v>
      </c>
      <c r="R274" s="60">
        <f t="shared" si="92"/>
        <v>59.952103368201705</v>
      </c>
      <c r="S274" s="60">
        <f t="shared" si="92"/>
        <v>54.766628728115364</v>
      </c>
      <c r="T274" s="60">
        <f t="shared" si="92"/>
        <v>63.732317865196528</v>
      </c>
      <c r="U274" s="60">
        <f t="shared" si="92"/>
        <v>59.64231689257786</v>
      </c>
      <c r="V274" s="60">
        <f t="shared" si="92"/>
        <v>60.531093047790627</v>
      </c>
    </row>
    <row r="275" spans="3:22" x14ac:dyDescent="0.2">
      <c r="C275" s="91" t="s">
        <v>154</v>
      </c>
      <c r="D275" s="74">
        <f t="shared" ref="D275:V275" si="93">+IFERROR(IF(D236&gt;0,+((D236/D43)*100)," "),"")</f>
        <v>76.980492672240501</v>
      </c>
      <c r="E275" s="74">
        <f t="shared" si="93"/>
        <v>83.136831030846963</v>
      </c>
      <c r="F275" s="74">
        <f t="shared" si="93"/>
        <v>80.695977001490235</v>
      </c>
      <c r="G275" s="74">
        <f t="shared" si="93"/>
        <v>85.656141514985507</v>
      </c>
      <c r="H275" s="74">
        <f t="shared" si="93"/>
        <v>83.983732609946671</v>
      </c>
      <c r="I275" s="74">
        <f t="shared" si="93"/>
        <v>87.078815643830225</v>
      </c>
      <c r="J275" s="74">
        <f t="shared" si="93"/>
        <v>85.184537452834661</v>
      </c>
      <c r="K275" s="74">
        <f t="shared" si="93"/>
        <v>86.971079184774865</v>
      </c>
      <c r="L275" s="74">
        <f t="shared" si="93"/>
        <v>88.763594875752787</v>
      </c>
      <c r="M275" s="74">
        <f t="shared" si="93"/>
        <v>84.630429440872092</v>
      </c>
      <c r="N275" s="74">
        <f t="shared" si="93"/>
        <v>81.352733132518068</v>
      </c>
      <c r="O275" s="74">
        <f t="shared" si="93"/>
        <v>82.889935854213022</v>
      </c>
      <c r="P275" s="74">
        <f t="shared" si="93"/>
        <v>82.368304853088318</v>
      </c>
      <c r="Q275" s="74">
        <f t="shared" si="93"/>
        <v>83.804028903198599</v>
      </c>
      <c r="R275" s="74">
        <f t="shared" si="93"/>
        <v>84.072032361739517</v>
      </c>
      <c r="S275" s="74">
        <f t="shared" si="93"/>
        <v>86.401420650570287</v>
      </c>
      <c r="T275" s="74">
        <f t="shared" si="93"/>
        <v>87.836783580324152</v>
      </c>
      <c r="U275" s="74">
        <f t="shared" si="93"/>
        <v>88.827593133626422</v>
      </c>
      <c r="V275" s="74">
        <f t="shared" si="93"/>
        <v>90.235295755289656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C128:C129"/>
    <mergeCell ref="G244:G245"/>
    <mergeCell ref="L12:L13"/>
    <mergeCell ref="J167:J168"/>
    <mergeCell ref="K89:K90"/>
    <mergeCell ref="T205:T206"/>
    <mergeCell ref="N12:N13"/>
    <mergeCell ref="Q244:Q245"/>
    <mergeCell ref="C51:C52"/>
    <mergeCell ref="C244:C245"/>
    <mergeCell ref="D244:D245"/>
    <mergeCell ref="C89:C90"/>
    <mergeCell ref="T51:T52"/>
    <mergeCell ref="L51:L52"/>
    <mergeCell ref="S244:S245"/>
    <mergeCell ref="S128:S129"/>
    <mergeCell ref="R205:R206"/>
    <mergeCell ref="R12:R13"/>
    <mergeCell ref="T12:T13"/>
    <mergeCell ref="H128:H129"/>
    <mergeCell ref="E89:E90"/>
    <mergeCell ref="J128:J129"/>
    <mergeCell ref="T128:T129"/>
    <mergeCell ref="H244:H245"/>
    <mergeCell ref="J244:J245"/>
    <mergeCell ref="T244:T245"/>
    <mergeCell ref="I244:I245"/>
    <mergeCell ref="F244:F245"/>
    <mergeCell ref="E244:E245"/>
    <mergeCell ref="L128:L129"/>
    <mergeCell ref="N128:N129"/>
    <mergeCell ref="D203:V203"/>
    <mergeCell ref="M167:M168"/>
    <mergeCell ref="S12:S13"/>
    <mergeCell ref="P89:P90"/>
    <mergeCell ref="D12:D13"/>
    <mergeCell ref="D205:D206"/>
    <mergeCell ref="V12:V13"/>
    <mergeCell ref="F128:F129"/>
    <mergeCell ref="F205:F206"/>
    <mergeCell ref="H89:H90"/>
    <mergeCell ref="F12:F13"/>
    <mergeCell ref="K51:K52"/>
    <mergeCell ref="M51:M52"/>
    <mergeCell ref="R89:R90"/>
    <mergeCell ref="E128:E129"/>
    <mergeCell ref="G128:G129"/>
    <mergeCell ref="G205:G206"/>
    <mergeCell ref="J205:J206"/>
    <mergeCell ref="G167:G168"/>
    <mergeCell ref="M89:M90"/>
    <mergeCell ref="I167:I168"/>
    <mergeCell ref="O89:O90"/>
    <mergeCell ref="F167:F168"/>
    <mergeCell ref="I128:I129"/>
    <mergeCell ref="K128:K129"/>
    <mergeCell ref="H205:H206"/>
    <mergeCell ref="I89:I90"/>
    <mergeCell ref="N89:N90"/>
    <mergeCell ref="R244:R245"/>
    <mergeCell ref="L242:Q242"/>
    <mergeCell ref="S205:S206"/>
    <mergeCell ref="U205:U206"/>
    <mergeCell ref="P12:P13"/>
    <mergeCell ref="T6:T7"/>
    <mergeCell ref="U6:U7"/>
    <mergeCell ref="S167:S168"/>
    <mergeCell ref="P51:P52"/>
    <mergeCell ref="M128:M129"/>
    <mergeCell ref="O128:O129"/>
    <mergeCell ref="U167:U168"/>
    <mergeCell ref="U128:U129"/>
    <mergeCell ref="D48:V48"/>
    <mergeCell ref="D6:D7"/>
    <mergeCell ref="D128:D129"/>
    <mergeCell ref="V128:V129"/>
    <mergeCell ref="L49:Q49"/>
    <mergeCell ref="G51:G52"/>
    <mergeCell ref="I51:I52"/>
    <mergeCell ref="V205:V206"/>
    <mergeCell ref="D167:D168"/>
    <mergeCell ref="P167:P168"/>
    <mergeCell ref="J51:J52"/>
    <mergeCell ref="C167:C168"/>
    <mergeCell ref="Q6:Q7"/>
    <mergeCell ref="V89:V90"/>
    <mergeCell ref="S6:S7"/>
    <mergeCell ref="O167:O168"/>
    <mergeCell ref="Q167:Q168"/>
    <mergeCell ref="U244:U245"/>
    <mergeCell ref="G89:G90"/>
    <mergeCell ref="J12:J13"/>
    <mergeCell ref="M244:M245"/>
    <mergeCell ref="O51:O52"/>
    <mergeCell ref="L6:L7"/>
    <mergeCell ref="O244:O245"/>
    <mergeCell ref="Q89:Q90"/>
    <mergeCell ref="N6:N7"/>
    <mergeCell ref="S89:S90"/>
    <mergeCell ref="U89:U90"/>
    <mergeCell ref="L167:L168"/>
    <mergeCell ref="N205:N206"/>
    <mergeCell ref="S51:S52"/>
    <mergeCell ref="P205:P206"/>
    <mergeCell ref="U51:U52"/>
    <mergeCell ref="P244:P245"/>
    <mergeCell ref="R167:R168"/>
    <mergeCell ref="F51:F52"/>
    <mergeCell ref="C12:C13"/>
    <mergeCell ref="H51:H52"/>
    <mergeCell ref="J89:J90"/>
    <mergeCell ref="R51:R52"/>
    <mergeCell ref="G6:G7"/>
    <mergeCell ref="L89:L90"/>
    <mergeCell ref="O12:O13"/>
    <mergeCell ref="M12:M13"/>
    <mergeCell ref="H12:H13"/>
    <mergeCell ref="E12:E13"/>
    <mergeCell ref="G12:G13"/>
    <mergeCell ref="Q12:Q13"/>
    <mergeCell ref="P6:P7"/>
    <mergeCell ref="R6:R7"/>
    <mergeCell ref="I6:I7"/>
    <mergeCell ref="K6:K7"/>
    <mergeCell ref="F6:F7"/>
    <mergeCell ref="D10:V10"/>
    <mergeCell ref="D2:V2"/>
    <mergeCell ref="D51:D52"/>
    <mergeCell ref="A5:C6"/>
    <mergeCell ref="N51:N52"/>
    <mergeCell ref="K205:K206"/>
    <mergeCell ref="D4:V4"/>
    <mergeCell ref="K244:K245"/>
    <mergeCell ref="H6:H7"/>
    <mergeCell ref="J6:J7"/>
    <mergeCell ref="C205:C206"/>
    <mergeCell ref="E205:E206"/>
    <mergeCell ref="H167:H168"/>
    <mergeCell ref="V6:V7"/>
    <mergeCell ref="T167:T168"/>
    <mergeCell ref="L205:L206"/>
    <mergeCell ref="Q51:Q52"/>
    <mergeCell ref="V167:V168"/>
    <mergeCell ref="E167:E168"/>
    <mergeCell ref="I12:I13"/>
    <mergeCell ref="L244:L245"/>
    <mergeCell ref="K12:K13"/>
    <mergeCell ref="N244:N245"/>
    <mergeCell ref="I205:I206"/>
    <mergeCell ref="D241:V241"/>
    <mergeCell ref="V244:V245"/>
    <mergeCell ref="D126:V126"/>
    <mergeCell ref="L165:Q165"/>
    <mergeCell ref="O6:O7"/>
    <mergeCell ref="K167:K168"/>
    <mergeCell ref="V51:V52"/>
    <mergeCell ref="C11:V11"/>
    <mergeCell ref="D89:D90"/>
    <mergeCell ref="M205:M206"/>
    <mergeCell ref="Q128:Q129"/>
    <mergeCell ref="E6:E7"/>
    <mergeCell ref="U12:U13"/>
    <mergeCell ref="N167:N168"/>
    <mergeCell ref="T89:T90"/>
    <mergeCell ref="M6:M7"/>
    <mergeCell ref="A7:C7"/>
    <mergeCell ref="D87:V87"/>
    <mergeCell ref="P128:P129"/>
    <mergeCell ref="R128:R129"/>
    <mergeCell ref="E51:E52"/>
    <mergeCell ref="F89:F90"/>
    <mergeCell ref="O205:O206"/>
    <mergeCell ref="Q205:Q206"/>
    <mergeCell ref="D164:V164"/>
  </mergeCells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K298"/>
  <sheetViews>
    <sheetView showGridLines="0" zoomScaleNormal="100" workbookViewId="0">
      <pane xSplit="3" ySplit="9" topLeftCell="D7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3" sqref="K223:K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25" width="10.7109375" style="9" customWidth="1"/>
    <col min="26" max="26" width="11.42578125" style="9" customWidth="1"/>
    <col min="27" max="16384" width="11.42578125" style="9"/>
  </cols>
  <sheetData>
    <row r="1" spans="1:11" ht="16.5" customHeight="1" x14ac:dyDescent="0.2"/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5"/>
      <c r="E6" s="182"/>
      <c r="F6" s="182"/>
      <c r="G6" s="182"/>
      <c r="H6" s="182"/>
      <c r="I6" s="182"/>
      <c r="J6" s="182"/>
      <c r="K6" s="182"/>
    </row>
    <row r="7" spans="1:11" ht="16.5" customHeight="1" x14ac:dyDescent="0.2">
      <c r="A7" s="169" t="s">
        <v>9</v>
      </c>
      <c r="B7" s="160"/>
      <c r="C7" s="160"/>
      <c r="D7" s="147"/>
      <c r="E7" s="147"/>
      <c r="F7" s="147"/>
      <c r="G7" s="147"/>
      <c r="H7" s="147"/>
      <c r="I7" s="147"/>
      <c r="J7" s="147"/>
      <c r="K7" s="147"/>
    </row>
    <row r="8" spans="1:11" ht="16.5" customHeight="1" x14ac:dyDescent="0.2">
      <c r="A8" s="160"/>
      <c r="B8" s="160"/>
      <c r="C8" s="16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1" ht="16.5" customHeight="1" x14ac:dyDescent="0.2">
      <c r="A9" s="166" t="s">
        <v>227</v>
      </c>
      <c r="B9" s="160"/>
      <c r="C9" s="160"/>
      <c r="D9" s="160"/>
      <c r="E9" s="182"/>
      <c r="F9" s="182"/>
      <c r="G9" s="182"/>
      <c r="H9" s="182"/>
      <c r="I9" s="182"/>
      <c r="J9" s="182"/>
      <c r="K9" s="182"/>
    </row>
    <row r="10" spans="1:11" s="102" customFormat="1" ht="14.25" customHeight="1" x14ac:dyDescent="0.25">
      <c r="B10" s="98"/>
      <c r="C10" s="98"/>
      <c r="D10" s="98"/>
    </row>
    <row r="11" spans="1:11" ht="18" customHeight="1" x14ac:dyDescent="0.2">
      <c r="C11" s="164" t="s">
        <v>119</v>
      </c>
      <c r="D11" s="160"/>
      <c r="E11" s="182"/>
      <c r="F11" s="182"/>
      <c r="G11" s="182"/>
      <c r="H11" s="182"/>
      <c r="I11" s="182"/>
      <c r="J11" s="182"/>
      <c r="K11" s="182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1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C15" s="87" t="s">
        <v>123</v>
      </c>
      <c r="D15" s="42">
        <f>2263.008177069*Deflactores!$T$5</f>
        <v>3519.7577296350723</v>
      </c>
      <c r="E15" s="42">
        <f>1848.385352454*Deflactores!$U$5</f>
        <v>2829.3242053413478</v>
      </c>
      <c r="F15" s="42">
        <f>2396.84557186*Deflactores!$V$5</f>
        <v>3473.6342403361814</v>
      </c>
      <c r="G15" s="42">
        <f>2587.244716219*Deflactores!$W$5</f>
        <v>3314.684105961257</v>
      </c>
      <c r="H15" s="42">
        <f>5380.714478735*Deflactores!$X$5</f>
        <v>6308.1773999304878</v>
      </c>
      <c r="I15" s="42">
        <f>7882.496877194*Deflactores!$Y$5</f>
        <v>8784.3982826383035</v>
      </c>
      <c r="J15" s="42">
        <f>5051.466451465*Deflactores!$Z$5</f>
        <v>5356.2242686139471</v>
      </c>
      <c r="K15" s="42">
        <f>4124.07427549*Deflactores!$AA$5</f>
        <v>4124.0742754900002</v>
      </c>
    </row>
    <row r="16" spans="1:11" x14ac:dyDescent="0.2">
      <c r="C16" s="88" t="s">
        <v>124</v>
      </c>
      <c r="D16" s="50">
        <f>622.602510556*Deflactores!$T$5</f>
        <v>968.36150272242958</v>
      </c>
      <c r="E16" s="50">
        <f>726.872387118*Deflactores!$U$5</f>
        <v>1112.6238564576511</v>
      </c>
      <c r="F16" s="50">
        <f>1170.821132766*Deflactores!$V$5</f>
        <v>1696.8153575822971</v>
      </c>
      <c r="G16" s="50">
        <f>1362.009917729*Deflactores!$W$5</f>
        <v>1744.957714342384</v>
      </c>
      <c r="H16" s="50">
        <f>2010.636058396*Deflactores!$X$5</f>
        <v>2357.205347576969</v>
      </c>
      <c r="I16" s="50">
        <f>2043.195590413*Deflactores!$Y$5</f>
        <v>2276.9744302020326</v>
      </c>
      <c r="J16" s="50">
        <f>1763.960678017*Deflactores!$Z$5</f>
        <v>1870.3814195846551</v>
      </c>
      <c r="K16" s="50">
        <f>1798.489618932*Deflactores!$AA$5</f>
        <v>1798.489618932</v>
      </c>
    </row>
    <row r="17" spans="3:11" x14ac:dyDescent="0.2">
      <c r="C17" s="87" t="s">
        <v>125</v>
      </c>
      <c r="D17" s="42">
        <f>350.968983876*Deflactores!$T$5</f>
        <v>545.87774201491652</v>
      </c>
      <c r="E17" s="42">
        <f>270.045579608*Deflactores!$U$5</f>
        <v>413.35887774481967</v>
      </c>
      <c r="F17" s="42">
        <f>412.035071887*Deflactores!$V$5</f>
        <v>597.14282418928542</v>
      </c>
      <c r="G17" s="42">
        <f>330.504086272*Deflactores!$W$5</f>
        <v>423.42984985279423</v>
      </c>
      <c r="H17" s="42">
        <f>484.836286945*Deflactores!$X$5</f>
        <v>568.40654155871437</v>
      </c>
      <c r="I17" s="42">
        <f>375.665563998*Deflactores!$Y$5</f>
        <v>418.6485559896737</v>
      </c>
      <c r="J17" s="42">
        <f>281.450237264*Deflactores!$Z$5</f>
        <v>298.43028865477072</v>
      </c>
      <c r="K17" s="42">
        <f>379.855765201*Deflactores!$AA$5</f>
        <v>379.855765201</v>
      </c>
    </row>
    <row r="18" spans="3:11" x14ac:dyDescent="0.2">
      <c r="C18" s="88" t="s">
        <v>126</v>
      </c>
      <c r="D18" s="50">
        <f>1001.62005512*Deflactores!$T$5</f>
        <v>1557.8644243929459</v>
      </c>
      <c r="E18" s="50">
        <f>1109.619731815*Deflactores!$U$5</f>
        <v>1698.4953715308588</v>
      </c>
      <c r="F18" s="50">
        <f>1180.478070828*Deflactores!$V$5</f>
        <v>1710.8106984181015</v>
      </c>
      <c r="G18" s="50">
        <f>1166.871493802*Deflactores!$W$5</f>
        <v>1494.9534421533876</v>
      </c>
      <c r="H18" s="50">
        <f>1446.367435627*Deflactores!$X$5</f>
        <v>1695.6748783969458</v>
      </c>
      <c r="I18" s="50">
        <f>1470.119868961*Deflactores!$Y$5</f>
        <v>1638.3283943362126</v>
      </c>
      <c r="J18" s="50">
        <f>1464.940835322*Deflactores!$Z$5</f>
        <v>1553.3215413040441</v>
      </c>
      <c r="K18" s="50">
        <f>1773.816964957*Deflactores!$AA$5</f>
        <v>1773.816964957</v>
      </c>
    </row>
    <row r="19" spans="3:11" x14ac:dyDescent="0.2">
      <c r="C19" s="87" t="s">
        <v>127</v>
      </c>
      <c r="D19" s="42">
        <f>647.367*Deflactores!$T$5</f>
        <v>1006.8788196390124</v>
      </c>
      <c r="E19" s="42">
        <f>690.460829558*Deflactores!$U$5</f>
        <v>1056.8886705983205</v>
      </c>
      <c r="F19" s="42">
        <f>776.347897349*Deflactores!$V$5</f>
        <v>1125.1240673598152</v>
      </c>
      <c r="G19" s="42">
        <f>971.637279727*Deflactores!$W$5</f>
        <v>1244.8264471005307</v>
      </c>
      <c r="H19" s="42">
        <f>1183.665725483*Deflactores!$X$5</f>
        <v>1387.6918033977554</v>
      </c>
      <c r="I19" s="42">
        <f>1371.608*Deflactores!$Y$5</f>
        <v>1528.5449708851713</v>
      </c>
      <c r="J19" s="42">
        <f>1566.670325863*Deflactores!$Z$5</f>
        <v>1661.1884293265136</v>
      </c>
      <c r="K19" s="42">
        <f>1332.772*Deflactores!$AA$5</f>
        <v>1332.7719999999999</v>
      </c>
    </row>
    <row r="20" spans="3:11" x14ac:dyDescent="0.2">
      <c r="C20" s="88" t="s">
        <v>128</v>
      </c>
      <c r="D20" s="50">
        <f>383.014478751*Deflactores!$T$5</f>
        <v>595.71953199569725</v>
      </c>
      <c r="E20" s="50">
        <f>379.718754316*Deflactores!$U$5</f>
        <v>581.23565055412871</v>
      </c>
      <c r="F20" s="50">
        <f>615.051097295*Deflactores!$V$5</f>
        <v>891.36428988302089</v>
      </c>
      <c r="G20" s="50">
        <f>572.673558519*Deflactores!$W$5</f>
        <v>733.68859560423789</v>
      </c>
      <c r="H20" s="50">
        <f>804.18755564*Deflactores!$X$5</f>
        <v>942.80374545839811</v>
      </c>
      <c r="I20" s="50">
        <f>1324.029954937*Deflactores!$Y$5</f>
        <v>1475.5231297282251</v>
      </c>
      <c r="J20" s="50">
        <f>1075.959820342*Deflactores!$Z$5</f>
        <v>1140.8730825279347</v>
      </c>
      <c r="K20" s="50">
        <f>1177.665483214*Deflactores!$AA$5</f>
        <v>1177.665483214</v>
      </c>
    </row>
    <row r="21" spans="3:11" x14ac:dyDescent="0.2">
      <c r="C21" s="87" t="s">
        <v>129</v>
      </c>
      <c r="D21" s="42">
        <f>33563.9482759364*Deflactores!$T$5</f>
        <v>52203.508400180588</v>
      </c>
      <c r="E21" s="42">
        <f>35404.205533454*Deflactores!$U$5</f>
        <v>54193.23170554846</v>
      </c>
      <c r="F21" s="42">
        <f>38824.650875343*Deflactores!$V$5</f>
        <v>56266.719154973951</v>
      </c>
      <c r="G21" s="42">
        <f>42390.856385664*Deflactores!$W$5</f>
        <v>54309.627929201619</v>
      </c>
      <c r="H21" s="42">
        <f>47951.8827*Deflactores!$X$5</f>
        <v>56217.252174914254</v>
      </c>
      <c r="I21" s="42">
        <f>55898.946923629*Deflactores!$Y$5</f>
        <v>62294.805948849986</v>
      </c>
      <c r="J21" s="42">
        <f>60056.0795847993*Deflactores!$Z$5</f>
        <v>63679.296703360749</v>
      </c>
      <c r="K21" s="42">
        <f>65830.312324886*Deflactores!$AA$5</f>
        <v>65830.312324886007</v>
      </c>
    </row>
    <row r="22" spans="3:11" x14ac:dyDescent="0.2">
      <c r="C22" s="88" t="s">
        <v>130</v>
      </c>
      <c r="D22" s="50">
        <f>499.630371065*Deflactores!$T$5</f>
        <v>777.09743974241667</v>
      </c>
      <c r="E22" s="50">
        <f>461.981328593*Deflactores!$U$5</f>
        <v>707.15500621586909</v>
      </c>
      <c r="F22" s="50">
        <f>767.722084933*Deflactores!$V$5</f>
        <v>1112.6230878596289</v>
      </c>
      <c r="G22" s="50">
        <f>898.135598597*Deflactores!$W$5</f>
        <v>1150.6587587192432</v>
      </c>
      <c r="H22" s="50">
        <f>948.780870577*Deflactores!$X$5</f>
        <v>1112.3203189676196</v>
      </c>
      <c r="I22" s="50">
        <f>1058.666759556*Deflactores!$Y$5</f>
        <v>1179.7975450439374</v>
      </c>
      <c r="J22" s="50">
        <f>449.600696578*Deflactores!$Z$5</f>
        <v>476.72535991967567</v>
      </c>
      <c r="K22" s="50">
        <f>496.087196266*Deflactores!$AA$5</f>
        <v>496.08719626599998</v>
      </c>
    </row>
    <row r="23" spans="3:11" x14ac:dyDescent="0.2">
      <c r="C23" s="87" t="s">
        <v>131</v>
      </c>
      <c r="D23" s="42">
        <f>41460.543920518*Deflactores!$T$5</f>
        <v>64485.436428305118</v>
      </c>
      <c r="E23" s="42">
        <f>44611.394364525*Deflactores!$U$5</f>
        <v>68286.679366942422</v>
      </c>
      <c r="F23" s="42">
        <f>48094.75984832*Deflactores!$V$5</f>
        <v>69701.446998199986</v>
      </c>
      <c r="G23" s="42">
        <f>49755.57288569*Deflactores!$W$5</f>
        <v>63745.035633201907</v>
      </c>
      <c r="H23" s="42">
        <f>59051.239462706*Deflactores!$X$5</f>
        <v>69229.782715417576</v>
      </c>
      <c r="I23" s="42">
        <f>70125.283359031*Deflactores!$Y$5</f>
        <v>78148.89473548159</v>
      </c>
      <c r="J23" s="42">
        <f>80217.1222003794*Deflactores!$Z$5</f>
        <v>85056.66637921246</v>
      </c>
      <c r="K23" s="42">
        <f>88238.54283574*Deflactores!$AA$5</f>
        <v>88238.542835739994</v>
      </c>
    </row>
    <row r="24" spans="3:11" x14ac:dyDescent="0.2">
      <c r="C24" s="88" t="s">
        <v>132</v>
      </c>
      <c r="D24" s="50">
        <f>412.114986245*Deflactores!$T$5</f>
        <v>640.9808515199469</v>
      </c>
      <c r="E24" s="50">
        <f>350.44393491*Deflactores!$U$5</f>
        <v>536.42467266879419</v>
      </c>
      <c r="F24" s="50">
        <f>501.248972395*Deflactores!$V$5</f>
        <v>726.43628521024243</v>
      </c>
      <c r="G24" s="50">
        <f>510.979842441*Deflactores!$W$5</f>
        <v>654.64884384071615</v>
      </c>
      <c r="H24" s="50">
        <f>575.945132952*Deflactores!$X$5</f>
        <v>675.2196359138386</v>
      </c>
      <c r="I24" s="50">
        <f>584.086269041*Deflactores!$Y$5</f>
        <v>650.91639091176467</v>
      </c>
      <c r="J24" s="50">
        <f>619.316459157*Deflactores!$Z$5</f>
        <v>656.68017007749211</v>
      </c>
      <c r="K24" s="50">
        <f>661.553093049*Deflactores!$AA$5</f>
        <v>661.55309304900004</v>
      </c>
    </row>
    <row r="25" spans="3:11" x14ac:dyDescent="0.2">
      <c r="C25" s="87" t="s">
        <v>133</v>
      </c>
      <c r="D25" s="42">
        <f>3869.485738111*Deflactores!$T$5</f>
        <v>6018.3840581914073</v>
      </c>
      <c r="E25" s="42">
        <f>4000.956883406*Deflactores!$U$5</f>
        <v>6124.2663169337102</v>
      </c>
      <c r="F25" s="42">
        <f>4504.999046571*Deflactores!$V$5</f>
        <v>6528.8807608523393</v>
      </c>
      <c r="G25" s="42">
        <f>4774.552489748*Deflactores!$W$5</f>
        <v>6116.9835043566181</v>
      </c>
      <c r="H25" s="42">
        <f>5467.340883494*Deflactores!$X$5</f>
        <v>6409.7354236646197</v>
      </c>
      <c r="I25" s="42">
        <f>6024.475401395*Deflactores!$Y$5</f>
        <v>6713.7852630079078</v>
      </c>
      <c r="J25" s="42">
        <f>6855.714859023*Deflactores!$Z$5</f>
        <v>7269.3239991620003</v>
      </c>
      <c r="K25" s="42">
        <f>7200.196385834*Deflactores!$AA$5</f>
        <v>7200.1963858339996</v>
      </c>
    </row>
    <row r="26" spans="3:11" x14ac:dyDescent="0.2">
      <c r="C26" s="88" t="s">
        <v>134</v>
      </c>
      <c r="D26" s="50">
        <f>10531.627512542*Deflactores!$T$5</f>
        <v>16380.310826325775</v>
      </c>
      <c r="E26" s="50">
        <f>40897.317476684*Deflactores!$U$5</f>
        <v>62601.540375056313</v>
      </c>
      <c r="F26" s="50">
        <f>24164.2715396651*Deflactores!$V$5</f>
        <v>35020.128955502274</v>
      </c>
      <c r="G26" s="50">
        <f>18262.849806368*Deflactores!$W$5</f>
        <v>23397.700883584115</v>
      </c>
      <c r="H26" s="50">
        <f>41677.019984296*Deflactores!$X$5</f>
        <v>48860.804006682076</v>
      </c>
      <c r="I26" s="50">
        <f>32833.826152824*Deflactores!$Y$5</f>
        <v>36590.614695173208</v>
      </c>
      <c r="J26" s="50">
        <f>24934.9563780146*Deflactores!$Z$5</f>
        <v>26439.296345325296</v>
      </c>
      <c r="K26" s="50">
        <f>32839.632239103*Deflactores!$AA$5</f>
        <v>32839.632239102997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586.1839933024595</v>
      </c>
      <c r="I27" s="42">
        <f>12415.915576892*Deflactores!$Y$5</f>
        <v>13836.52276305849</v>
      </c>
      <c r="J27" s="42">
        <f>11248.040868552*Deflactores!$Z$5</f>
        <v>11926.641511600496</v>
      </c>
      <c r="K27" s="42">
        <f>11321.78362143*Deflactores!$AA$5</f>
        <v>11321.78362143</v>
      </c>
    </row>
    <row r="28" spans="3:11" x14ac:dyDescent="0.2">
      <c r="C28" s="88" t="s">
        <v>136</v>
      </c>
      <c r="D28" s="50">
        <f>11486.26077021*Deflactores!$T$5</f>
        <v>17865.094585258343</v>
      </c>
      <c r="E28" s="50">
        <f>18087.206693409*Deflactores!$U$5</f>
        <v>27686.094588843418</v>
      </c>
      <c r="F28" s="50">
        <f>23919.566735447*Deflactores!$V$5</f>
        <v>34665.489926318958</v>
      </c>
      <c r="G28" s="50">
        <f>23402.950660521*Deflactores!$W$5</f>
        <v>29983.011696083478</v>
      </c>
      <c r="H28" s="50">
        <f>21908.204396293*Deflactores!$X$5</f>
        <v>25684.477478211062</v>
      </c>
      <c r="I28" s="50">
        <f>13420.569244508*Deflactores!$Y$5</f>
        <v>14956.127133341966</v>
      </c>
      <c r="J28" s="50">
        <f>10947.78569699*Deflactores!$Z$5</f>
        <v>11608.27177636632</v>
      </c>
      <c r="K28" s="50">
        <f>13233.042089941*Deflactores!$AA$5</f>
        <v>13233.042089941</v>
      </c>
    </row>
    <row r="29" spans="3:11" x14ac:dyDescent="0.2">
      <c r="C29" s="87" t="s">
        <v>137</v>
      </c>
      <c r="D29" s="42">
        <f>384.671257987*Deflactores!$T$5</f>
        <v>598.29639476680859</v>
      </c>
      <c r="E29" s="42">
        <f>379.77636893*Deflactores!$U$5</f>
        <v>581.3238412670421</v>
      </c>
      <c r="F29" s="42">
        <f>611.503373928*Deflactores!$V$5</f>
        <v>886.22274321537782</v>
      </c>
      <c r="G29" s="42">
        <f>683.047414493*Deflactores!$W$5</f>
        <v>875.09557725432876</v>
      </c>
      <c r="H29" s="42">
        <f>1026.940642159*Deflactores!$X$5</f>
        <v>1203.9523330107095</v>
      </c>
      <c r="I29" s="42">
        <f>1294.248362117*Deflactores!$Y$5</f>
        <v>1442.3339795264467</v>
      </c>
      <c r="J29" s="42">
        <f>1028.649419471*Deflactores!$Z$5</f>
        <v>1090.7084185164351</v>
      </c>
      <c r="K29" s="42">
        <f>831.537001053*Deflactores!$AA$5</f>
        <v>831.53700105300004</v>
      </c>
    </row>
    <row r="30" spans="3:11" x14ac:dyDescent="0.2">
      <c r="C30" s="88" t="s">
        <v>138</v>
      </c>
      <c r="D30" s="50">
        <f>97.627789965*Deflactores!$T$5</f>
        <v>151.84486376958452</v>
      </c>
      <c r="E30" s="50">
        <f>99.695353307*Deflactores!$U$5</f>
        <v>152.60371756195923</v>
      </c>
      <c r="F30" s="50">
        <f>117.173050941*Deflactores!$V$5</f>
        <v>169.81332738823906</v>
      </c>
      <c r="G30" s="50">
        <f>111.804*Deflactores!$W$5</f>
        <v>143.23923031311855</v>
      </c>
      <c r="H30" s="50">
        <f>143.794*Deflactores!$X$5</f>
        <v>168.57948226586774</v>
      </c>
      <c r="I30" s="50">
        <f>168.585191002*Deflactores!$Y$5</f>
        <v>187.87441154602709</v>
      </c>
      <c r="J30" s="50">
        <f>175.85005386*Deflactores!$Z$5</f>
        <v>186.45918668802381</v>
      </c>
      <c r="K30" s="50">
        <f>177.658336299*Deflactores!$AA$5</f>
        <v>177.65833629900001</v>
      </c>
    </row>
    <row r="31" spans="3:11" x14ac:dyDescent="0.2">
      <c r="C31" s="87" t="s">
        <v>160</v>
      </c>
      <c r="D31" s="42">
        <f>1391.776560443*Deflactores!$T$5</f>
        <v>2164.6922694238237</v>
      </c>
      <c r="E31" s="42">
        <f>1792.157702967*Deflactores!$U$5</f>
        <v>2743.2565195680277</v>
      </c>
      <c r="F31" s="42">
        <f>2240.342505493*Deflactores!$V$5</f>
        <v>3246.821792996011</v>
      </c>
      <c r="G31" s="42">
        <f>3061.302844798*Deflactores!$W$5</f>
        <v>3922.0301889398029</v>
      </c>
      <c r="H31" s="42">
        <f>3386.444020794*Deflactores!$X$5</f>
        <v>3970.1585584085287</v>
      </c>
      <c r="I31" s="42">
        <f>4117.7697776325*Deflactores!$Y$5</f>
        <v>4588.9177409749063</v>
      </c>
      <c r="J31" s="42">
        <f>4475.341877974*Deflactores!$Z$5</f>
        <v>4745.3417750001545</v>
      </c>
      <c r="K31" s="42">
        <f>4599.765582942*Deflactores!$AA$5</f>
        <v>4599.765582942</v>
      </c>
    </row>
    <row r="32" spans="3:11" x14ac:dyDescent="0.2">
      <c r="C32" s="88" t="s">
        <v>161</v>
      </c>
      <c r="D32" s="50">
        <f>2745.88053173099*Deflactores!$T$5</f>
        <v>4270.7906777130174</v>
      </c>
      <c r="E32" s="50">
        <f>2969.954584718*Deflactores!$U$5</f>
        <v>4546.1106820344539</v>
      </c>
      <c r="F32" s="50">
        <f>3498.837263849*Deflactores!$V$5</f>
        <v>5070.6983644501324</v>
      </c>
      <c r="G32" s="50">
        <f>3949.339071824*Deflactores!$W$5</f>
        <v>5059.7499990482966</v>
      </c>
      <c r="H32" s="50">
        <f>4435.38523878*Deflactores!$X$5</f>
        <v>5199.9036622056865</v>
      </c>
      <c r="I32" s="50">
        <f>4918.380473203*Deflactores!$Y$5</f>
        <v>5481.1329018307533</v>
      </c>
      <c r="J32" s="50">
        <f>5140.475146914*Deflactores!$Z$5</f>
        <v>5450.6029088092782</v>
      </c>
      <c r="K32" s="50">
        <f>5651.49653109*Deflactores!$AA$5</f>
        <v>5651.4965310899997</v>
      </c>
    </row>
    <row r="33" spans="1:11" x14ac:dyDescent="0.2">
      <c r="C33" s="87" t="s">
        <v>140</v>
      </c>
      <c r="D33" s="42">
        <f>4012.537771226*Deflactores!$T$5</f>
        <v>6240.8792769001029</v>
      </c>
      <c r="E33" s="42">
        <f>4360.527328086*Deflactores!$U$5</f>
        <v>6674.6609417925411</v>
      </c>
      <c r="F33" s="42">
        <f>6163.481599712*Deflactores!$V$5</f>
        <v>8932.4406110266373</v>
      </c>
      <c r="G33" s="42">
        <f>5782.76013072*Deflactores!$W$5</f>
        <v>7408.6625720879538</v>
      </c>
      <c r="H33" s="42">
        <f>9061.18469346*Deflactores!$X$5</f>
        <v>10623.04285532701</v>
      </c>
      <c r="I33" s="42">
        <f>12022.512081509*Deflactores!$Y$5</f>
        <v>13398.106732825117</v>
      </c>
      <c r="J33" s="42">
        <f>10819.91703917*Deflactores!$Z$5</f>
        <v>11472.688730375399</v>
      </c>
      <c r="K33" s="42">
        <f>13385.081165113*Deflactores!$AA$5</f>
        <v>13385.081165113001</v>
      </c>
    </row>
    <row r="34" spans="1:11" x14ac:dyDescent="0.2">
      <c r="C34" s="88" t="s">
        <v>141</v>
      </c>
      <c r="D34" s="50">
        <f>1899.029755191*Deflactores!$T$5</f>
        <v>2953.6458274303091</v>
      </c>
      <c r="E34" s="50">
        <f>2366.107585884*Deflactores!$U$5</f>
        <v>3621.8018370982445</v>
      </c>
      <c r="F34" s="50">
        <f>2863.913840026*Deflactores!$V$5</f>
        <v>4150.5340572972318</v>
      </c>
      <c r="G34" s="50">
        <f>3201.152359704*Deflactores!$W$5</f>
        <v>4101.2003159012575</v>
      </c>
      <c r="H34" s="50">
        <f>4036.230878127*Deflactores!$X$5</f>
        <v>4731.9478680623552</v>
      </c>
      <c r="I34" s="50">
        <f>4284.482677902*Deflactores!$Y$5</f>
        <v>4774.7056375813891</v>
      </c>
      <c r="J34" s="50">
        <f>4262.924786703*Deflactores!$Z$5</f>
        <v>4520.1094409312727</v>
      </c>
      <c r="K34" s="50">
        <f>5040.292778705*Deflactores!$AA$5</f>
        <v>5040.2927787050003</v>
      </c>
    </row>
    <row r="35" spans="1:11" x14ac:dyDescent="0.2">
      <c r="C35" s="87" t="s">
        <v>142</v>
      </c>
      <c r="D35" s="42">
        <f>503.671049092*Deflactores!$T$5</f>
        <v>783.38208681643653</v>
      </c>
      <c r="E35" s="42">
        <f>620.581536088*Deflactores!$U$5</f>
        <v>949.92440786796919</v>
      </c>
      <c r="F35" s="42">
        <f>1566.475105583*Deflactores!$V$5</f>
        <v>2270.2178343366272</v>
      </c>
      <c r="G35" s="42">
        <f>1844.900140579*Deflactores!$W$5</f>
        <v>2363.6191562117647</v>
      </c>
      <c r="H35" s="42">
        <f>1953.456582176*Deflactores!$X$5</f>
        <v>2290.1699601658038</v>
      </c>
      <c r="I35" s="42">
        <f>1520.357911235*Deflactores!$Y$5</f>
        <v>1694.3145848987051</v>
      </c>
      <c r="J35" s="42">
        <f>1145.777446661*Deflactores!$Z$5</f>
        <v>1214.9028455798887</v>
      </c>
      <c r="K35" s="42">
        <f>1785.06973571*Deflactores!$AA$5</f>
        <v>1785.06973571</v>
      </c>
    </row>
    <row r="36" spans="1:11" x14ac:dyDescent="0.2">
      <c r="C36" s="88" t="s">
        <v>143</v>
      </c>
      <c r="D36" s="50">
        <f>1646.80567894*Deflactores!$T$5</f>
        <v>2561.3504521947052</v>
      </c>
      <c r="E36" s="50">
        <f>5350.616438662*Deflactores!$U$5</f>
        <v>8190.1907431288546</v>
      </c>
      <c r="F36" s="50">
        <f>8858.598655641*Deflactores!$V$5</f>
        <v>12838.345520838593</v>
      </c>
      <c r="G36" s="50">
        <f>6111.59828805276*Deflactores!$W$5</f>
        <v>7829.9580941974373</v>
      </c>
      <c r="H36" s="50">
        <f>5605.589759101*Deflactores!$X$5</f>
        <v>6571.8139796103924</v>
      </c>
      <c r="I36" s="50">
        <f>2937.241137996*Deflactores!$Y$5</f>
        <v>3273.3150942257726</v>
      </c>
      <c r="J36" s="50">
        <f>4079.91467449*Deflactores!$Z$5</f>
        <v>4326.058225535643</v>
      </c>
      <c r="K36" s="50">
        <f>9536.454366369*Deflactores!$AA$5</f>
        <v>9536.4543663690001</v>
      </c>
    </row>
    <row r="37" spans="1:11" x14ac:dyDescent="0.2">
      <c r="C37" s="87" t="s">
        <v>144</v>
      </c>
      <c r="D37" s="42">
        <f>4676.900083947*Deflactores!$T$5</f>
        <v>7274.1916657694228</v>
      </c>
      <c r="E37" s="42">
        <f>4875.879900141*Deflactores!$U$5</f>
        <v>7463.5113319259035</v>
      </c>
      <c r="F37" s="42">
        <f>5437.736589865*Deflactores!$V$5</f>
        <v>7880.6529007315021</v>
      </c>
      <c r="G37" s="42">
        <f>6036.03122774*Deflactores!$W$5</f>
        <v>7733.1443169065997</v>
      </c>
      <c r="H37" s="42">
        <f>7903.13935*Deflactores!$X$5</f>
        <v>9265.3875676176085</v>
      </c>
      <c r="I37" s="42">
        <f>9329.619831189*Deflactores!$Y$5</f>
        <v>10397.098495513666</v>
      </c>
      <c r="J37" s="42">
        <f>10674.585282309*Deflactores!$Z$5</f>
        <v>11318.589026739155</v>
      </c>
      <c r="K37" s="42">
        <f>10909.093609956*Deflactores!$AA$5</f>
        <v>10909.093609956</v>
      </c>
    </row>
    <row r="38" spans="1:11" x14ac:dyDescent="0.2">
      <c r="C38" s="88" t="s">
        <v>145</v>
      </c>
      <c r="D38" s="50">
        <f>1558.548428152*Deflactores!$T$5</f>
        <v>2424.0800066854258</v>
      </c>
      <c r="E38" s="50">
        <f>721.992260303*Deflactores!$U$5</f>
        <v>1105.1538443714355</v>
      </c>
      <c r="F38" s="50">
        <f>1462.382560913*Deflactores!$V$5</f>
        <v>2119.3614622889099</v>
      </c>
      <c r="G38" s="50">
        <f>3356.375904579*Deflactores!$W$5</f>
        <v>4300.0670925315098</v>
      </c>
      <c r="H38" s="50">
        <f>3461.449960849*Deflactores!$X$5</f>
        <v>4058.0931213342178</v>
      </c>
      <c r="I38" s="50">
        <f>1654.364619915*Deflactores!$Y$5</f>
        <v>1843.6541050952105</v>
      </c>
      <c r="J38" s="50">
        <f>3167.017816813*Deflactores!$Z$5</f>
        <v>3358.0857860843466</v>
      </c>
      <c r="K38" s="50">
        <f>7087.414578199*Deflactores!$AA$5</f>
        <v>7087.4145781990001</v>
      </c>
    </row>
    <row r="39" spans="1:11" x14ac:dyDescent="0.2">
      <c r="C39" s="87" t="s">
        <v>146</v>
      </c>
      <c r="D39" s="42">
        <f>959.16501762*Deflactores!$T$5</f>
        <v>1491.8322076662205</v>
      </c>
      <c r="E39" s="42">
        <f>1003.22924393699*Deflactores!$U$5</f>
        <v>1535.643408777697</v>
      </c>
      <c r="F39" s="42">
        <f>1174.83849735899*Deflactores!$V$5</f>
        <v>1702.6375329322491</v>
      </c>
      <c r="G39" s="42">
        <f>1405.86894112*Deflactores!$W$5</f>
        <v>1801.1483045968639</v>
      </c>
      <c r="H39" s="42">
        <f>1516.879293235*Deflactores!$X$5</f>
        <v>1778.3407229326094</v>
      </c>
      <c r="I39" s="42">
        <f>1643.581942235*Deflactores!$Y$5</f>
        <v>1831.6376924317965</v>
      </c>
      <c r="J39" s="42">
        <f>1904.312779417*Deflactores!$Z$5</f>
        <v>2019.201042340266</v>
      </c>
      <c r="K39" s="42">
        <f>1935.952240991*Deflactores!$AA$5</f>
        <v>1935.9522409910001</v>
      </c>
    </row>
    <row r="40" spans="1:11" x14ac:dyDescent="0.2">
      <c r="C40" s="88" t="s">
        <v>162</v>
      </c>
      <c r="D40" s="50">
        <f>29606.450855766*Deflactores!$T$5</f>
        <v>46048.235840495581</v>
      </c>
      <c r="E40" s="50">
        <f>35388.850228688*Deflactores!$U$5</f>
        <v>54169.727334342999</v>
      </c>
      <c r="F40" s="50">
        <f>43768.7643272268*Deflactores!$V$5</f>
        <v>63431.987529457867</v>
      </c>
      <c r="G40" s="50">
        <f>42478.5528507972*Deflactores!$W$5</f>
        <v>54421.981460084775</v>
      </c>
      <c r="H40" s="50">
        <f>53903.555042168*Deflactores!$X$5</f>
        <v>63194.802295633934</v>
      </c>
      <c r="I40" s="50">
        <f>61487.047139711*Deflactores!$Y$5</f>
        <v>68522.286746639496</v>
      </c>
      <c r="J40" s="50">
        <f>66956.211520204*Deflactores!$Z$5</f>
        <v>70995.717486148336</v>
      </c>
      <c r="K40" s="50">
        <f>78895.216355227*Deflactores!$AA$5</f>
        <v>78895.216355227007</v>
      </c>
    </row>
    <row r="41" spans="1:11" x14ac:dyDescent="0.2">
      <c r="C41" s="87" t="s">
        <v>148</v>
      </c>
      <c r="D41" s="42">
        <f>429.800784122*Deflactores!$T$5</f>
        <v>668.48836316445136</v>
      </c>
      <c r="E41" s="42">
        <f>503.025491789*Deflactores!$U$5</f>
        <v>769.98132339277572</v>
      </c>
      <c r="F41" s="42">
        <f>582.429387376*Deflactores!$V$5</f>
        <v>844.08719790707971</v>
      </c>
      <c r="G41" s="42">
        <f>620.080899014*Deflactores!$W$5</f>
        <v>794.42516105534639</v>
      </c>
      <c r="H41" s="42">
        <f>739.291751364*Deflactores!$X$5</f>
        <v>866.72198206023711</v>
      </c>
      <c r="I41" s="42">
        <f>855.471019958*Deflactores!$Y$5</f>
        <v>953.35250690781118</v>
      </c>
      <c r="J41" s="42">
        <f>967.948137067*Deflactores!$Z$5</f>
        <v>1026.3449935442663</v>
      </c>
      <c r="K41" s="42">
        <f>942.637932855*Deflactores!$AA$5</f>
        <v>942.63793285500003</v>
      </c>
    </row>
    <row r="42" spans="1:11" x14ac:dyDescent="0.2">
      <c r="C42" s="88" t="s">
        <v>149</v>
      </c>
      <c r="D42" s="50">
        <f>1645.95750466*Deflactores!$T$5</f>
        <v>2560.0312488403565</v>
      </c>
      <c r="E42" s="50">
        <f>1586.174678535*Deflactores!$U$5</f>
        <v>2427.9582208982547</v>
      </c>
      <c r="F42" s="50">
        <f>2461.979634962*Deflactores!$V$5</f>
        <v>3568.0299387740033</v>
      </c>
      <c r="G42" s="50">
        <f>2496.632010958*Deflactores!$W$5</f>
        <v>3198.5943939815861</v>
      </c>
      <c r="H42" s="50">
        <f>2524.151871332*Deflactores!$X$5</f>
        <v>2959.2348472785357</v>
      </c>
      <c r="I42" s="50">
        <f>4053.1163937*Deflactores!$Y$5</f>
        <v>4516.8668307580429</v>
      </c>
      <c r="J42" s="50">
        <f>2718.263578087*Deflactores!$Z$5</f>
        <v>2882.2579512957991</v>
      </c>
      <c r="K42" s="50">
        <f>2282.869134151*Deflactores!$AA$5</f>
        <v>2282.8691341509998</v>
      </c>
    </row>
    <row r="43" spans="1:11" x14ac:dyDescent="0.2">
      <c r="C43" s="87" t="s">
        <v>163</v>
      </c>
      <c r="D43" s="42">
        <f>28041.535374478*Deflactores!$T$5</f>
        <v>43614.25287158601</v>
      </c>
      <c r="E43" s="42">
        <f>32448.046870778*Deflactores!$U$5</f>
        <v>49668.238446954208</v>
      </c>
      <c r="F43" s="42">
        <f>27886.887919046*Deflactores!$V$5</f>
        <v>40415.139744211148</v>
      </c>
      <c r="G43" s="42">
        <f>34591.99877187*Deflactores!$W$5</f>
        <v>44318.014374038503</v>
      </c>
      <c r="H43" s="42">
        <f>34711.54588959*Deflactores!$X$5</f>
        <v>40694.705166522879</v>
      </c>
      <c r="I43" s="42">
        <f>40174.994210283*Deflactores!$Y$5</f>
        <v>44771.746268226023</v>
      </c>
      <c r="J43" s="42">
        <f>51823.195509414*Deflactores!$Z$5</f>
        <v>54949.718093079136</v>
      </c>
      <c r="K43" s="42">
        <f>56775.488400785*Deflactores!$AA$5</f>
        <v>56775.488400784998</v>
      </c>
    </row>
    <row r="44" spans="1:11" x14ac:dyDescent="0.2">
      <c r="C44" s="88" t="s">
        <v>150</v>
      </c>
      <c r="D44" s="50">
        <f>7633.186440715*Deflactores!$T$5</f>
        <v>11872.23592415374</v>
      </c>
      <c r="E44" s="50">
        <f>7933.828892121*Deflactores!$U$5</f>
        <v>12144.315088686633</v>
      </c>
      <c r="F44" s="50">
        <f>11455.697322833*Deflactores!$V$5</f>
        <v>16602.197043775395</v>
      </c>
      <c r="G44" s="50">
        <f>12451.317294153*Deflactores!$W$5</f>
        <v>15952.17617973326</v>
      </c>
      <c r="H44" s="50">
        <f>12924.417737235*Deflactores!$X$5</f>
        <v>15152.1736006431</v>
      </c>
      <c r="I44" s="50">
        <f>14331.46179591*Deflactores!$Y$5</f>
        <v>15971.242405680921</v>
      </c>
      <c r="J44" s="50">
        <f>13656.534542579*Deflactores!$Z$5</f>
        <v>14480.440965991658</v>
      </c>
      <c r="K44" s="50">
        <f>17794.014517034*Deflactores!$AA$5</f>
        <v>17794.014517034</v>
      </c>
    </row>
    <row r="45" spans="1:11" x14ac:dyDescent="0.2">
      <c r="C45" s="87" t="s">
        <v>151</v>
      </c>
      <c r="D45" s="42">
        <f>4150.67212431*Deflactores!$T$5</f>
        <v>6455.725808133262</v>
      </c>
      <c r="E45" s="42">
        <f>4367.675378358*Deflactores!$U$5</f>
        <v>6685.6024652301267</v>
      </c>
      <c r="F45" s="42">
        <f>5976.574657216*Deflactores!$V$5</f>
        <v>8661.5652726931676</v>
      </c>
      <c r="G45" s="42">
        <f>5824.493172477*Deflactores!$W$5</f>
        <v>7462.1294317700576</v>
      </c>
      <c r="H45" s="42">
        <f>7950.394320144*Deflactores!$X$5</f>
        <v>9320.7877818224042</v>
      </c>
      <c r="I45" s="42">
        <f>9141.143100719*Deflactores!$Y$5</f>
        <v>10187.056589598275</v>
      </c>
      <c r="J45" s="42">
        <f>8343.751804098*Deflactores!$Z$5</f>
        <v>8847.1350515334125</v>
      </c>
      <c r="K45" s="42">
        <f>7330.752100161*Deflactores!$AA$5</f>
        <v>7330.7521001610003</v>
      </c>
    </row>
    <row r="46" spans="1:11" ht="11.25" customHeight="1" x14ac:dyDescent="0.2">
      <c r="C46" s="79" t="s">
        <v>152</v>
      </c>
      <c r="D46" s="44">
        <f t="shared" ref="D46:K46" si="0">SUM(D15:D45)</f>
        <v>308699.22812543297</v>
      </c>
      <c r="E46" s="44">
        <f t="shared" si="0"/>
        <v>391257.32281933527</v>
      </c>
      <c r="F46" s="44">
        <f t="shared" si="0"/>
        <v>396307.36952100636</v>
      </c>
      <c r="G46" s="44">
        <f t="shared" si="0"/>
        <v>359999.44325265469</v>
      </c>
      <c r="H46" s="44">
        <f t="shared" si="0"/>
        <v>404085.55124829453</v>
      </c>
      <c r="I46" s="44">
        <f t="shared" si="0"/>
        <v>424329.52496290882</v>
      </c>
      <c r="J46" s="44">
        <f t="shared" si="0"/>
        <v>421877.68320322887</v>
      </c>
      <c r="K46" s="44">
        <f t="shared" si="0"/>
        <v>455368.61826068297</v>
      </c>
    </row>
    <row r="47" spans="1:11" s="31" customFormat="1" x14ac:dyDescent="0.2">
      <c r="A47" s="5"/>
      <c r="B47" s="5"/>
      <c r="C47" s="72" t="str">
        <f>+'C1 Aprop Resumen 2000-2026'!B20</f>
        <v>* Información con corte a 30 de Junio</v>
      </c>
      <c r="D47" s="123">
        <f>+D46-'C5 Ejecución PGN 2019-2026'!D33</f>
        <v>1.280568540096283E-9</v>
      </c>
      <c r="E47" s="123">
        <f>+E46-'C5 Ejecución PGN 2019-2026'!E33</f>
        <v>6.9849193096160889E-10</v>
      </c>
      <c r="F47" s="123">
        <f>+F46-'C5 Ejecución PGN 2019-2026'!F33</f>
        <v>0</v>
      </c>
      <c r="G47" s="123">
        <f>+G46-'C5 Ejecución PGN 2019-2026'!G33</f>
        <v>0</v>
      </c>
      <c r="H47" s="123">
        <f>+H46-'C5 Ejecución PGN 2019-2026'!H33</f>
        <v>0</v>
      </c>
      <c r="I47" s="123">
        <f>+I46-'C5 Ejecución PGN 2019-2026'!I33</f>
        <v>0</v>
      </c>
      <c r="J47" s="123">
        <f>+J46-'C5 Ejecución PGN 2019-2026'!J33</f>
        <v>9.3132257461547852E-10</v>
      </c>
      <c r="K47" s="123">
        <f>+K46-'C5 Ejecución PGN 2019-2026'!K33</f>
        <v>0</v>
      </c>
    </row>
    <row r="48" spans="1:11" x14ac:dyDescent="0.2">
      <c r="C48" s="1" t="s">
        <v>52</v>
      </c>
      <c r="D48" s="10"/>
    </row>
    <row r="49" spans="3:11" x14ac:dyDescent="0.2">
      <c r="D49" s="10"/>
    </row>
    <row r="50" spans="3:11" x14ac:dyDescent="0.2">
      <c r="D50" s="10"/>
    </row>
    <row r="52" spans="3:11" ht="18" customHeight="1" x14ac:dyDescent="0.2">
      <c r="C52" s="164" t="s">
        <v>153</v>
      </c>
      <c r="D52" s="160"/>
      <c r="E52" s="182"/>
      <c r="F52" s="182"/>
      <c r="G52" s="182"/>
      <c r="H52" s="182"/>
      <c r="I52" s="182"/>
      <c r="J52" s="182"/>
      <c r="K52" s="182"/>
    </row>
    <row r="53" spans="3:11" ht="11.25" hidden="1" customHeight="1" x14ac:dyDescent="0.2">
      <c r="D53" s="28"/>
    </row>
    <row r="54" spans="3:11" x14ac:dyDescent="0.2">
      <c r="C54" s="2"/>
      <c r="D54" s="2"/>
      <c r="E54" s="2"/>
      <c r="F54" s="2"/>
      <c r="G54" s="2"/>
      <c r="H54" s="2"/>
      <c r="I54" s="2"/>
      <c r="J54" s="2"/>
      <c r="K54" s="2"/>
    </row>
    <row r="55" spans="3:11" ht="12" thickBot="1" x14ac:dyDescent="0.25">
      <c r="C55" s="181" t="s">
        <v>120</v>
      </c>
      <c r="D55" s="155">
        <v>2019</v>
      </c>
      <c r="E55" s="155">
        <v>2020</v>
      </c>
      <c r="F55" s="155">
        <v>2021</v>
      </c>
      <c r="G55" s="155">
        <v>2022</v>
      </c>
      <c r="H55" s="155">
        <v>2023</v>
      </c>
      <c r="I55" s="155">
        <v>2024</v>
      </c>
      <c r="J55" s="155">
        <v>2025</v>
      </c>
      <c r="K55" s="155" t="s">
        <v>36</v>
      </c>
    </row>
    <row r="56" spans="3:11" ht="12" customHeight="1" thickBot="1" x14ac:dyDescent="0.25">
      <c r="C56" s="162"/>
      <c r="D56" s="156"/>
      <c r="E56" s="156"/>
      <c r="F56" s="156"/>
      <c r="G56" s="156"/>
      <c r="H56" s="156"/>
      <c r="I56" s="156"/>
      <c r="J56" s="156"/>
      <c r="K56" s="156"/>
    </row>
    <row r="57" spans="3:11" x14ac:dyDescent="0.2">
      <c r="C57" s="87" t="s">
        <v>123</v>
      </c>
      <c r="D57" s="42">
        <f>2170.16848813051*Deflactores!$T$5</f>
        <v>3375.360013325715</v>
      </c>
      <c r="E57" s="42">
        <f>1689.81106689193*Deflactores!$U$5</f>
        <v>2586.5944824024505</v>
      </c>
      <c r="F57" s="42">
        <f>2238.51324990438*Deflactores!$V$5</f>
        <v>3244.1707399112574</v>
      </c>
      <c r="G57" s="42">
        <f>2320.68845109962*Deflactores!$W$5</f>
        <v>2973.1818855501842</v>
      </c>
      <c r="H57" s="42">
        <f>4885.06407646223*Deflactores!$X$5</f>
        <v>5727.0927357580431</v>
      </c>
      <c r="I57" s="42">
        <f>7648.29609229934*Deflactores!$Y$5</f>
        <v>8523.4006565468153</v>
      </c>
      <c r="J57" s="42">
        <f>4803.21542289899*Deflactores!$Z$5</f>
        <v>5092.996115623243</v>
      </c>
      <c r="K57" s="42">
        <f>2415.58886613133*Deflactores!$AA$5</f>
        <v>2415.5888661313302</v>
      </c>
    </row>
    <row r="58" spans="3:11" x14ac:dyDescent="0.2">
      <c r="C58" s="88" t="s">
        <v>124</v>
      </c>
      <c r="D58" s="50">
        <f>600.708108260279*Deflactores!$T$5</f>
        <v>934.30816058386335</v>
      </c>
      <c r="E58" s="50">
        <f>700.37412629753*Deflactores!$U$5</f>
        <v>1072.0629579203046</v>
      </c>
      <c r="F58" s="50">
        <f>971.82085565652*Deflactores!$V$5</f>
        <v>1408.4137248198449</v>
      </c>
      <c r="G58" s="50">
        <f>1175.17090904948*Deflactores!$W$5</f>
        <v>1505.5863519964882</v>
      </c>
      <c r="H58" s="50">
        <f>1734.03008800097*Deflactores!$X$5</f>
        <v>2032.9213629820476</v>
      </c>
      <c r="I58" s="50">
        <f>1989.99632898314*Deflactores!$Y$5</f>
        <v>2217.6882030048905</v>
      </c>
      <c r="J58" s="50">
        <f>1721.70922185792*Deflactores!$Z$5</f>
        <v>1825.5809092698912</v>
      </c>
      <c r="K58" s="50">
        <f>999.55800997941*Deflactores!$AA$5</f>
        <v>999.55800997941003</v>
      </c>
    </row>
    <row r="59" spans="3:11" x14ac:dyDescent="0.2">
      <c r="C59" s="87" t="s">
        <v>125</v>
      </c>
      <c r="D59" s="42">
        <f>350.05227755947*Deflactores!$T$5</f>
        <v>544.45194772212221</v>
      </c>
      <c r="E59" s="42">
        <f>266.59040046537*Deflactores!$U$5</f>
        <v>408.07003363606555</v>
      </c>
      <c r="F59" s="42">
        <f>407.942990848219*Deflactores!$V$5</f>
        <v>591.21236584961457</v>
      </c>
      <c r="G59" s="42">
        <f>327.21257468423*Deflactores!$W$5</f>
        <v>419.21288457070341</v>
      </c>
      <c r="H59" s="42">
        <f>477.96120264284*Deflactores!$X$5</f>
        <v>560.34641281765209</v>
      </c>
      <c r="I59" s="42">
        <f>368.51494771048*Deflactores!$Y$5</f>
        <v>410.67977878436557</v>
      </c>
      <c r="J59" s="42">
        <f>274.46519305375*Deflactores!$Z$5</f>
        <v>291.0238327917545</v>
      </c>
      <c r="K59" s="42">
        <f>228.775919485319*Deflactores!$AA$5</f>
        <v>228.77591948531901</v>
      </c>
    </row>
    <row r="60" spans="3:11" x14ac:dyDescent="0.2">
      <c r="C60" s="88" t="s">
        <v>126</v>
      </c>
      <c r="D60" s="50">
        <f>976.4509432795*Deflactores!$T$5</f>
        <v>1518.7177801844446</v>
      </c>
      <c r="E60" s="50">
        <f>1067.5634805982*Deflactores!$U$5</f>
        <v>1634.1198508118532</v>
      </c>
      <c r="F60" s="50">
        <f>1113.35901372511*Deflactores!$V$5</f>
        <v>1613.5382426249853</v>
      </c>
      <c r="G60" s="50">
        <f>1118.1048842095*Deflactores!$W$5</f>
        <v>1432.4754304274202</v>
      </c>
      <c r="H60" s="50">
        <f>1388.5587161213*Deflactores!$X$5</f>
        <v>1627.9017863018398</v>
      </c>
      <c r="I60" s="50">
        <f>1396.33989793693*Deflactores!$Y$5</f>
        <v>1556.1066490118224</v>
      </c>
      <c r="J60" s="50">
        <f>1395.89331071355*Deflactores!$Z$5</f>
        <v>1480.1083406327336</v>
      </c>
      <c r="K60" s="50">
        <f>1307.71923323654*Deflactores!$AA$5</f>
        <v>1307.71923323654</v>
      </c>
    </row>
    <row r="61" spans="3:11" x14ac:dyDescent="0.2">
      <c r="C61" s="87" t="s">
        <v>127</v>
      </c>
      <c r="D61" s="42">
        <f>636.93320394978*Deflactores!$T$5</f>
        <v>990.65067045717331</v>
      </c>
      <c r="E61" s="42">
        <f>684.61391961214*Deflactores!$U$5</f>
        <v>1047.9388031833305</v>
      </c>
      <c r="F61" s="42">
        <f>745.77291119638*Deflactores!$V$5</f>
        <v>1080.813194751061</v>
      </c>
      <c r="G61" s="42">
        <f>918.75331715076*Deflactores!$W$5</f>
        <v>1177.0734320444649</v>
      </c>
      <c r="H61" s="42">
        <f>1160.37816599849*Deflactores!$X$5</f>
        <v>1360.3902141719582</v>
      </c>
      <c r="I61" s="42">
        <f>1303.64901856052*Deflactores!$Y$5</f>
        <v>1452.8102425183233</v>
      </c>
      <c r="J61" s="42">
        <f>1355.00451363828*Deflactores!$Z$5</f>
        <v>1436.7526993920646</v>
      </c>
      <c r="K61" s="42">
        <f>905.73986229169*Deflactores!$AA$5</f>
        <v>905.73986229168997</v>
      </c>
    </row>
    <row r="62" spans="3:11" x14ac:dyDescent="0.2">
      <c r="C62" s="88" t="s">
        <v>128</v>
      </c>
      <c r="D62" s="50">
        <f>380.6540770864*Deflactores!$T$5</f>
        <v>592.04829382333685</v>
      </c>
      <c r="E62" s="50">
        <f>378.59275478459*Deflactores!$U$5</f>
        <v>579.51208261674401</v>
      </c>
      <c r="F62" s="50">
        <f>596.05614597509*Deflactores!$V$5</f>
        <v>863.83581075486609</v>
      </c>
      <c r="G62" s="50">
        <f>558.826014670762*Deflactores!$W$5</f>
        <v>715.94762459650315</v>
      </c>
      <c r="H62" s="50">
        <f>792.501052349615*Deflactores!$X$5</f>
        <v>929.10286312539756</v>
      </c>
      <c r="I62" s="50">
        <f>1303.89112966278*Deflactores!$Y$5</f>
        <v>1453.0800555463568</v>
      </c>
      <c r="J62" s="50">
        <f>1070.81864848502*Deflactores!$Z$5</f>
        <v>1135.4217408761485</v>
      </c>
      <c r="K62" s="50">
        <f>763.50351217639*Deflactores!$AA$5</f>
        <v>763.50351217639002</v>
      </c>
    </row>
    <row r="63" spans="3:11" x14ac:dyDescent="0.2">
      <c r="C63" s="87" t="s">
        <v>129</v>
      </c>
      <c r="D63" s="42">
        <f>33397.5855028137*Deflactores!$T$5</f>
        <v>51944.756946007525</v>
      </c>
      <c r="E63" s="42">
        <f>35282.1520852691*Deflactores!$U$5</f>
        <v>54006.40444312917</v>
      </c>
      <c r="F63" s="42">
        <f>37771.9378196742*Deflactores!$V$5</f>
        <v>54741.07221369756</v>
      </c>
      <c r="G63" s="42">
        <f>41583.3821665885*Deflactores!$W$5</f>
        <v>53275.121242159461</v>
      </c>
      <c r="H63" s="42">
        <f>47261.6466191519*Deflactores!$X$5</f>
        <v>55408.041490528289</v>
      </c>
      <c r="I63" s="42">
        <f>55176.933678796*Deflactores!$Y$5</f>
        <v>61490.181220573417</v>
      </c>
      <c r="J63" s="42">
        <f>59824.8169667394*Deflactores!$Z$5</f>
        <v>63434.081881253718</v>
      </c>
      <c r="K63" s="42">
        <f>33530.5014829321*Deflactores!$AA$5</f>
        <v>33530.501482932101</v>
      </c>
    </row>
    <row r="64" spans="3:11" x14ac:dyDescent="0.2">
      <c r="C64" s="88" t="s">
        <v>130</v>
      </c>
      <c r="D64" s="50">
        <f>481.20349976978*Deflactores!$T$5</f>
        <v>748.43730349918656</v>
      </c>
      <c r="E64" s="50">
        <f>442.03751439524*Deflactores!$U$5</f>
        <v>676.62700177045565</v>
      </c>
      <c r="F64" s="50">
        <f>733.24381649454*Deflactores!$V$5</f>
        <v>1062.6553739603987</v>
      </c>
      <c r="G64" s="50">
        <f>878.918898690879*Deflactores!$W$5</f>
        <v>1126.0390196785027</v>
      </c>
      <c r="H64" s="50">
        <f>698.67283655832*Deflactores!$X$5</f>
        <v>819.10166669142529</v>
      </c>
      <c r="I64" s="50">
        <f>992.07376549019*Deflactores!$Y$5</f>
        <v>1105.585097919482</v>
      </c>
      <c r="J64" s="50">
        <f>442.663697727819*Deflactores!$Z$5</f>
        <v>469.36984802037153</v>
      </c>
      <c r="K64" s="50">
        <f>412.071371427989*Deflactores!$AA$5</f>
        <v>412.07137142798899</v>
      </c>
    </row>
    <row r="65" spans="3:11" x14ac:dyDescent="0.2">
      <c r="C65" s="87" t="s">
        <v>131</v>
      </c>
      <c r="D65" s="42">
        <f>41451.2824638468*Deflactores!$T$5</f>
        <v>64471.031670939919</v>
      </c>
      <c r="E65" s="42">
        <f>44600.9108912985*Deflactores!$U$5</f>
        <v>68270.632310241621</v>
      </c>
      <c r="F65" s="42">
        <f>48077.6487466862*Deflactores!$V$5</f>
        <v>69676.64869278438</v>
      </c>
      <c r="G65" s="42">
        <f>49718.5270445629*Deflactores!$W$5</f>
        <v>63697.57384498907</v>
      </c>
      <c r="H65" s="42">
        <f>58534.3213381786*Deflactores!$X$5</f>
        <v>68623.764454525794</v>
      </c>
      <c r="I65" s="42">
        <f>70028.265096824*Deflactores!$Y$5</f>
        <v>78040.775814637935</v>
      </c>
      <c r="J65" s="42">
        <f>79897.7332578814*Deflactores!$Z$5</f>
        <v>84718.008521861222</v>
      </c>
      <c r="K65" s="42">
        <f>55067.3051056199*Deflactores!$AA$5</f>
        <v>55067.305105619896</v>
      </c>
    </row>
    <row r="66" spans="3:11" x14ac:dyDescent="0.2">
      <c r="C66" s="88" t="s">
        <v>132</v>
      </c>
      <c r="D66" s="50">
        <f>380.213350965309*Deflactores!$T$5</f>
        <v>591.36281279543743</v>
      </c>
      <c r="E66" s="50">
        <f>265.16960242325*Deflactores!$U$5</f>
        <v>405.89521749930344</v>
      </c>
      <c r="F66" s="50">
        <f>310.19876461531*Deflactores!$V$5</f>
        <v>449.55630964641142</v>
      </c>
      <c r="G66" s="50">
        <f>368.80679494614*Deflactores!$W$5</f>
        <v>472.50189118755344</v>
      </c>
      <c r="H66" s="50">
        <f>463.261279942059*Deflactores!$X$5</f>
        <v>543.11269403768949</v>
      </c>
      <c r="I66" s="50">
        <f>512.60605140363*Deflactores!$Y$5</f>
        <v>571.25753270491589</v>
      </c>
      <c r="J66" s="50">
        <f>555.002396021919*Deflactores!$Z$5</f>
        <v>588.48600327719862</v>
      </c>
      <c r="K66" s="50">
        <f>330.308264390969*Deflactores!$AA$5</f>
        <v>330.30826439096899</v>
      </c>
    </row>
    <row r="67" spans="3:11" x14ac:dyDescent="0.2">
      <c r="C67" s="87" t="s">
        <v>133</v>
      </c>
      <c r="D67" s="42">
        <f>3843.94764242425*Deflactores!$T$5</f>
        <v>5978.663516920531</v>
      </c>
      <c r="E67" s="42">
        <f>3957.24053004392*Deflactores!$U$5</f>
        <v>6057.3496771906093</v>
      </c>
      <c r="F67" s="42">
        <f>4297.76965795354*Deflactores!$V$5</f>
        <v>6228.5530683398301</v>
      </c>
      <c r="G67" s="42">
        <f>4726.82737806561*Deflactores!$W$5</f>
        <v>6055.8398219839555</v>
      </c>
      <c r="H67" s="42">
        <f>5418.69992342898*Deflactores!$X$5</f>
        <v>6352.710319246662</v>
      </c>
      <c r="I67" s="42">
        <f>5944.0493685825*Deflactores!$Y$5</f>
        <v>6624.1570252141719</v>
      </c>
      <c r="J67" s="42">
        <f>6831.44200224541*Deflactores!$Z$5</f>
        <v>7243.586747259038</v>
      </c>
      <c r="K67" s="42">
        <f>3244.27832084926*Deflactores!$AA$5</f>
        <v>3244.2783208492601</v>
      </c>
    </row>
    <row r="68" spans="3:11" x14ac:dyDescent="0.2">
      <c r="C68" s="88" t="s">
        <v>134</v>
      </c>
      <c r="D68" s="50">
        <f>9610.03349175406*Deflactores!$T$5</f>
        <v>14946.914468715127</v>
      </c>
      <c r="E68" s="50">
        <f>20809.1064035911*Deflactores!$U$5</f>
        <v>31852.507574266314</v>
      </c>
      <c r="F68" s="50">
        <f>21610.7171386871*Deflactores!$V$5</f>
        <v>31319.384065661525</v>
      </c>
      <c r="G68" s="50">
        <f>16943.7736764411*Deflactores!$W$5</f>
        <v>21707.748381212674</v>
      </c>
      <c r="H68" s="50">
        <f>37230.5689376635*Deflactores!$X$5</f>
        <v>43647.927145604197</v>
      </c>
      <c r="I68" s="50">
        <f>27912.2780049014*Deflactores!$Y$5</f>
        <v>31105.951678862195</v>
      </c>
      <c r="J68" s="50">
        <f>22962.5846076501*Deflactores!$Z$5</f>
        <v>24347.930274767401</v>
      </c>
      <c r="K68" s="50">
        <f>12755.8318684649*Deflactores!$AA$5</f>
        <v>12755.8318684649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553.31213175369078</v>
      </c>
      <c r="I69" s="42">
        <f>12132.7832693835*Deflactores!$Y$5</f>
        <v>13520.994955742382</v>
      </c>
      <c r="J69" s="42">
        <f>11214.4998242092*Deflactores!$Z$5</f>
        <v>11891.076917154569</v>
      </c>
      <c r="K69" s="42">
        <f>7850.08446745934*Deflactores!$AA$5</f>
        <v>7850.08446745934</v>
      </c>
    </row>
    <row r="70" spans="3:11" x14ac:dyDescent="0.2">
      <c r="C70" s="88" t="s">
        <v>136</v>
      </c>
      <c r="D70" s="50">
        <f>11336.7466767539*Deflactores!$T$5</f>
        <v>17632.548635374471</v>
      </c>
      <c r="E70" s="50">
        <f>17890.7288947123*Deflactores!$U$5</f>
        <v>27385.345943044686</v>
      </c>
      <c r="F70" s="50">
        <f>23172.8787451468*Deflactores!$V$5</f>
        <v>33583.350550964125</v>
      </c>
      <c r="G70" s="50">
        <f>23019.7706125691*Deflactores!$W$5</f>
        <v>29492.095314380014</v>
      </c>
      <c r="H70" s="50">
        <f>20201.0559916169*Deflactores!$X$5</f>
        <v>23683.071340185143</v>
      </c>
      <c r="I70" s="50">
        <f>12990.9072253736*Deflactores!$Y$5</f>
        <v>14477.303942949189</v>
      </c>
      <c r="J70" s="50">
        <f>10759.3424544948*Deflactores!$Z$5</f>
        <v>11408.459646877393</v>
      </c>
      <c r="K70" s="50">
        <f>6166.9649778063*Deflactores!$AA$5</f>
        <v>6166.9649778063003</v>
      </c>
    </row>
    <row r="71" spans="3:11" x14ac:dyDescent="0.2">
      <c r="C71" s="87" t="s">
        <v>137</v>
      </c>
      <c r="D71" s="42">
        <f>358.38379065105*Deflactores!$T$5</f>
        <v>557.41032228779682</v>
      </c>
      <c r="E71" s="42">
        <f>345.342216813169*Deflactores!$U$5</f>
        <v>528.61547071800612</v>
      </c>
      <c r="F71" s="42">
        <f>426.95631982085*Deflactores!$V$5</f>
        <v>618.76747883541054</v>
      </c>
      <c r="G71" s="42">
        <f>453.083012164349*Deflactores!$W$5</f>
        <v>580.47352447471178</v>
      </c>
      <c r="H71" s="42">
        <f>857.613594531929*Deflactores!$X$5</f>
        <v>1005.4387231064051</v>
      </c>
      <c r="I71" s="42">
        <f>1224.66662809728*Deflactores!$Y$5</f>
        <v>1364.7908260880645</v>
      </c>
      <c r="J71" s="42">
        <f>985.245143734579*Deflactores!$Z$5</f>
        <v>1044.6855383696993</v>
      </c>
      <c r="K71" s="42">
        <f>488.15555686815*Deflactores!$AA$5</f>
        <v>488.15555686814997</v>
      </c>
    </row>
    <row r="72" spans="3:11" x14ac:dyDescent="0.2">
      <c r="C72" s="88" t="s">
        <v>138</v>
      </c>
      <c r="D72" s="50">
        <f>94.5223990089999*Deflactores!$T$5</f>
        <v>147.01491046597923</v>
      </c>
      <c r="E72" s="50">
        <f>98.9260034643899*Deflactores!$U$5</f>
        <v>151.4260734472283</v>
      </c>
      <c r="F72" s="50">
        <f>113.94134567572*Deflactores!$V$5</f>
        <v>165.12977071861184</v>
      </c>
      <c r="G72" s="50">
        <f>107.24716079672*Deflactores!$W$5</f>
        <v>137.40117317617825</v>
      </c>
      <c r="H72" s="50">
        <f>134.17444472116*Deflactores!$X$5</f>
        <v>157.30182361157935</v>
      </c>
      <c r="I72" s="50">
        <f>163.26377849481*Deflactores!$Y$5</f>
        <v>181.94413239493531</v>
      </c>
      <c r="J72" s="50">
        <f>172.35737484458*Deflactores!$Z$5</f>
        <v>182.75579237973423</v>
      </c>
      <c r="K72" s="50">
        <f>71.08585717263*Deflactores!$AA$5</f>
        <v>71.08585717263</v>
      </c>
    </row>
    <row r="73" spans="3:11" x14ac:dyDescent="0.2">
      <c r="C73" s="87" t="s">
        <v>160</v>
      </c>
      <c r="D73" s="42">
        <f>1367.89386711711*Deflactores!$T$5</f>
        <v>2127.546449408635</v>
      </c>
      <c r="E73" s="42">
        <f>1746.07565140095*Deflactores!$U$5</f>
        <v>2672.71870462889</v>
      </c>
      <c r="F73" s="42">
        <f>2171.37453217763*Deflactores!$V$5</f>
        <v>3146.8697909114753</v>
      </c>
      <c r="G73" s="42">
        <f>2650.92354831416*Deflactores!$W$5</f>
        <v>3396.2671163772443</v>
      </c>
      <c r="H73" s="42">
        <f>3239.91891078508*Deflactores!$X$5</f>
        <v>3798.3772102003063</v>
      </c>
      <c r="I73" s="42">
        <f>3704.19655540427*Deflactores!$Y$5</f>
        <v>4128.0241992853435</v>
      </c>
      <c r="J73" s="42">
        <f>4388.62524446159*Deflactores!$Z$5</f>
        <v>4653.3934781294574</v>
      </c>
      <c r="K73" s="42">
        <f>3209.63677096663*Deflactores!$AA$5</f>
        <v>3209.6367709666301</v>
      </c>
    </row>
    <row r="74" spans="3:11" x14ac:dyDescent="0.2">
      <c r="C74" s="88" t="s">
        <v>161</v>
      </c>
      <c r="D74" s="50">
        <f>2641.48284569572*Deflactores!$T$5</f>
        <v>4108.4162921044881</v>
      </c>
      <c r="E74" s="50">
        <f>2836.67331062726*Deflactores!$U$5</f>
        <v>4342.0969819675192</v>
      </c>
      <c r="F74" s="50">
        <f>3021.13678697405*Deflactores!$V$5</f>
        <v>4378.3897933100843</v>
      </c>
      <c r="G74" s="50">
        <f>3420.63927574594*Deflactores!$W$5</f>
        <v>4382.3989932083978</v>
      </c>
      <c r="H74" s="50">
        <f>4019.17551076429*Deflactores!$X$5</f>
        <v>4711.9527013665274</v>
      </c>
      <c r="I74" s="50">
        <f>4624.87924402088*Deflactores!$Y$5</f>
        <v>5154.049779090913</v>
      </c>
      <c r="J74" s="50">
        <f>4994.68371336131*Deflactores!$Z$5</f>
        <v>5296.0157959275393</v>
      </c>
      <c r="K74" s="50">
        <f>3075.83697573957*Deflactores!$AA$5</f>
        <v>3075.8369757395699</v>
      </c>
    </row>
    <row r="75" spans="3:11" x14ac:dyDescent="0.2">
      <c r="C75" s="87" t="s">
        <v>140</v>
      </c>
      <c r="D75" s="42">
        <f>3881.05113185577*Deflactores!$T$5</f>
        <v>6036.3722318276823</v>
      </c>
      <c r="E75" s="42">
        <f>4237.85861385832*Deflactores!$U$5</f>
        <v>6486.8918913931248</v>
      </c>
      <c r="F75" s="42">
        <f>5858.3965714822*Deflactores!$V$5</f>
        <v>8490.2953962013962</v>
      </c>
      <c r="G75" s="42">
        <f>5339.8827333078*Deflactores!$W$5</f>
        <v>6841.2641111348512</v>
      </c>
      <c r="H75" s="42">
        <f>8358.5280043405*Deflactores!$X$5</f>
        <v>9799.2706474295046</v>
      </c>
      <c r="I75" s="42">
        <f>11736.8792140492*Deflactores!$Y$5</f>
        <v>13079.792255893526</v>
      </c>
      <c r="J75" s="42">
        <f>10373.6765253631*Deflactores!$Z$5</f>
        <v>10999.52627494662</v>
      </c>
      <c r="K75" s="42">
        <f>7836.16913753089*Deflactores!$AA$5</f>
        <v>7836.1691375308901</v>
      </c>
    </row>
    <row r="76" spans="3:11" x14ac:dyDescent="0.2">
      <c r="C76" s="88" t="s">
        <v>141</v>
      </c>
      <c r="D76" s="50">
        <f>1817.30651028193*Deflactores!$T$5</f>
        <v>2826.5380132057435</v>
      </c>
      <c r="E76" s="50">
        <f>2048.1713256022*Deflactores!$U$5</f>
        <v>3135.1366751087667</v>
      </c>
      <c r="F76" s="50">
        <f>2548.43823871675*Deflactores!$V$5</f>
        <v>3693.330279313298</v>
      </c>
      <c r="G76" s="50">
        <f>2903.06821430798*Deflactores!$W$5</f>
        <v>3719.3057186143114</v>
      </c>
      <c r="H76" s="50">
        <f>3731.92070145032*Deflactores!$X$5</f>
        <v>4375.184358928529</v>
      </c>
      <c r="I76" s="50">
        <f>3906.53116922285*Deflactores!$Y$5</f>
        <v>4353.5095831474855</v>
      </c>
      <c r="J76" s="50">
        <f>4140.06778077655*Deflactores!$Z$5</f>
        <v>4389.840402616338</v>
      </c>
      <c r="K76" s="50">
        <f>2259.76759099455*Deflactores!$AA$5</f>
        <v>2259.7675909945501</v>
      </c>
    </row>
    <row r="77" spans="3:11" x14ac:dyDescent="0.2">
      <c r="C77" s="87" t="s">
        <v>142</v>
      </c>
      <c r="D77" s="42">
        <f>483.20371860445*Deflactores!$T$5</f>
        <v>751.54833322308696</v>
      </c>
      <c r="E77" s="42">
        <f>575.31848067242*Deflactores!$U$5</f>
        <v>880.64023066704965</v>
      </c>
      <c r="F77" s="42">
        <f>1037.5394048209*Deflactores!$V$5</f>
        <v>1503.6564910967959</v>
      </c>
      <c r="G77" s="42">
        <f>1644.44360009547*Deflactores!$W$5</f>
        <v>2106.8015059479876</v>
      </c>
      <c r="H77" s="42">
        <f>1809.38320760855*Deflactores!$X$5</f>
        <v>2121.2629481007862</v>
      </c>
      <c r="I77" s="42">
        <f>1329.08104398902*Deflactores!$Y$5</f>
        <v>1481.1521554906574</v>
      </c>
      <c r="J77" s="42">
        <f>1070.20453441115*Deflactores!$Z$5</f>
        <v>1134.7705769541935</v>
      </c>
      <c r="K77" s="42">
        <f>1000.44482417712*Deflactores!$AA$5</f>
        <v>1000.44482417712</v>
      </c>
    </row>
    <row r="78" spans="3:11" x14ac:dyDescent="0.2">
      <c r="C78" s="88" t="s">
        <v>143</v>
      </c>
      <c r="D78" s="50">
        <f>1596.09471715063*Deflactores!$T$5</f>
        <v>2482.4774275437112</v>
      </c>
      <c r="E78" s="50">
        <f>5298.93366909406*Deflactores!$U$5</f>
        <v>8111.0799068827682</v>
      </c>
      <c r="F78" s="50">
        <f>8718.29247644171*Deflactores!$V$5</f>
        <v>12635.006451388577</v>
      </c>
      <c r="G78" s="50">
        <f>5996.6027025171*Deflactores!$W$5</f>
        <v>7682.6299202364489</v>
      </c>
      <c r="H78" s="50">
        <f>5411.67318417801*Deflactores!$X$5</f>
        <v>6344.4723950986054</v>
      </c>
      <c r="I78" s="50">
        <f>2745.07363752201*Deflactores!$Y$5</f>
        <v>3059.1601269048679</v>
      </c>
      <c r="J78" s="50">
        <f>4034.69912512034*Deflactores!$Z$5</f>
        <v>4278.1147965968548</v>
      </c>
      <c r="K78" s="50">
        <f>8906.59223455985*Deflactores!$AA$5</f>
        <v>8906.5922345598501</v>
      </c>
    </row>
    <row r="79" spans="3:11" x14ac:dyDescent="0.2">
      <c r="C79" s="87" t="s">
        <v>144</v>
      </c>
      <c r="D79" s="42">
        <f>4626.32897868672*Deflactores!$T$5</f>
        <v>7195.5361662269506</v>
      </c>
      <c r="E79" s="42">
        <f>4814.99562553242*Deflactores!$U$5</f>
        <v>7370.3157481987319</v>
      </c>
      <c r="F79" s="42">
        <f>5248.11138993475*Deflactores!$V$5</f>
        <v>7605.8381212389913</v>
      </c>
      <c r="G79" s="42">
        <f>5888.869694292*Deflactores!$W$5</f>
        <v>7544.6062969539171</v>
      </c>
      <c r="H79" s="42">
        <f>7248.83290953504*Deflactores!$X$5</f>
        <v>8498.2996433870721</v>
      </c>
      <c r="I79" s="42">
        <f>9048.40157833253*Deflactores!$Y$5</f>
        <v>10083.703745610726</v>
      </c>
      <c r="J79" s="42">
        <f>10484.8778535153*Deflactores!$Z$5</f>
        <v>11117.436441880061</v>
      </c>
      <c r="K79" s="42">
        <f>4621.88346378626*Deflactores!$AA$5</f>
        <v>4621.8834637862601</v>
      </c>
    </row>
    <row r="80" spans="3:11" x14ac:dyDescent="0.2">
      <c r="C80" s="88" t="s">
        <v>145</v>
      </c>
      <c r="D80" s="50">
        <f>1491.7950446276*Deflactores!$T$5</f>
        <v>2320.25548673004</v>
      </c>
      <c r="E80" s="50">
        <f>699.9745808385*Deflactores!$U$5</f>
        <v>1071.451373524839</v>
      </c>
      <c r="F80" s="50">
        <f>1372.78324973171*Deflactores!$V$5</f>
        <v>1989.5094439178054</v>
      </c>
      <c r="G80" s="50">
        <f>3252.74357131179*Deflactores!$W$5</f>
        <v>4167.2971052971743</v>
      </c>
      <c r="H80" s="50">
        <f>3276.00081611992*Deflactores!$X$5</f>
        <v>3840.678480910582</v>
      </c>
      <c r="I80" s="50">
        <f>1134.68002686796*Deflactores!$Y$5</f>
        <v>1264.5081164828955</v>
      </c>
      <c r="J80" s="50">
        <f>3017.54100176158*Deflactores!$Z$5</f>
        <v>3199.5909505616164</v>
      </c>
      <c r="K80" s="50">
        <f>4546.19056610611*Deflactores!$AA$5</f>
        <v>4546.1905661061101</v>
      </c>
    </row>
    <row r="81" spans="1:11" x14ac:dyDescent="0.2">
      <c r="C81" s="87" t="s">
        <v>146</v>
      </c>
      <c r="D81" s="42">
        <f>928.802007540394*Deflactores!$T$5</f>
        <v>1444.6072614616085</v>
      </c>
      <c r="E81" s="42">
        <f>931.73255162256*Deflactores!$U$5</f>
        <v>1426.2033929831043</v>
      </c>
      <c r="F81" s="42">
        <f>1077.89928467213*Deflactores!$V$5</f>
        <v>1562.1481445570948</v>
      </c>
      <c r="G81" s="42">
        <f>1352.73614021892*Deflactores!$W$5</f>
        <v>1733.0764869029451</v>
      </c>
      <c r="H81" s="42">
        <f>1419.27231348664*Deflactores!$X$5</f>
        <v>1663.9094246064378</v>
      </c>
      <c r="I81" s="42">
        <f>1571.73505029183*Deflactores!$Y$5</f>
        <v>1751.5702056910784</v>
      </c>
      <c r="J81" s="42">
        <f>1816.0922193894*Deflactores!$Z$5</f>
        <v>1925.6580862203646</v>
      </c>
      <c r="K81" s="42">
        <f>1126.55504212458*Deflactores!$AA$5</f>
        <v>1126.55504212458</v>
      </c>
    </row>
    <row r="82" spans="1:11" x14ac:dyDescent="0.2">
      <c r="C82" s="88" t="s">
        <v>162</v>
      </c>
      <c r="D82" s="50">
        <f>29522.5877151182*Deflactores!$T$5</f>
        <v>45917.799750817423</v>
      </c>
      <c r="E82" s="50">
        <f>34547.2096867806*Deflactores!$U$5</f>
        <v>52881.427817008189</v>
      </c>
      <c r="F82" s="50">
        <f>43558.1064860738*Deflactores!$V$5</f>
        <v>63126.691143818585</v>
      </c>
      <c r="G82" s="50">
        <f>42331.0381272937*Deflactores!$W$5</f>
        <v>54232.990945841157</v>
      </c>
      <c r="H82" s="50">
        <f>53326.1240174841*Deflactores!$X$5</f>
        <v>62517.84064782205</v>
      </c>
      <c r="I82" s="50">
        <f>60650.8259228797*Deflactores!$Y$5</f>
        <v>67590.386571418188</v>
      </c>
      <c r="J82" s="50">
        <f>66314.7511422789*Deflactores!$Z$5</f>
        <v>70315.557442206977</v>
      </c>
      <c r="K82" s="50">
        <f>41521.0562013137*Deflactores!$AA$5</f>
        <v>41521.056201313702</v>
      </c>
    </row>
    <row r="83" spans="1:11" x14ac:dyDescent="0.2">
      <c r="C83" s="87" t="s">
        <v>148</v>
      </c>
      <c r="D83" s="42">
        <f>395.93703267237*Deflactores!$T$5</f>
        <v>615.81855749293527</v>
      </c>
      <c r="E83" s="42">
        <f>487.15641910575*Deflactores!$U$5</f>
        <v>745.69052742891961</v>
      </c>
      <c r="F83" s="42">
        <f>555.2356866964*Deflactores!$V$5</f>
        <v>804.67666144568875</v>
      </c>
      <c r="G83" s="42">
        <f>602.38589612996*Deflactores!$W$5</f>
        <v>771.75496505611284</v>
      </c>
      <c r="H83" s="42">
        <f>684.59175392637*Deflactores!$X$5</f>
        <v>802.59345619698854</v>
      </c>
      <c r="I83" s="42">
        <f>840.28836694924*Deflactores!$Y$5</f>
        <v>936.43268149031951</v>
      </c>
      <c r="J83" s="42">
        <f>962.078059180699*Deflactores!$Z$5</f>
        <v>1020.1207705517252</v>
      </c>
      <c r="K83" s="42">
        <f>586.42830882711*Deflactores!$AA$5</f>
        <v>586.42830882710996</v>
      </c>
    </row>
    <row r="84" spans="1:11" x14ac:dyDescent="0.2">
      <c r="C84" s="88" t="s">
        <v>149</v>
      </c>
      <c r="D84" s="50">
        <f>1532.92402718177*Deflactores!$T$5</f>
        <v>2384.2252309510095</v>
      </c>
      <c r="E84" s="50">
        <f>1575.28321621238*Deflactores!$U$5</f>
        <v>2411.2866551232714</v>
      </c>
      <c r="F84" s="50">
        <f>2118.93509394522*Deflactores!$V$5</f>
        <v>3070.8718082601617</v>
      </c>
      <c r="G84" s="50">
        <f>2169.8884766851*Deflactores!$W$5</f>
        <v>2779.9824269764858</v>
      </c>
      <c r="H84" s="50">
        <f>2450.39779073857*Deflactores!$X$5</f>
        <v>2872.7679243093194</v>
      </c>
      <c r="I84" s="50">
        <f>3834.37421188761*Deflactores!$Y$5</f>
        <v>4273.0965538788041</v>
      </c>
      <c r="J84" s="50">
        <f>2615.45392955878*Deflactores!$Z$5</f>
        <v>2773.2457387461504</v>
      </c>
      <c r="K84" s="50">
        <f>1708.59342168569*Deflactores!$AA$5</f>
        <v>1708.5934216856899</v>
      </c>
    </row>
    <row r="85" spans="1:11" x14ac:dyDescent="0.2">
      <c r="C85" s="87" t="s">
        <v>163</v>
      </c>
      <c r="D85" s="42">
        <f>27833.5754382902*Deflactores!$T$5</f>
        <v>43290.803491124891</v>
      </c>
      <c r="E85" s="42">
        <f>32084.8373116915*Deflactores!$U$5</f>
        <v>49112.273428203953</v>
      </c>
      <c r="F85" s="42">
        <f>27350.5364825239*Deflactores!$V$5</f>
        <v>39637.831127990677</v>
      </c>
      <c r="G85" s="42">
        <f>29898.9606906844*Deflactores!$W$5</f>
        <v>38305.464173874105</v>
      </c>
      <c r="H85" s="42">
        <f>34022.8457670308*Deflactores!$X$5</f>
        <v>39887.295190463592</v>
      </c>
      <c r="I85" s="42">
        <f>36868.9236451839*Deflactores!$Y$5</f>
        <v>41087.400933645207</v>
      </c>
      <c r="J85" s="42">
        <f>51371.5093054384*Deflactores!$Z$5</f>
        <v>54470.781405925525</v>
      </c>
      <c r="K85" s="42">
        <f>21464.5969626418*Deflactores!$AA$5</f>
        <v>21464.596962641801</v>
      </c>
    </row>
    <row r="86" spans="1:11" x14ac:dyDescent="0.2">
      <c r="C86" s="88" t="s">
        <v>150</v>
      </c>
      <c r="D86" s="50">
        <f>7500.51571094942*Deflactores!$T$5</f>
        <v>11665.88721038394</v>
      </c>
      <c r="E86" s="50">
        <f>7759.00542948993*Deflactores!$U$5</f>
        <v>11876.712743847134</v>
      </c>
      <c r="F86" s="50">
        <f>10962.4797053835*Deflactores!$V$5</f>
        <v>15887.400219138879</v>
      </c>
      <c r="G86" s="50">
        <f>11906.1371365512*Deflactores!$W$5</f>
        <v>15253.711132356902</v>
      </c>
      <c r="H86" s="50">
        <f>11819.054423578*Deflactores!$X$5</f>
        <v>13856.281038144101</v>
      </c>
      <c r="I86" s="50">
        <f>13723.4205552127*Deflactores!$Y$5</f>
        <v>15293.630157459391</v>
      </c>
      <c r="J86" s="50">
        <f>13336.8906207521*Deflactores!$Z$5</f>
        <v>14141.512746264958</v>
      </c>
      <c r="K86" s="50">
        <f>11329.0311604401*Deflactores!$AA$5</f>
        <v>11329.031160440099</v>
      </c>
    </row>
    <row r="87" spans="1:11" x14ac:dyDescent="0.2">
      <c r="C87" s="87" t="s">
        <v>151</v>
      </c>
      <c r="D87" s="42">
        <f>4116.00261322804*Deflactores!$T$5</f>
        <v>6401.802768504017</v>
      </c>
      <c r="E87" s="42">
        <f>4322.03503306087*Deflactores!$U$5</f>
        <v>6615.7407702551764</v>
      </c>
      <c r="F87" s="42">
        <f>5949.62559731739*Deflactores!$V$5</f>
        <v>8622.5092824751428</v>
      </c>
      <c r="G87" s="42">
        <f>5755.35965229809*Deflactores!$W$5</f>
        <v>7373.5580727912766</v>
      </c>
      <c r="H87" s="42">
        <f>7851.71537372369*Deflactores!$X$5</f>
        <v>9205.0997440873325</v>
      </c>
      <c r="I87" s="42">
        <f>9078.12873302914*Deflactores!$Y$5</f>
        <v>10116.832228974943</v>
      </c>
      <c r="J87" s="42">
        <f>8330.75467886576*Deflactores!$Z$5</f>
        <v>8833.3538024129812</v>
      </c>
      <c r="K87" s="42">
        <f>4200.340358612*Deflactores!$AA$5</f>
        <v>4200.3403586120003</v>
      </c>
    </row>
    <row r="88" spans="1:11" x14ac:dyDescent="0.2">
      <c r="C88" s="79" t="s">
        <v>154</v>
      </c>
      <c r="D88" s="44">
        <f t="shared" ref="D88:K88" si="1">SUM(D57:D87)</f>
        <v>304543.31212410884</v>
      </c>
      <c r="E88" s="44">
        <f t="shared" si="1"/>
        <v>355802.76876909955</v>
      </c>
      <c r="F88" s="44">
        <f t="shared" si="1"/>
        <v>382802.12575838453</v>
      </c>
      <c r="G88" s="44">
        <f t="shared" si="1"/>
        <v>345059.38079399726</v>
      </c>
      <c r="H88" s="44">
        <f t="shared" si="1"/>
        <v>387326.82297549956</v>
      </c>
      <c r="I88" s="44">
        <f t="shared" si="1"/>
        <v>407749.95710696361</v>
      </c>
      <c r="J88" s="44">
        <f t="shared" si="1"/>
        <v>415139.24351974757</v>
      </c>
      <c r="K88" s="44">
        <f t="shared" si="1"/>
        <v>243930.59569579823</v>
      </c>
    </row>
    <row r="89" spans="1:11" s="31" customFormat="1" x14ac:dyDescent="0.2">
      <c r="A89" s="5"/>
      <c r="B89" s="5"/>
      <c r="C89" s="72" t="str">
        <f>+'C1 Aprop Resumen 2000-2026'!B20</f>
        <v>* Información con corte a 30 de Junio</v>
      </c>
      <c r="D89" s="124">
        <f>+D88-'C5 Ejecución PGN 2019-2026'!D66</f>
        <v>0</v>
      </c>
      <c r="E89" s="124">
        <f>+E88-'C5 Ejecución PGN 2019-2026'!E66</f>
        <v>1.2223608791828156E-9</v>
      </c>
      <c r="F89" s="124">
        <f>+F88-'C5 Ejecución PGN 2019-2026'!F66</f>
        <v>0</v>
      </c>
      <c r="G89" s="124">
        <f>+G88-'C5 Ejecución PGN 2019-2026'!G66</f>
        <v>4.6566128730773926E-10</v>
      </c>
      <c r="H89" s="124">
        <f>+H88-'C5 Ejecución PGN 2019-2026'!H66</f>
        <v>0</v>
      </c>
      <c r="I89" s="124">
        <f>+I88-'C5 Ejecución PGN 2019-2026'!I66</f>
        <v>0</v>
      </c>
      <c r="J89" s="124">
        <f>+J88-'C5 Ejecución PGN 2019-2026'!J66</f>
        <v>0</v>
      </c>
      <c r="K89" s="124">
        <f>+K88-'C5 Ejecución PGN 2019-2026'!K66</f>
        <v>8.149072527885437E-10</v>
      </c>
    </row>
    <row r="90" spans="1:11" x14ac:dyDescent="0.2">
      <c r="C90" s="1" t="s">
        <v>52</v>
      </c>
      <c r="D90" s="11"/>
      <c r="E90" s="11"/>
      <c r="F90" s="11"/>
      <c r="G90" s="11"/>
      <c r="H90" s="11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customHeight="1" x14ac:dyDescent="0.2">
      <c r="C94" s="164" t="s">
        <v>155</v>
      </c>
      <c r="D94" s="160"/>
      <c r="E94" s="182"/>
      <c r="F94" s="182"/>
      <c r="G94" s="182"/>
      <c r="H94" s="182"/>
      <c r="I94" s="182"/>
      <c r="J94" s="182"/>
      <c r="K94" s="182"/>
    </row>
    <row r="95" spans="1:11" x14ac:dyDescent="0.2">
      <c r="D95" s="29"/>
      <c r="E95" s="29"/>
      <c r="F95" s="29"/>
      <c r="G95" s="29"/>
      <c r="H95" s="29"/>
    </row>
    <row r="96" spans="1:11" x14ac:dyDescent="0.2">
      <c r="C96" s="181" t="s">
        <v>120</v>
      </c>
      <c r="D96" s="155">
        <v>2019</v>
      </c>
      <c r="E96" s="155">
        <v>2020</v>
      </c>
      <c r="F96" s="155">
        <v>2021</v>
      </c>
      <c r="G96" s="155">
        <v>2022</v>
      </c>
      <c r="H96" s="155">
        <v>2023</v>
      </c>
      <c r="I96" s="155">
        <v>2024</v>
      </c>
      <c r="J96" s="155">
        <v>2025</v>
      </c>
      <c r="K96" s="155" t="s">
        <v>36</v>
      </c>
    </row>
    <row r="97" spans="3:11" ht="12" customHeight="1" thickBot="1" x14ac:dyDescent="0.25">
      <c r="C97" s="162"/>
      <c r="D97" s="156"/>
      <c r="E97" s="156"/>
      <c r="F97" s="156"/>
      <c r="G97" s="156"/>
      <c r="H97" s="156"/>
      <c r="I97" s="156"/>
      <c r="J97" s="156"/>
      <c r="K97" s="156"/>
    </row>
    <row r="98" spans="3:11" x14ac:dyDescent="0.2">
      <c r="C98" s="87" t="s">
        <v>123</v>
      </c>
      <c r="D98" s="47">
        <f t="shared" ref="D98:I107" si="2">+IFERROR(IF(D57&gt;0,+((D57/D15)*100)," "),"0")</f>
        <v>95.897509788995379</v>
      </c>
      <c r="E98" s="47">
        <f t="shared" si="2"/>
        <v>91.420929334267896</v>
      </c>
      <c r="F98" s="47">
        <f t="shared" si="2"/>
        <v>93.394137535830012</v>
      </c>
      <c r="G98" s="47">
        <f t="shared" si="2"/>
        <v>89.697292125155997</v>
      </c>
      <c r="H98" s="47">
        <f t="shared" si="2"/>
        <v>90.788390570961937</v>
      </c>
      <c r="I98" s="47">
        <f t="shared" si="2"/>
        <v>97.028850267327584</v>
      </c>
      <c r="J98" s="47">
        <f t="shared" ref="J98:K129" si="3">+IFERROR(IF(J57&gt;0,+((J57/J15)*100)," "),"")</f>
        <v>95.085565133387874</v>
      </c>
      <c r="K98" s="47">
        <f t="shared" si="3"/>
        <v>58.572874899163232</v>
      </c>
    </row>
    <row r="99" spans="3:11" x14ac:dyDescent="0.2">
      <c r="C99" s="88" t="s">
        <v>124</v>
      </c>
      <c r="D99" s="116">
        <f t="shared" si="2"/>
        <v>96.4834060376389</v>
      </c>
      <c r="E99" s="116">
        <f t="shared" si="2"/>
        <v>96.354482397448905</v>
      </c>
      <c r="F99" s="116">
        <f t="shared" si="2"/>
        <v>83.003357939111268</v>
      </c>
      <c r="G99" s="116">
        <f t="shared" si="2"/>
        <v>86.28211100025959</v>
      </c>
      <c r="H99" s="116">
        <f t="shared" si="2"/>
        <v>86.24286234000526</v>
      </c>
      <c r="I99" s="116">
        <f t="shared" si="2"/>
        <v>97.396271718699907</v>
      </c>
      <c r="J99" s="116">
        <f t="shared" si="3"/>
        <v>97.604739341095865</v>
      </c>
      <c r="K99" s="116">
        <f t="shared" si="3"/>
        <v>55.577635781572056</v>
      </c>
    </row>
    <row r="100" spans="3:11" x14ac:dyDescent="0.2">
      <c r="C100" s="87" t="s">
        <v>125</v>
      </c>
      <c r="D100" s="47">
        <f t="shared" si="2"/>
        <v>99.738807028927127</v>
      </c>
      <c r="E100" s="47">
        <f t="shared" si="2"/>
        <v>98.720520014567313</v>
      </c>
      <c r="F100" s="47">
        <f t="shared" si="2"/>
        <v>99.006860988789015</v>
      </c>
      <c r="G100" s="47">
        <f t="shared" si="2"/>
        <v>99.004093527285136</v>
      </c>
      <c r="H100" s="47">
        <f t="shared" si="2"/>
        <v>98.581978187837294</v>
      </c>
      <c r="I100" s="47">
        <f t="shared" si="2"/>
        <v>98.096547308882947</v>
      </c>
      <c r="J100" s="47">
        <f t="shared" si="3"/>
        <v>97.518195657551317</v>
      </c>
      <c r="K100" s="47">
        <f t="shared" si="3"/>
        <v>60.227049433950974</v>
      </c>
    </row>
    <row r="101" spans="3:11" x14ac:dyDescent="0.2">
      <c r="C101" s="88" t="s">
        <v>126</v>
      </c>
      <c r="D101" s="116">
        <f t="shared" si="2"/>
        <v>97.487159755653593</v>
      </c>
      <c r="E101" s="116">
        <f t="shared" si="2"/>
        <v>96.2098500944996</v>
      </c>
      <c r="F101" s="116">
        <f t="shared" si="2"/>
        <v>94.314247866052085</v>
      </c>
      <c r="G101" s="116">
        <f t="shared" si="2"/>
        <v>95.820738628758122</v>
      </c>
      <c r="H101" s="116">
        <f t="shared" si="2"/>
        <v>96.003178854711976</v>
      </c>
      <c r="I101" s="116">
        <f t="shared" si="2"/>
        <v>94.981363589336837</v>
      </c>
      <c r="J101" s="116">
        <f t="shared" si="3"/>
        <v>95.286668038489537</v>
      </c>
      <c r="K101" s="116">
        <f t="shared" si="3"/>
        <v>73.723459583003887</v>
      </c>
    </row>
    <row r="102" spans="3:11" x14ac:dyDescent="0.2">
      <c r="C102" s="87" t="s">
        <v>127</v>
      </c>
      <c r="D102" s="47">
        <f t="shared" si="2"/>
        <v>98.388271868936812</v>
      </c>
      <c r="E102" s="47">
        <f t="shared" si="2"/>
        <v>99.15318730685955</v>
      </c>
      <c r="F102" s="47">
        <f t="shared" si="2"/>
        <v>96.061690093188318</v>
      </c>
      <c r="G102" s="47">
        <f t="shared" si="2"/>
        <v>94.557232037134398</v>
      </c>
      <c r="H102" s="47">
        <f t="shared" si="2"/>
        <v>98.032589861887971</v>
      </c>
      <c r="I102" s="47">
        <f t="shared" si="2"/>
        <v>95.045305842523533</v>
      </c>
      <c r="J102" s="47">
        <f t="shared" si="3"/>
        <v>86.489447796994298</v>
      </c>
      <c r="K102" s="47">
        <f t="shared" si="3"/>
        <v>67.959100453167537</v>
      </c>
    </row>
    <row r="103" spans="3:11" x14ac:dyDescent="0.2">
      <c r="C103" s="88" t="s">
        <v>128</v>
      </c>
      <c r="D103" s="116">
        <f t="shared" si="2"/>
        <v>99.383730434343562</v>
      </c>
      <c r="E103" s="116">
        <f t="shared" si="2"/>
        <v>99.70346486218773</v>
      </c>
      <c r="F103" s="116">
        <f t="shared" si="2"/>
        <v>96.911646625223497</v>
      </c>
      <c r="G103" s="116">
        <f t="shared" si="2"/>
        <v>97.581948102501997</v>
      </c>
      <c r="H103" s="116">
        <f t="shared" si="2"/>
        <v>98.546793815892286</v>
      </c>
      <c r="I103" s="116">
        <f t="shared" si="2"/>
        <v>98.478975101799861</v>
      </c>
      <c r="J103" s="116">
        <f t="shared" si="3"/>
        <v>99.522178081394713</v>
      </c>
      <c r="K103" s="116">
        <f t="shared" si="3"/>
        <v>64.831951267917873</v>
      </c>
    </row>
    <row r="104" spans="3:11" x14ac:dyDescent="0.2">
      <c r="C104" s="87" t="s">
        <v>129</v>
      </c>
      <c r="D104" s="47">
        <f t="shared" si="2"/>
        <v>99.504340872667925</v>
      </c>
      <c r="E104" s="47">
        <f t="shared" si="2"/>
        <v>99.655257203640502</v>
      </c>
      <c r="F104" s="47">
        <f t="shared" si="2"/>
        <v>97.288544695356521</v>
      </c>
      <c r="G104" s="47">
        <f t="shared" si="2"/>
        <v>98.095168892722398</v>
      </c>
      <c r="H104" s="47">
        <f t="shared" si="2"/>
        <v>98.560565212493515</v>
      </c>
      <c r="I104" s="47">
        <f t="shared" si="2"/>
        <v>98.708359844740116</v>
      </c>
      <c r="J104" s="47">
        <f t="shared" si="3"/>
        <v>99.61492221993386</v>
      </c>
      <c r="K104" s="47">
        <f t="shared" si="3"/>
        <v>50.934744646891907</v>
      </c>
    </row>
    <row r="105" spans="3:11" x14ac:dyDescent="0.2">
      <c r="C105" s="88" t="s">
        <v>130</v>
      </c>
      <c r="D105" s="116">
        <f t="shared" si="2"/>
        <v>96.311899283475952</v>
      </c>
      <c r="E105" s="116">
        <f t="shared" si="2"/>
        <v>95.682982630813157</v>
      </c>
      <c r="F105" s="116">
        <f t="shared" si="2"/>
        <v>95.509016984776594</v>
      </c>
      <c r="G105" s="116">
        <f t="shared" si="2"/>
        <v>97.860378773969103</v>
      </c>
      <c r="H105" s="116">
        <f t="shared" si="2"/>
        <v>73.639009620147917</v>
      </c>
      <c r="I105" s="116">
        <f t="shared" si="2"/>
        <v>93.709730331597569</v>
      </c>
      <c r="J105" s="116">
        <f t="shared" si="3"/>
        <v>98.457075599975738</v>
      </c>
      <c r="K105" s="116">
        <f t="shared" si="3"/>
        <v>83.064302914812174</v>
      </c>
    </row>
    <row r="106" spans="3:11" x14ac:dyDescent="0.2">
      <c r="C106" s="87" t="s">
        <v>131</v>
      </c>
      <c r="D106" s="47">
        <f t="shared" si="2"/>
        <v>99.977661999107013</v>
      </c>
      <c r="E106" s="47">
        <f t="shared" si="2"/>
        <v>99.976500458289124</v>
      </c>
      <c r="F106" s="47">
        <f t="shared" si="2"/>
        <v>99.964422108171945</v>
      </c>
      <c r="G106" s="47">
        <f t="shared" si="2"/>
        <v>99.925544338094113</v>
      </c>
      <c r="H106" s="47">
        <f t="shared" si="2"/>
        <v>99.124627816061576</v>
      </c>
      <c r="I106" s="47">
        <f t="shared" si="2"/>
        <v>99.861650095999934</v>
      </c>
      <c r="J106" s="47">
        <f t="shared" si="3"/>
        <v>99.601844427053635</v>
      </c>
      <c r="K106" s="47">
        <f t="shared" si="3"/>
        <v>62.407314690282398</v>
      </c>
    </row>
    <row r="107" spans="3:11" x14ac:dyDescent="0.2">
      <c r="C107" s="88" t="s">
        <v>132</v>
      </c>
      <c r="D107" s="116">
        <f t="shared" si="2"/>
        <v>92.259045085847575</v>
      </c>
      <c r="E107" s="116">
        <f t="shared" si="2"/>
        <v>75.666768920212618</v>
      </c>
      <c r="F107" s="116">
        <f t="shared" si="2"/>
        <v>61.885167192096212</v>
      </c>
      <c r="G107" s="116">
        <f t="shared" si="2"/>
        <v>72.176388247394314</v>
      </c>
      <c r="H107" s="116">
        <f t="shared" si="2"/>
        <v>80.434967401776419</v>
      </c>
      <c r="I107" s="116">
        <f t="shared" si="2"/>
        <v>87.762044508470979</v>
      </c>
      <c r="J107" s="116">
        <f t="shared" si="3"/>
        <v>89.615315048687066</v>
      </c>
      <c r="K107" s="116">
        <f t="shared" si="3"/>
        <v>49.929214731447665</v>
      </c>
    </row>
    <row r="108" spans="3:11" x14ac:dyDescent="0.2">
      <c r="C108" s="87" t="s">
        <v>133</v>
      </c>
      <c r="D108" s="47">
        <f t="shared" ref="D108:I117" si="4">+IFERROR(IF(D67&gt;0,+((D67/D25)*100)," "),"0")</f>
        <v>99.340013184821359</v>
      </c>
      <c r="E108" s="47">
        <f t="shared" si="4"/>
        <v>98.907352550001377</v>
      </c>
      <c r="F108" s="47">
        <f t="shared" si="4"/>
        <v>95.40001259766764</v>
      </c>
      <c r="G108" s="47">
        <f t="shared" si="4"/>
        <v>99.000427541955688</v>
      </c>
      <c r="H108" s="47">
        <f t="shared" si="4"/>
        <v>99.110336064614742</v>
      </c>
      <c r="I108" s="47">
        <f t="shared" si="4"/>
        <v>98.665011848270211</v>
      </c>
      <c r="J108" s="47">
        <f t="shared" si="3"/>
        <v>99.645947107242307</v>
      </c>
      <c r="K108" s="47">
        <f t="shared" si="3"/>
        <v>45.058192124206556</v>
      </c>
    </row>
    <row r="109" spans="3:11" x14ac:dyDescent="0.2">
      <c r="C109" s="88" t="s">
        <v>134</v>
      </c>
      <c r="D109" s="116">
        <f t="shared" si="4"/>
        <v>91.249272539401687</v>
      </c>
      <c r="E109" s="116">
        <f t="shared" si="4"/>
        <v>50.881347940374319</v>
      </c>
      <c r="F109" s="116">
        <f t="shared" si="4"/>
        <v>89.432520666776995</v>
      </c>
      <c r="G109" s="116">
        <f t="shared" si="4"/>
        <v>92.777271105482356</v>
      </c>
      <c r="H109" s="116">
        <f t="shared" si="4"/>
        <v>89.331168475318208</v>
      </c>
      <c r="I109" s="116">
        <f t="shared" si="4"/>
        <v>85.010738239840194</v>
      </c>
      <c r="J109" s="116">
        <f t="shared" si="3"/>
        <v>92.089932942078207</v>
      </c>
      <c r="K109" s="116">
        <f t="shared" si="3"/>
        <v>38.842797555071897</v>
      </c>
    </row>
    <row r="110" spans="3:11" x14ac:dyDescent="0.2">
      <c r="C110" s="87" t="s">
        <v>135</v>
      </c>
      <c r="D110" s="47" t="str">
        <f t="shared" si="4"/>
        <v xml:space="preserve"> </v>
      </c>
      <c r="E110" s="47" t="str">
        <f t="shared" si="4"/>
        <v xml:space="preserve"> </v>
      </c>
      <c r="F110" s="47" t="str">
        <f t="shared" si="4"/>
        <v xml:space="preserve"> </v>
      </c>
      <c r="G110" s="47" t="str">
        <f t="shared" si="4"/>
        <v xml:space="preserve"> </v>
      </c>
      <c r="H110" s="47">
        <f t="shared" si="4"/>
        <v>94.392228050518014</v>
      </c>
      <c r="I110" s="47">
        <f t="shared" si="4"/>
        <v>97.719601862987417</v>
      </c>
      <c r="J110" s="47">
        <f t="shared" si="3"/>
        <v>99.7018054545252</v>
      </c>
      <c r="K110" s="47">
        <f t="shared" si="3"/>
        <v>69.33611107529569</v>
      </c>
    </row>
    <row r="111" spans="3:11" x14ac:dyDescent="0.2">
      <c r="C111" s="88" t="s">
        <v>136</v>
      </c>
      <c r="D111" s="116">
        <f t="shared" si="4"/>
        <v>98.698322313525495</v>
      </c>
      <c r="E111" s="116">
        <f t="shared" si="4"/>
        <v>98.913719503364248</v>
      </c>
      <c r="F111" s="116">
        <f t="shared" si="4"/>
        <v>96.878338146511396</v>
      </c>
      <c r="G111" s="116">
        <f t="shared" si="4"/>
        <v>98.362684887430476</v>
      </c>
      <c r="H111" s="116">
        <f t="shared" si="4"/>
        <v>92.207721026352303</v>
      </c>
      <c r="I111" s="116">
        <f t="shared" si="4"/>
        <v>96.798481410837113</v>
      </c>
      <c r="J111" s="116">
        <f t="shared" si="3"/>
        <v>98.278709067651803</v>
      </c>
      <c r="K111" s="116">
        <f t="shared" si="3"/>
        <v>46.602776110672792</v>
      </c>
    </row>
    <row r="112" spans="3:11" x14ac:dyDescent="0.2">
      <c r="C112" s="87" t="s">
        <v>137</v>
      </c>
      <c r="D112" s="47">
        <f t="shared" si="4"/>
        <v>93.166251236571881</v>
      </c>
      <c r="E112" s="47">
        <f t="shared" si="4"/>
        <v>90.933045093393403</v>
      </c>
      <c r="F112" s="47">
        <f t="shared" si="4"/>
        <v>69.820762734028833</v>
      </c>
      <c r="G112" s="47">
        <f t="shared" si="4"/>
        <v>66.332585784056477</v>
      </c>
      <c r="H112" s="47">
        <f t="shared" si="4"/>
        <v>83.51150585772082</v>
      </c>
      <c r="I112" s="47">
        <f t="shared" si="4"/>
        <v>94.623772681009598</v>
      </c>
      <c r="J112" s="47">
        <f t="shared" si="3"/>
        <v>95.780459803424321</v>
      </c>
      <c r="K112" s="47">
        <f t="shared" si="3"/>
        <v>58.705211704347981</v>
      </c>
    </row>
    <row r="113" spans="3:11" x14ac:dyDescent="0.2">
      <c r="C113" s="88" t="s">
        <v>138</v>
      </c>
      <c r="D113" s="116">
        <f t="shared" si="4"/>
        <v>96.819152664304497</v>
      </c>
      <c r="E113" s="116">
        <f t="shared" si="4"/>
        <v>99.228299196411911</v>
      </c>
      <c r="F113" s="116">
        <f t="shared" si="4"/>
        <v>97.24193810835628</v>
      </c>
      <c r="G113" s="116">
        <f t="shared" si="4"/>
        <v>95.924261025294243</v>
      </c>
      <c r="H113" s="116">
        <f t="shared" si="4"/>
        <v>93.310183123885551</v>
      </c>
      <c r="I113" s="116">
        <f t="shared" si="4"/>
        <v>96.843487571143271</v>
      </c>
      <c r="J113" s="116">
        <f t="shared" si="3"/>
        <v>98.013831136952263</v>
      </c>
      <c r="K113" s="116">
        <f t="shared" si="3"/>
        <v>40.012677509819802</v>
      </c>
    </row>
    <row r="114" spans="3:11" x14ac:dyDescent="0.2">
      <c r="C114" s="87" t="s">
        <v>160</v>
      </c>
      <c r="D114" s="47">
        <f t="shared" si="4"/>
        <v>98.284013827744872</v>
      </c>
      <c r="E114" s="47">
        <f t="shared" si="4"/>
        <v>97.428683229731462</v>
      </c>
      <c r="F114" s="47">
        <f t="shared" si="4"/>
        <v>96.921543328920905</v>
      </c>
      <c r="G114" s="47">
        <f t="shared" si="4"/>
        <v>86.594619438544356</v>
      </c>
      <c r="H114" s="47">
        <f t="shared" si="4"/>
        <v>95.673186708263799</v>
      </c>
      <c r="I114" s="47">
        <f t="shared" si="4"/>
        <v>89.956378220202154</v>
      </c>
      <c r="J114" s="47">
        <f t="shared" si="3"/>
        <v>98.062346165346668</v>
      </c>
      <c r="K114" s="47">
        <f t="shared" si="3"/>
        <v>69.778268328921087</v>
      </c>
    </row>
    <row r="115" spans="3:11" x14ac:dyDescent="0.2">
      <c r="C115" s="88" t="s">
        <v>161</v>
      </c>
      <c r="D115" s="116">
        <f t="shared" si="4"/>
        <v>96.198025193417351</v>
      </c>
      <c r="E115" s="116">
        <f t="shared" si="4"/>
        <v>95.512346391539339</v>
      </c>
      <c r="F115" s="116">
        <f t="shared" si="4"/>
        <v>86.346879238691969</v>
      </c>
      <c r="G115" s="116">
        <f t="shared" si="4"/>
        <v>86.612955067596147</v>
      </c>
      <c r="H115" s="116">
        <f t="shared" si="4"/>
        <v>90.616153826354136</v>
      </c>
      <c r="I115" s="116">
        <f t="shared" si="4"/>
        <v>94.032563548484816</v>
      </c>
      <c r="J115" s="116">
        <f t="shared" si="3"/>
        <v>97.163852963276881</v>
      </c>
      <c r="K115" s="116">
        <f t="shared" si="3"/>
        <v>54.425176744226647</v>
      </c>
    </row>
    <row r="116" spans="3:11" x14ac:dyDescent="0.2">
      <c r="C116" s="87" t="s">
        <v>140</v>
      </c>
      <c r="D116" s="47">
        <f t="shared" si="4"/>
        <v>96.723105254905676</v>
      </c>
      <c r="E116" s="47">
        <f t="shared" si="4"/>
        <v>97.186837623110947</v>
      </c>
      <c r="F116" s="47">
        <f t="shared" si="4"/>
        <v>95.050118617307845</v>
      </c>
      <c r="G116" s="47">
        <f t="shared" si="4"/>
        <v>92.341418502567933</v>
      </c>
      <c r="H116" s="47">
        <f t="shared" si="4"/>
        <v>92.245421400287213</v>
      </c>
      <c r="I116" s="47">
        <f t="shared" si="4"/>
        <v>97.624183153044115</v>
      </c>
      <c r="J116" s="47">
        <f t="shared" si="3"/>
        <v>95.875749211464083</v>
      </c>
      <c r="K116" s="47">
        <f t="shared" si="3"/>
        <v>58.54405394234854</v>
      </c>
    </row>
    <row r="117" spans="3:11" x14ac:dyDescent="0.2">
      <c r="C117" s="88" t="s">
        <v>141</v>
      </c>
      <c r="D117" s="116">
        <f t="shared" si="4"/>
        <v>95.696579019592534</v>
      </c>
      <c r="E117" s="116">
        <f t="shared" si="4"/>
        <v>86.562899245216869</v>
      </c>
      <c r="F117" s="116">
        <f t="shared" si="4"/>
        <v>88.984459067861295</v>
      </c>
      <c r="G117" s="116">
        <f t="shared" si="4"/>
        <v>90.688223742540529</v>
      </c>
      <c r="H117" s="116">
        <f t="shared" si="4"/>
        <v>92.460535934012427</v>
      </c>
      <c r="I117" s="116">
        <f t="shared" si="4"/>
        <v>91.178596411919145</v>
      </c>
      <c r="J117" s="116">
        <f t="shared" si="3"/>
        <v>97.118011410624263</v>
      </c>
      <c r="K117" s="116">
        <f t="shared" si="3"/>
        <v>44.834054095864467</v>
      </c>
    </row>
    <row r="118" spans="3:11" x14ac:dyDescent="0.2">
      <c r="C118" s="87" t="s">
        <v>142</v>
      </c>
      <c r="D118" s="47">
        <f t="shared" ref="D118:I127" si="5">+IFERROR(IF(D77&gt;0,+((D77/D35)*100)," "),"0")</f>
        <v>95.936369476775013</v>
      </c>
      <c r="E118" s="47">
        <f t="shared" si="5"/>
        <v>92.706348354978857</v>
      </c>
      <c r="F118" s="47">
        <f t="shared" si="5"/>
        <v>66.234018090875153</v>
      </c>
      <c r="G118" s="47">
        <f t="shared" si="5"/>
        <v>89.134558772345301</v>
      </c>
      <c r="H118" s="47">
        <f t="shared" si="5"/>
        <v>92.624695328167292</v>
      </c>
      <c r="I118" s="47">
        <f t="shared" si="5"/>
        <v>87.418958007683585</v>
      </c>
      <c r="J118" s="47">
        <f t="shared" si="3"/>
        <v>93.40422413880782</v>
      </c>
      <c r="K118" s="47">
        <f t="shared" si="3"/>
        <v>56.045139535078135</v>
      </c>
    </row>
    <row r="119" spans="3:11" x14ac:dyDescent="0.2">
      <c r="C119" s="88" t="s">
        <v>143</v>
      </c>
      <c r="D119" s="116">
        <f t="shared" si="5"/>
        <v>96.920646896116409</v>
      </c>
      <c r="E119" s="116">
        <f t="shared" si="5"/>
        <v>99.034078219576799</v>
      </c>
      <c r="F119" s="116">
        <f t="shared" si="5"/>
        <v>98.416158303887642</v>
      </c>
      <c r="G119" s="116">
        <f t="shared" si="5"/>
        <v>98.118404055442284</v>
      </c>
      <c r="H119" s="116">
        <f t="shared" si="5"/>
        <v>96.540657035985291</v>
      </c>
      <c r="I119" s="116">
        <f t="shared" si="5"/>
        <v>93.457551101674241</v>
      </c>
      <c r="J119" s="116">
        <f t="shared" si="3"/>
        <v>98.89175257383755</v>
      </c>
      <c r="K119" s="116">
        <f t="shared" si="3"/>
        <v>93.395216842536314</v>
      </c>
    </row>
    <row r="120" spans="3:11" x14ac:dyDescent="0.2">
      <c r="C120" s="87" t="s">
        <v>144</v>
      </c>
      <c r="D120" s="47">
        <f t="shared" si="5"/>
        <v>98.918704604490898</v>
      </c>
      <c r="E120" s="47">
        <f t="shared" si="5"/>
        <v>98.751317180580699</v>
      </c>
      <c r="F120" s="47">
        <f t="shared" si="5"/>
        <v>96.512791732433726</v>
      </c>
      <c r="G120" s="47">
        <f t="shared" si="5"/>
        <v>97.561948772370755</v>
      </c>
      <c r="H120" s="47">
        <f t="shared" si="5"/>
        <v>91.720929981261691</v>
      </c>
      <c r="I120" s="47">
        <f t="shared" si="5"/>
        <v>96.985747994614371</v>
      </c>
      <c r="J120" s="47">
        <f t="shared" si="3"/>
        <v>98.222812186360969</v>
      </c>
      <c r="K120" s="47">
        <f t="shared" si="3"/>
        <v>42.367254595452145</v>
      </c>
    </row>
    <row r="121" spans="3:11" x14ac:dyDescent="0.2">
      <c r="C121" s="88" t="s">
        <v>145</v>
      </c>
      <c r="D121" s="116">
        <f t="shared" si="5"/>
        <v>95.716951599409029</v>
      </c>
      <c r="E121" s="116">
        <f t="shared" si="5"/>
        <v>96.950427217147762</v>
      </c>
      <c r="F121" s="116">
        <f t="shared" si="5"/>
        <v>93.873059377475684</v>
      </c>
      <c r="G121" s="116">
        <f t="shared" si="5"/>
        <v>96.912374054234306</v>
      </c>
      <c r="H121" s="116">
        <f t="shared" si="5"/>
        <v>94.642443287448401</v>
      </c>
      <c r="I121" s="116">
        <f t="shared" si="5"/>
        <v>68.587058330965689</v>
      </c>
      <c r="J121" s="116">
        <f t="shared" si="3"/>
        <v>95.280202900726337</v>
      </c>
      <c r="K121" s="116">
        <f t="shared" si="3"/>
        <v>64.144555337432422</v>
      </c>
    </row>
    <row r="122" spans="3:11" x14ac:dyDescent="0.2">
      <c r="C122" s="87" t="s">
        <v>146</v>
      </c>
      <c r="D122" s="47">
        <f t="shared" si="5"/>
        <v>96.834433124453767</v>
      </c>
      <c r="E122" s="47">
        <f t="shared" si="5"/>
        <v>92.873344477693422</v>
      </c>
      <c r="F122" s="47">
        <f t="shared" si="5"/>
        <v>91.748720108782862</v>
      </c>
      <c r="G122" s="47">
        <f t="shared" si="5"/>
        <v>96.220643379549216</v>
      </c>
      <c r="H122" s="47">
        <f t="shared" si="5"/>
        <v>93.56527706695789</v>
      </c>
      <c r="I122" s="47">
        <f t="shared" si="5"/>
        <v>95.628639491775502</v>
      </c>
      <c r="J122" s="47">
        <f t="shared" si="3"/>
        <v>95.367328257146468</v>
      </c>
      <c r="K122" s="47">
        <f t="shared" si="3"/>
        <v>58.191262071005667</v>
      </c>
    </row>
    <row r="123" spans="3:11" x14ac:dyDescent="0.2">
      <c r="C123" s="88" t="s">
        <v>162</v>
      </c>
      <c r="D123" s="116">
        <f t="shared" si="5"/>
        <v>99.716740310899283</v>
      </c>
      <c r="E123" s="116">
        <f t="shared" si="5"/>
        <v>97.621735274052142</v>
      </c>
      <c r="F123" s="116">
        <f t="shared" si="5"/>
        <v>99.518702790926255</v>
      </c>
      <c r="G123" s="116">
        <f t="shared" si="5"/>
        <v>99.65273128766502</v>
      </c>
      <c r="H123" s="116">
        <f t="shared" si="5"/>
        <v>98.92877005193408</v>
      </c>
      <c r="I123" s="116">
        <f t="shared" si="5"/>
        <v>98.640004268002613</v>
      </c>
      <c r="J123" s="116">
        <f t="shared" si="3"/>
        <v>99.041970321556278</v>
      </c>
      <c r="K123" s="116">
        <f t="shared" si="3"/>
        <v>52.628103603093578</v>
      </c>
    </row>
    <row r="124" spans="3:11" x14ac:dyDescent="0.2">
      <c r="C124" s="87" t="s">
        <v>148</v>
      </c>
      <c r="D124" s="47">
        <f t="shared" si="5"/>
        <v>92.121058708906943</v>
      </c>
      <c r="E124" s="47">
        <f t="shared" si="5"/>
        <v>96.845274654608076</v>
      </c>
      <c r="F124" s="47">
        <f t="shared" si="5"/>
        <v>95.330987537885932</v>
      </c>
      <c r="G124" s="47">
        <f t="shared" si="5"/>
        <v>97.146339628881151</v>
      </c>
      <c r="H124" s="47">
        <f t="shared" si="5"/>
        <v>92.60102695090157</v>
      </c>
      <c r="I124" s="47">
        <f t="shared" si="5"/>
        <v>98.22522883247342</v>
      </c>
      <c r="J124" s="47">
        <f t="shared" si="3"/>
        <v>99.39355450343777</v>
      </c>
      <c r="K124" s="47">
        <f t="shared" si="3"/>
        <v>62.211405714490432</v>
      </c>
    </row>
    <row r="125" spans="3:11" x14ac:dyDescent="0.2">
      <c r="C125" s="88" t="s">
        <v>149</v>
      </c>
      <c r="D125" s="116">
        <f t="shared" si="5"/>
        <v>93.132661252905265</v>
      </c>
      <c r="E125" s="116">
        <f t="shared" si="5"/>
        <v>99.313350385048409</v>
      </c>
      <c r="F125" s="116">
        <f t="shared" si="5"/>
        <v>86.066312810013358</v>
      </c>
      <c r="G125" s="116">
        <f t="shared" si="5"/>
        <v>86.912627378052292</v>
      </c>
      <c r="H125" s="116">
        <f t="shared" si="5"/>
        <v>97.07806485690935</v>
      </c>
      <c r="I125" s="116">
        <f t="shared" si="5"/>
        <v>94.603111271307327</v>
      </c>
      <c r="J125" s="116">
        <f t="shared" si="3"/>
        <v>96.217819001916922</v>
      </c>
      <c r="K125" s="116">
        <f t="shared" si="3"/>
        <v>74.844124708055887</v>
      </c>
    </row>
    <row r="126" spans="3:11" x14ac:dyDescent="0.2">
      <c r="C126" s="87" t="s">
        <v>163</v>
      </c>
      <c r="D126" s="47">
        <f t="shared" si="5"/>
        <v>99.258386056930846</v>
      </c>
      <c r="E126" s="47">
        <f t="shared" si="5"/>
        <v>98.880642768629627</v>
      </c>
      <c r="F126" s="47">
        <f t="shared" si="5"/>
        <v>98.076689524915452</v>
      </c>
      <c r="G126" s="47">
        <f t="shared" si="5"/>
        <v>86.433168802601969</v>
      </c>
      <c r="H126" s="47">
        <f t="shared" si="5"/>
        <v>98.015933589504172</v>
      </c>
      <c r="I126" s="47">
        <f t="shared" si="5"/>
        <v>91.770825036602261</v>
      </c>
      <c r="J126" s="47">
        <f t="shared" si="3"/>
        <v>99.128409200676259</v>
      </c>
      <c r="K126" s="47">
        <f t="shared" si="3"/>
        <v>37.806098313273203</v>
      </c>
    </row>
    <row r="127" spans="3:11" x14ac:dyDescent="0.2">
      <c r="C127" s="88" t="s">
        <v>150</v>
      </c>
      <c r="D127" s="116">
        <f t="shared" si="5"/>
        <v>98.26192205842213</v>
      </c>
      <c r="E127" s="116">
        <f t="shared" si="5"/>
        <v>97.796480551720933</v>
      </c>
      <c r="F127" s="116">
        <f t="shared" si="5"/>
        <v>95.694564865410314</v>
      </c>
      <c r="G127" s="116">
        <f t="shared" si="5"/>
        <v>95.621506185070004</v>
      </c>
      <c r="H127" s="116">
        <f t="shared" si="5"/>
        <v>91.447480759829745</v>
      </c>
      <c r="I127" s="116">
        <f t="shared" si="5"/>
        <v>95.75729782937546</v>
      </c>
      <c r="J127" s="116">
        <f t="shared" si="3"/>
        <v>97.659406778269414</v>
      </c>
      <c r="K127" s="116">
        <f t="shared" si="3"/>
        <v>63.667651555498907</v>
      </c>
    </row>
    <row r="128" spans="3:11" x14ac:dyDescent="0.2">
      <c r="C128" s="87" t="s">
        <v>151</v>
      </c>
      <c r="D128" s="47">
        <f t="shared" ref="D128:I128" si="6">+IFERROR(IF(D87&gt;0,+((D87/D45)*100)," "),"0")</f>
        <v>99.164725373538786</v>
      </c>
      <c r="E128" s="47">
        <f t="shared" si="6"/>
        <v>98.955042640685249</v>
      </c>
      <c r="F128" s="47">
        <f t="shared" si="6"/>
        <v>99.549088542446768</v>
      </c>
      <c r="G128" s="47">
        <f t="shared" si="6"/>
        <v>98.813055176962123</v>
      </c>
      <c r="H128" s="47">
        <f t="shared" si="6"/>
        <v>98.758816953641087</v>
      </c>
      <c r="I128" s="47">
        <f t="shared" si="6"/>
        <v>99.31065111884196</v>
      </c>
      <c r="J128" s="47">
        <f t="shared" si="3"/>
        <v>99.844229244380728</v>
      </c>
      <c r="K128" s="47">
        <f t="shared" si="3"/>
        <v>57.297536476779122</v>
      </c>
    </row>
    <row r="129" spans="1:11" x14ac:dyDescent="0.2">
      <c r="C129" s="91" t="s">
        <v>154</v>
      </c>
      <c r="D129" s="74">
        <f t="shared" ref="D129:I129" si="7">+IFERROR(IF(D88&gt;0,+((D88/D46)*100)," "),"")</f>
        <v>98.653732946933232</v>
      </c>
      <c r="E129" s="74">
        <f t="shared" si="7"/>
        <v>90.938302753094533</v>
      </c>
      <c r="F129" s="74">
        <f t="shared" si="7"/>
        <v>96.59222997065514</v>
      </c>
      <c r="G129" s="74">
        <f t="shared" si="7"/>
        <v>95.849976232276504</v>
      </c>
      <c r="H129" s="74">
        <f t="shared" si="7"/>
        <v>95.852678171485167</v>
      </c>
      <c r="I129" s="74">
        <f t="shared" si="7"/>
        <v>96.09276119605525</v>
      </c>
      <c r="J129" s="74">
        <f t="shared" si="3"/>
        <v>98.402750381978549</v>
      </c>
      <c r="K129" s="74">
        <f t="shared" si="3"/>
        <v>53.567722041872521</v>
      </c>
    </row>
    <row r="130" spans="1:11" s="31" customFormat="1" x14ac:dyDescent="0.2">
      <c r="A130" s="5"/>
      <c r="B130" s="5"/>
      <c r="C130" s="72" t="str">
        <f>+'C1 Aprop Resumen 2000-2026'!B20</f>
        <v>* Información con corte a 30 de Junio</v>
      </c>
      <c r="D130" s="69"/>
      <c r="E130" s="69"/>
      <c r="F130" s="69"/>
      <c r="G130" s="69"/>
      <c r="H130" s="69"/>
      <c r="I130" s="69"/>
    </row>
    <row r="131" spans="1:11" x14ac:dyDescent="0.2">
      <c r="C131" s="1" t="s">
        <v>52</v>
      </c>
      <c r="D131" s="11"/>
      <c r="E131" s="11"/>
      <c r="F131" s="11"/>
      <c r="G131" s="11"/>
      <c r="H131" s="11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customHeight="1" x14ac:dyDescent="0.2">
      <c r="C136" s="164" t="s">
        <v>156</v>
      </c>
      <c r="D136" s="160"/>
      <c r="E136" s="182"/>
      <c r="F136" s="182"/>
      <c r="G136" s="182"/>
      <c r="H136" s="182"/>
      <c r="I136" s="182"/>
      <c r="J136" s="182"/>
      <c r="K136" s="182"/>
    </row>
    <row r="137" spans="1:11" x14ac:dyDescent="0.2"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C138" s="181" t="s">
        <v>120</v>
      </c>
      <c r="D138" s="155">
        <v>2019</v>
      </c>
      <c r="E138" s="155">
        <v>2020</v>
      </c>
      <c r="F138" s="155">
        <v>2021</v>
      </c>
      <c r="G138" s="155">
        <v>2022</v>
      </c>
      <c r="H138" s="155">
        <v>2023</v>
      </c>
      <c r="I138" s="155">
        <v>2024</v>
      </c>
      <c r="J138" s="155">
        <v>2025</v>
      </c>
      <c r="K138" s="155" t="s">
        <v>36</v>
      </c>
    </row>
    <row r="139" spans="1:11" ht="12" customHeight="1" thickBot="1" x14ac:dyDescent="0.25">
      <c r="C139" s="162"/>
      <c r="D139" s="156"/>
      <c r="E139" s="156"/>
      <c r="F139" s="156"/>
      <c r="G139" s="156"/>
      <c r="H139" s="156"/>
      <c r="I139" s="156"/>
      <c r="J139" s="156"/>
      <c r="K139" s="156"/>
    </row>
    <row r="140" spans="1:11" x14ac:dyDescent="0.2">
      <c r="C140" s="87" t="s">
        <v>123</v>
      </c>
      <c r="D140" s="42">
        <f>1427.39016331352*Deflactores!$T$5</f>
        <v>2220.0836971941021</v>
      </c>
      <c r="E140" s="42">
        <f>1439.68168910376*Deflactores!$U$5</f>
        <v>2203.7213428249975</v>
      </c>
      <c r="F140" s="42">
        <f>1913.3237407324*Deflactores!$V$5</f>
        <v>2772.8890574700636</v>
      </c>
      <c r="G140" s="42">
        <f>1926.38510411994*Deflactores!$W$5</f>
        <v>2468.0147365102944</v>
      </c>
      <c r="H140" s="42">
        <f>3995.59216300816*Deflactores!$X$5</f>
        <v>4684.3043394402694</v>
      </c>
      <c r="I140" s="42">
        <f>3041.33736576284*Deflactores!$Y$5</f>
        <v>3389.3218289787928</v>
      </c>
      <c r="J140" s="42">
        <f>3004.54220337808*Deflactores!$Z$5</f>
        <v>3185.8079273477674</v>
      </c>
      <c r="K140" s="42">
        <f>1273.61191649904*Deflactores!$AA$5</f>
        <v>1273.61191649904</v>
      </c>
    </row>
    <row r="141" spans="1:11" x14ac:dyDescent="0.2">
      <c r="C141" s="88" t="s">
        <v>124</v>
      </c>
      <c r="D141" s="50">
        <f>553.92163483501*Deflactores!$T$5</f>
        <v>861.53906803279585</v>
      </c>
      <c r="E141" s="50">
        <f>592.98317804759*Deflactores!$U$5</f>
        <v>907.67959007186391</v>
      </c>
      <c r="F141" s="50">
        <f>792.38339647713*Deflactores!$V$5</f>
        <v>1148.3635532433916</v>
      </c>
      <c r="G141" s="50">
        <f>863.964767359409*Deflactores!$W$5</f>
        <v>1106.8803289168034</v>
      </c>
      <c r="H141" s="50">
        <f>999.052547272*Deflactores!$X$5</f>
        <v>1171.2572233577903</v>
      </c>
      <c r="I141" s="50">
        <f>1117.95325194925*Deflactores!$Y$5</f>
        <v>1245.8674934469243</v>
      </c>
      <c r="J141" s="50">
        <f>1423.88177474573*Deflactores!$Z$5</f>
        <v>1509.7853644694285</v>
      </c>
      <c r="K141" s="50">
        <f>556.87736561186*Deflactores!$AA$5</f>
        <v>556.87736561186</v>
      </c>
    </row>
    <row r="142" spans="1:11" x14ac:dyDescent="0.2">
      <c r="C142" s="87" t="s">
        <v>125</v>
      </c>
      <c r="D142" s="42">
        <f>156.9631704478*Deflactores!$T$5</f>
        <v>244.13183215591462</v>
      </c>
      <c r="E142" s="42">
        <f>182.164232197009*Deflactores!$U$5</f>
        <v>278.83886377813405</v>
      </c>
      <c r="F142" s="42">
        <f>360.28363559592*Deflactores!$V$5</f>
        <v>522.14193001496005</v>
      </c>
      <c r="G142" s="42">
        <f>289.96073695917*Deflactores!$W$5</f>
        <v>371.48718098687107</v>
      </c>
      <c r="H142" s="42">
        <f>319.52175787501*Deflactores!$X$5</f>
        <v>374.5970799563899</v>
      </c>
      <c r="I142" s="42">
        <f>328.486339277249*Deflactores!$Y$5</f>
        <v>366.07116749590193</v>
      </c>
      <c r="J142" s="42">
        <f>268.60777290051*Deflactores!$Z$5</f>
        <v>284.8130311804415</v>
      </c>
      <c r="K142" s="42">
        <f>104.90612981379*Deflactores!$AA$5</f>
        <v>104.90612981379</v>
      </c>
    </row>
    <row r="143" spans="1:11" x14ac:dyDescent="0.2">
      <c r="C143" s="88" t="s">
        <v>126</v>
      </c>
      <c r="D143" s="50">
        <f>862.23771745356*Deflactores!$T$5</f>
        <v>1341.0768469784168</v>
      </c>
      <c r="E143" s="50">
        <f>926.53039038484*Deflactores!$U$5</f>
        <v>1418.2404426760004</v>
      </c>
      <c r="F143" s="50">
        <f>881.750204977329*Deflactores!$V$5</f>
        <v>1277.8786165417582</v>
      </c>
      <c r="G143" s="50">
        <f>951.67379521335*Deflactores!$W$5</f>
        <v>1219.2499547021989</v>
      </c>
      <c r="H143" s="50">
        <f>1080.51842096097*Deflactores!$X$5</f>
        <v>1266.7652056715388</v>
      </c>
      <c r="I143" s="50">
        <f>1041.44880616576*Deflactores!$Y$5</f>
        <v>1160.6095437610734</v>
      </c>
      <c r="J143" s="50">
        <f>1257.57553686961*Deflactores!$Z$5</f>
        <v>1333.4457775608348</v>
      </c>
      <c r="K143" s="50">
        <f>617.42559340815*Deflactores!$AA$5</f>
        <v>617.42559340815001</v>
      </c>
    </row>
    <row r="144" spans="1:11" x14ac:dyDescent="0.2">
      <c r="C144" s="87" t="s">
        <v>127</v>
      </c>
      <c r="D144" s="42">
        <f>590.74732759686*Deflactores!$T$5</f>
        <v>918.81571336757577</v>
      </c>
      <c r="E144" s="42">
        <f>641.05703782282*Deflactores!$U$5</f>
        <v>981.26626664104492</v>
      </c>
      <c r="F144" s="42">
        <f>722.891786365659*Deflactores!$V$5</f>
        <v>1047.6526692660082</v>
      </c>
      <c r="G144" s="42">
        <f>860.374365491189*Deflactores!$W$5</f>
        <v>1102.2804362464281</v>
      </c>
      <c r="H144" s="42">
        <f>1029.84790740124*Deflactores!$X$5</f>
        <v>1207.3607177092808</v>
      </c>
      <c r="I144" s="42">
        <f>1105.41480856526*Deflactores!$Y$5</f>
        <v>1231.8944234609471</v>
      </c>
      <c r="J144" s="42">
        <f>1241.12687203137*Deflactores!$Z$5</f>
        <v>1316.0047555052838</v>
      </c>
      <c r="K144" s="42">
        <f>692.68139726635*Deflactores!$AA$5</f>
        <v>692.68139726635002</v>
      </c>
    </row>
    <row r="145" spans="3:11" x14ac:dyDescent="0.2">
      <c r="C145" s="88" t="s">
        <v>128</v>
      </c>
      <c r="D145" s="50">
        <f>363.63161473374*Deflactores!$T$5</f>
        <v>565.57249755785551</v>
      </c>
      <c r="E145" s="50">
        <f>361.402256784319*Deflactores!$U$5</f>
        <v>553.19858038655934</v>
      </c>
      <c r="F145" s="50">
        <f>507.491207840489*Deflactores!$V$5</f>
        <v>735.48286002267969</v>
      </c>
      <c r="G145" s="50">
        <f>450.435169529809*Deflactores!$W$5</f>
        <v>577.08120451333502</v>
      </c>
      <c r="H145" s="50">
        <f>605.68737496236*Deflactores!$X$5</f>
        <v>710.08848829664055</v>
      </c>
      <c r="I145" s="50">
        <f>854.5531835272*Deflactores!$Y$5</f>
        <v>952.32965324962697</v>
      </c>
      <c r="J145" s="50">
        <f>714.17228777889*Deflactores!$Z$5</f>
        <v>757.25870428446581</v>
      </c>
      <c r="K145" s="50">
        <f>386.87886396781*Deflactores!$AA$5</f>
        <v>386.87886396780999</v>
      </c>
    </row>
    <row r="146" spans="3:11" x14ac:dyDescent="0.2">
      <c r="C146" s="87" t="s">
        <v>129</v>
      </c>
      <c r="D146" s="42">
        <f>32273.5575669714*Deflactores!$T$5</f>
        <v>50196.506075508769</v>
      </c>
      <c r="E146" s="42">
        <f>34268.7510221385*Deflactores!$U$5</f>
        <v>52455.19102660464</v>
      </c>
      <c r="F146" s="42">
        <f>36526.1412894302*Deflactores!$V$5</f>
        <v>52935.598580037717</v>
      </c>
      <c r="G146" s="42">
        <f>40165.5010109871*Deflactores!$W$5</f>
        <v>51458.583323982835</v>
      </c>
      <c r="H146" s="42">
        <f>45222.3535883825*Deflactores!$X$5</f>
        <v>53017.239625947732</v>
      </c>
      <c r="I146" s="42">
        <f>50164.5798986244*Deflactores!$Y$5</f>
        <v>55904.322751551234</v>
      </c>
      <c r="J146" s="42">
        <f>55459.9014381672*Deflactores!$Z$5</f>
        <v>58805.828539531947</v>
      </c>
      <c r="K146" s="42">
        <f>27711.0013686016*Deflactores!$AA$5</f>
        <v>27711.001368601599</v>
      </c>
    </row>
    <row r="147" spans="3:11" x14ac:dyDescent="0.2">
      <c r="C147" s="88" t="s">
        <v>130</v>
      </c>
      <c r="D147" s="50">
        <f>265.50080154778*Deflactores!$T$5</f>
        <v>412.94525929749341</v>
      </c>
      <c r="E147" s="50">
        <f>241.73299196914*Deflactores!$U$5</f>
        <v>370.02078841397571</v>
      </c>
      <c r="F147" s="50">
        <f>671.605856234279*Deflactores!$V$5</f>
        <v>973.32641101917272</v>
      </c>
      <c r="G147" s="50">
        <f>556.1626767964*Deflactores!$W$5</f>
        <v>712.53545269578944</v>
      </c>
      <c r="H147" s="50">
        <f>560.386603394199*Deflactores!$X$5</f>
        <v>656.9793139416264</v>
      </c>
      <c r="I147" s="50">
        <f>381.37251859876*Deflactores!$Y$5</f>
        <v>425.00849028144052</v>
      </c>
      <c r="J147" s="50">
        <f>303.56938040264*Deflactores!$Z$5</f>
        <v>321.88389216148499</v>
      </c>
      <c r="K147" s="50">
        <f>268.79058012281*Deflactores!$AA$5</f>
        <v>268.79058012281001</v>
      </c>
    </row>
    <row r="148" spans="3:11" x14ac:dyDescent="0.2">
      <c r="C148" s="87" t="s">
        <v>131</v>
      </c>
      <c r="D148" s="42">
        <f>41301.5020213789*Deflactores!$T$5</f>
        <v>64238.071456537444</v>
      </c>
      <c r="E148" s="42">
        <f>44559.2266310879*Deflactores!$U$5</f>
        <v>68206.826196306007</v>
      </c>
      <c r="F148" s="42">
        <f>48030.2840783423*Deflactores!$V$5</f>
        <v>69608.005332664237</v>
      </c>
      <c r="G148" s="42">
        <f>49639.3302599511*Deflactores!$W$5</f>
        <v>63596.109796555495</v>
      </c>
      <c r="H148" s="42">
        <f>57885.4014038318*Deflactores!$X$5</f>
        <v>67862.991497627838</v>
      </c>
      <c r="I148" s="42">
        <f>67589.1345819209*Deflactores!$Y$5</f>
        <v>75322.564283436819</v>
      </c>
      <c r="J148" s="42">
        <f>78036.505969929*Deflactores!$Z$5</f>
        <v>82744.492342961152</v>
      </c>
      <c r="K148" s="42">
        <f>44011.2261797989*Deflactores!$AA$5</f>
        <v>44011.226179798898</v>
      </c>
    </row>
    <row r="149" spans="3:11" x14ac:dyDescent="0.2">
      <c r="C149" s="88" t="s">
        <v>132</v>
      </c>
      <c r="D149" s="50">
        <f>352.34872515736*Deflactores!$T$5</f>
        <v>548.02371527704292</v>
      </c>
      <c r="E149" s="50">
        <f>246.13729524877*Deflactores!$U$5</f>
        <v>376.76245722247245</v>
      </c>
      <c r="F149" s="50">
        <f>296.538243579559*Deflactores!$V$5</f>
        <v>429.75876650565999</v>
      </c>
      <c r="G149" s="50">
        <f>346.0662886939*Deflactores!$W$5</f>
        <v>443.36757924431782</v>
      </c>
      <c r="H149" s="50">
        <f>409.48866905198*Deflactores!$X$5</f>
        <v>480.07140647399785</v>
      </c>
      <c r="I149" s="50">
        <f>495.58572267546*Deflactores!$Y$5</f>
        <v>552.28976794978416</v>
      </c>
      <c r="J149" s="50">
        <f>521.25009868281*Deflactores!$Z$5</f>
        <v>552.69741082266899</v>
      </c>
      <c r="K149" s="50">
        <f>194.90003489973*Deflactores!$AA$5</f>
        <v>194.90003489973</v>
      </c>
    </row>
    <row r="150" spans="3:11" x14ac:dyDescent="0.2">
      <c r="C150" s="87" t="s">
        <v>133</v>
      </c>
      <c r="D150" s="42">
        <f>3650.65686514901*Deflactores!$T$5</f>
        <v>5678.0297347382439</v>
      </c>
      <c r="E150" s="42">
        <f>3771.89104399122*Deflactores!$U$5</f>
        <v>5773.6351440494291</v>
      </c>
      <c r="F150" s="42">
        <f>4148.41512375744*Deflactores!$V$5</f>
        <v>6012.1006485327271</v>
      </c>
      <c r="G150" s="42">
        <f>4515.40158356137*Deflactores!$W$5</f>
        <v>5784.9687612604848</v>
      </c>
      <c r="H150" s="42">
        <f>5163.98332446343*Deflactores!$X$5</f>
        <v>6054.0887329625675</v>
      </c>
      <c r="I150" s="42">
        <f>5592.34199938575*Deflactores!$Y$5</f>
        <v>6232.2079184657805</v>
      </c>
      <c r="J150" s="42">
        <f>6324.24086103931*Deflactores!$Z$5</f>
        <v>6705.7858754332101</v>
      </c>
      <c r="K150" s="42">
        <f>2898.42732910006*Deflactores!$AA$5</f>
        <v>2898.42732910006</v>
      </c>
    </row>
    <row r="151" spans="3:11" x14ac:dyDescent="0.2">
      <c r="C151" s="88" t="s">
        <v>134</v>
      </c>
      <c r="D151" s="50">
        <f>8507.91077187468*Deflactores!$T$5</f>
        <v>13232.733759334686</v>
      </c>
      <c r="E151" s="50">
        <f>16925.5132998668*Deflactores!$U$5</f>
        <v>25907.890042280462</v>
      </c>
      <c r="F151" s="50">
        <f>18737.0321461757*Deflactores!$V$5</f>
        <v>27154.689141999217</v>
      </c>
      <c r="G151" s="50">
        <f>14118.9291838058*Deflactores!$W$5</f>
        <v>18088.660058081728</v>
      </c>
      <c r="H151" s="50">
        <f>34080.3437016472*Deflactores!$X$5</f>
        <v>39954.703928303767</v>
      </c>
      <c r="I151" s="50">
        <f>22906.2762915399*Deflactores!$Y$5</f>
        <v>25527.172068943568</v>
      </c>
      <c r="J151" s="50">
        <f>17232.5089101619*Deflactores!$Z$5</f>
        <v>18272.155881970975</v>
      </c>
      <c r="K151" s="50">
        <f>8788.37291104176*Deflactores!$AA$5</f>
        <v>8788.3729110417607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3.4164447406132887</v>
      </c>
      <c r="I152" s="42">
        <f>9980.51107063877*Deflactores!$Y$5</f>
        <v>11122.463563852551</v>
      </c>
      <c r="J152" s="42">
        <f>10601.4795202732*Deflactores!$Z$5</f>
        <v>11241.072752889982</v>
      </c>
      <c r="K152" s="42">
        <f>5104.24790146755*Deflactores!$AA$5</f>
        <v>5104.24790146755</v>
      </c>
    </row>
    <row r="153" spans="3:11" x14ac:dyDescent="0.2">
      <c r="C153" s="88" t="s">
        <v>136</v>
      </c>
      <c r="D153" s="50">
        <f>10243.1559765353*Deflactores!$T$5</f>
        <v>15931.638157385469</v>
      </c>
      <c r="E153" s="50">
        <f>17476.4537684412*Deflactores!$U$5</f>
        <v>26751.214839985729</v>
      </c>
      <c r="F153" s="50">
        <f>21997.3889437599*Deflactores!$V$5</f>
        <v>31879.769114094641</v>
      </c>
      <c r="G153" s="50">
        <f>22513.4279871354*Deflactores!$W$5</f>
        <v>28843.387504803912</v>
      </c>
      <c r="H153" s="50">
        <f>19422.4595347473*Deflactores!$X$5</f>
        <v>22770.269779667204</v>
      </c>
      <c r="I153" s="50">
        <f>9671.93411688228*Deflactores!$Y$5</f>
        <v>10778.579778692687</v>
      </c>
      <c r="J153" s="50">
        <f>8005.92522097939*Deflactores!$Z$5</f>
        <v>8488.9272003146743</v>
      </c>
      <c r="K153" s="50">
        <f>4858.99135163336*Deflactores!$AA$5</f>
        <v>4858.99135163336</v>
      </c>
    </row>
    <row r="154" spans="3:11" x14ac:dyDescent="0.2">
      <c r="C154" s="87" t="s">
        <v>137</v>
      </c>
      <c r="D154" s="42">
        <f>324.17422811267*Deflactores!$T$5</f>
        <v>504.2026611790115</v>
      </c>
      <c r="E154" s="42">
        <f>322.22993534808*Deflactores!$U$5</f>
        <v>493.23749214713024</v>
      </c>
      <c r="F154" s="42">
        <f>391.591012666129*Deflactores!$V$5</f>
        <v>567.51422193187386</v>
      </c>
      <c r="G154" s="42">
        <f>401.060447321779*Deflactores!$W$5</f>
        <v>513.82410095709145</v>
      </c>
      <c r="H154" s="42">
        <f>558.93967610878*Deflactores!$X$5</f>
        <v>655.28298271325593</v>
      </c>
      <c r="I154" s="42">
        <f>808.08945224346*Deflactores!$Y$5</f>
        <v>900.54962369138525</v>
      </c>
      <c r="J154" s="42">
        <f>731.104037108*Deflactores!$Z$5</f>
        <v>775.21195559040405</v>
      </c>
      <c r="K154" s="42">
        <f>293.10221009824*Deflactores!$AA$5</f>
        <v>293.10221009823999</v>
      </c>
    </row>
    <row r="155" spans="3:11" x14ac:dyDescent="0.2">
      <c r="C155" s="88" t="s">
        <v>138</v>
      </c>
      <c r="D155" s="50">
        <f>91.27763542242*Deflactores!$T$5</f>
        <v>141.96818468282498</v>
      </c>
      <c r="E155" s="50">
        <f>97.64146220211*Deflactores!$U$5</f>
        <v>149.45982561838511</v>
      </c>
      <c r="F155" s="50">
        <f>110.959760434319*Deflactores!$V$5</f>
        <v>160.80870109835493</v>
      </c>
      <c r="G155" s="50">
        <f>106.51005576041*Deflactores!$W$5</f>
        <v>136.45682093421047</v>
      </c>
      <c r="H155" s="50">
        <f>122.721946485169*Deflactores!$X$5</f>
        <v>143.87528131305419</v>
      </c>
      <c r="I155" s="50">
        <f>137.65301361438*Deflactores!$Y$5</f>
        <v>153.40302891748121</v>
      </c>
      <c r="J155" s="50">
        <f>150.50415071102*Deflactores!$Z$5</f>
        <v>159.5841509215023</v>
      </c>
      <c r="K155" s="50">
        <f>64.2086706333599*Deflactores!$AA$5</f>
        <v>64.208670633359901</v>
      </c>
    </row>
    <row r="156" spans="3:11" x14ac:dyDescent="0.2">
      <c r="C156" s="87" t="s">
        <v>160</v>
      </c>
      <c r="D156" s="42">
        <f>1185.59405363986*Deflactores!$T$5</f>
        <v>1844.0074043007046</v>
      </c>
      <c r="E156" s="42">
        <f>1495.83948052694*Deflactores!$U$5</f>
        <v>2289.6820968318207</v>
      </c>
      <c r="F156" s="42">
        <f>1845.60406744711*Deflactores!$V$5</f>
        <v>2674.7461572223783</v>
      </c>
      <c r="G156" s="42">
        <f>2141.12075066603*Deflactores!$W$5</f>
        <v>2743.1262596405199</v>
      </c>
      <c r="H156" s="42">
        <f>2341.06202249934*Deflactores!$X$5</f>
        <v>2744.5861698347908</v>
      </c>
      <c r="I156" s="42">
        <f>2892.46377639536*Deflactores!$Y$5</f>
        <v>3223.4143857987551</v>
      </c>
      <c r="J156" s="42">
        <f>3527.72539111888*Deflactores!$Z$5</f>
        <v>3740.5550515804493</v>
      </c>
      <c r="K156" s="42">
        <f>1627.78024318127*Deflactores!$AA$5</f>
        <v>1627.78024318127</v>
      </c>
    </row>
    <row r="157" spans="3:11" x14ac:dyDescent="0.2">
      <c r="C157" s="88" t="s">
        <v>161</v>
      </c>
      <c r="D157" s="50">
        <f>2115.23165849542*Deflactores!$T$5</f>
        <v>3289.9143076013133</v>
      </c>
      <c r="E157" s="50">
        <f>2365.53731126699*Deflactores!$U$5</f>
        <v>3620.9289175117219</v>
      </c>
      <c r="F157" s="50">
        <f>2358.04986899707*Deflactores!$V$5</f>
        <v>3417.4094741581903</v>
      </c>
      <c r="G157" s="50">
        <f>2698.95827168608*Deflactores!$W$5</f>
        <v>3457.8074620187003</v>
      </c>
      <c r="H157" s="50">
        <f>3215.44122217844*Deflactores!$X$5</f>
        <v>3769.680351691798</v>
      </c>
      <c r="I157" s="50">
        <f>3823.99131869355*Deflactores!$Y$5</f>
        <v>4261.5256683378784</v>
      </c>
      <c r="J157" s="50">
        <f>4219.47032730132*Deflactores!$Z$5</f>
        <v>4474.0333495104778</v>
      </c>
      <c r="K157" s="50">
        <f>1947.21461910562*Deflactores!$AA$5</f>
        <v>1947.2146191056199</v>
      </c>
    </row>
    <row r="158" spans="3:11" x14ac:dyDescent="0.2">
      <c r="C158" s="87" t="s">
        <v>140</v>
      </c>
      <c r="D158" s="42">
        <f>3367.6238464337*Deflactores!$T$5</f>
        <v>5237.8158347357139</v>
      </c>
      <c r="E158" s="42">
        <f>3856.06086932299*Deflactores!$U$5</f>
        <v>5902.4739296708149</v>
      </c>
      <c r="F158" s="42">
        <f>5536.13961854051*Deflactores!$V$5</f>
        <v>8023.26372796756</v>
      </c>
      <c r="G158" s="42">
        <f>4836.43967082153*Deflactores!$W$5</f>
        <v>6196.2711164565517</v>
      </c>
      <c r="H158" s="42">
        <f>7930.26736926501*Deflactores!$X$5</f>
        <v>9297.1915889439078</v>
      </c>
      <c r="I158" s="42">
        <f>8874.16605969585*Deflactores!$Y$5</f>
        <v>9889.5325058967064</v>
      </c>
      <c r="J158" s="42">
        <f>8403.41574545939*Deflactores!$Z$5</f>
        <v>8910.3985520934039</v>
      </c>
      <c r="K158" s="42">
        <f>6614.85197696393*Deflactores!$AA$5</f>
        <v>6614.8519769639297</v>
      </c>
    </row>
    <row r="159" spans="3:11" x14ac:dyDescent="0.2">
      <c r="C159" s="88" t="s">
        <v>141</v>
      </c>
      <c r="D159" s="50">
        <f>1691.23769659666*Deflactores!$T$5</f>
        <v>2630.4575544911113</v>
      </c>
      <c r="E159" s="50">
        <f>1924.58275821286*Deflactores!$U$5</f>
        <v>2945.9596051033809</v>
      </c>
      <c r="F159" s="50">
        <f>2345.81136387222*Deflactores!$V$5</f>
        <v>3399.672791014596</v>
      </c>
      <c r="G159" s="50">
        <f>2706.71033886246*Deflactores!$W$5</f>
        <v>3467.7391293622682</v>
      </c>
      <c r="H159" s="50">
        <f>3281.31384939018*Deflactores!$X$5</f>
        <v>3846.9073110284021</v>
      </c>
      <c r="I159" s="50">
        <f>3740.82190753252*Deflactores!$Y$5</f>
        <v>4168.8401596782078</v>
      </c>
      <c r="J159" s="50">
        <f>3861.998375995*Deflactores!$Z$5</f>
        <v>4094.9949139725359</v>
      </c>
      <c r="K159" s="50">
        <f>1939.23961994633*Deflactores!$AA$5</f>
        <v>1939.2396199463301</v>
      </c>
    </row>
    <row r="160" spans="3:11" x14ac:dyDescent="0.2">
      <c r="C160" s="87" t="s">
        <v>142</v>
      </c>
      <c r="D160" s="42">
        <f>352.7198803017*Deflactores!$T$5</f>
        <v>548.60098945635082</v>
      </c>
      <c r="E160" s="42">
        <f>503.263805069699*Deflactores!$U$5</f>
        <v>770.34610962776765</v>
      </c>
      <c r="F160" s="42">
        <f>889.783972745809*Deflactores!$V$5</f>
        <v>1289.5215739050254</v>
      </c>
      <c r="G160" s="42">
        <f>853.69938132063*Deflactores!$W$5</f>
        <v>1093.7286885903234</v>
      </c>
      <c r="H160" s="42">
        <f>878.79195915721*Deflactores!$X$5</f>
        <v>1030.2675598017306</v>
      </c>
      <c r="I160" s="42">
        <f>871.38899239761*Deflactores!$Y$5</f>
        <v>971.09178570995766</v>
      </c>
      <c r="J160" s="42">
        <f>707.328206750059*Deflactores!$Z$5</f>
        <v>750.00171599102612</v>
      </c>
      <c r="K160" s="42">
        <f>592.232044690929*Deflactores!$AA$5</f>
        <v>592.232044690929</v>
      </c>
    </row>
    <row r="161" spans="1:11" x14ac:dyDescent="0.2">
      <c r="C161" s="88" t="s">
        <v>143</v>
      </c>
      <c r="D161" s="50">
        <f>690.001394184459*Deflactores!$T$5</f>
        <v>1073.1899978307838</v>
      </c>
      <c r="E161" s="50">
        <f>1838.44539395216*Deflactores!$U$5</f>
        <v>2814.1091068490305</v>
      </c>
      <c r="F161" s="50">
        <f>3971.14742043244*Deflactores!$V$5</f>
        <v>5755.195000874488</v>
      </c>
      <c r="G161" s="50">
        <f>1207.73860542414*Deflactores!$W$5</f>
        <v>1547.3109035490052</v>
      </c>
      <c r="H161" s="50">
        <f>889.23332688964*Deflactores!$X$5</f>
        <v>1042.5086850676012</v>
      </c>
      <c r="I161" s="50">
        <f>813.44649034777*Deflactores!$Y$5</f>
        <v>906.51960465765512</v>
      </c>
      <c r="J161" s="50">
        <f>1668.50277964458*Deflactores!$Z$5</f>
        <v>1769.1644924198797</v>
      </c>
      <c r="K161" s="50">
        <f>421.75866804485*Deflactores!$AA$5</f>
        <v>421.75866804485003</v>
      </c>
    </row>
    <row r="162" spans="1:11" x14ac:dyDescent="0.2">
      <c r="C162" s="87" t="s">
        <v>144</v>
      </c>
      <c r="D162" s="42">
        <f>4305.35715077878*Deflactores!$T$5</f>
        <v>6696.314341170495</v>
      </c>
      <c r="E162" s="42">
        <f>4447.39013902944*Deflactores!$U$5</f>
        <v>6807.6218815770826</v>
      </c>
      <c r="F162" s="42">
        <f>4816.97245128618*Deflactores!$V$5</f>
        <v>6981.0089719543794</v>
      </c>
      <c r="G162" s="42">
        <f>5382.79974625189*Deflactores!$W$5</f>
        <v>6896.2478317660416</v>
      </c>
      <c r="H162" s="42">
        <f>6583.43763757045*Deflactores!$X$5</f>
        <v>7718.2115280975131</v>
      </c>
      <c r="I162" s="42">
        <f>7941.61259140778*Deflactores!$Y$5</f>
        <v>8850.2779127233989</v>
      </c>
      <c r="J162" s="42">
        <f>9210.90295734786*Deflactores!$Z$5</f>
        <v>9766.6019224351185</v>
      </c>
      <c r="K162" s="42">
        <f>4095.17716983325*Deflactores!$AA$5</f>
        <v>4095.17716983325</v>
      </c>
    </row>
    <row r="163" spans="1:11" x14ac:dyDescent="0.2">
      <c r="C163" s="88" t="s">
        <v>145</v>
      </c>
      <c r="D163" s="50">
        <f>1430.2522375826*Deflactores!$T$5</f>
        <v>2224.5352091830828</v>
      </c>
      <c r="E163" s="50">
        <f>643.09706764181*Deflactores!$U$5</f>
        <v>984.38894110869501</v>
      </c>
      <c r="F163" s="50">
        <f>1225.11235561729*Deflactores!$V$5</f>
        <v>1775.4970435699411</v>
      </c>
      <c r="G163" s="50">
        <f>3074.87142268297*Deflactores!$W$5</f>
        <v>3939.4137588718868</v>
      </c>
      <c r="H163" s="50">
        <f>2676.28921203324*Deflactores!$X$5</f>
        <v>3137.5957950838747</v>
      </c>
      <c r="I163" s="50">
        <f>945.627253734899*Deflactores!$Y$5</f>
        <v>1053.8242581177974</v>
      </c>
      <c r="J163" s="50">
        <f>2307.74267853791*Deflactores!$Z$5</f>
        <v>2446.9700945783961</v>
      </c>
      <c r="K163" s="50">
        <f>2127.20280616246*Deflactores!$AA$5</f>
        <v>2127.2028061624601</v>
      </c>
    </row>
    <row r="164" spans="1:11" x14ac:dyDescent="0.2">
      <c r="C164" s="87" t="s">
        <v>146</v>
      </c>
      <c r="D164" s="42">
        <f>907.201327894527*Deflactores!$T$5</f>
        <v>1411.0107592839704</v>
      </c>
      <c r="E164" s="42">
        <f>854.69532534829*Deflactores!$U$5</f>
        <v>1308.2824796190307</v>
      </c>
      <c r="F164" s="42">
        <f>1067.66150361108*Deflactores!$V$5</f>
        <v>1547.3110156005005</v>
      </c>
      <c r="G164" s="42">
        <f>1310.55870220713*Deflactores!$W$5</f>
        <v>1679.0402828548963</v>
      </c>
      <c r="H164" s="42">
        <f>1386.21631950161*Deflactores!$X$5</f>
        <v>1625.1556354929837</v>
      </c>
      <c r="I164" s="42">
        <f>1500.77748276995*Deflactores!$Y$5</f>
        <v>1672.4937983051382</v>
      </c>
      <c r="J164" s="42">
        <f>1733.94119160537*Deflactores!$Z$5</f>
        <v>1838.5508406440254</v>
      </c>
      <c r="K164" s="42">
        <f>809.81470259513*Deflactores!$AA$5</f>
        <v>809.81470259513003</v>
      </c>
    </row>
    <row r="165" spans="1:11" x14ac:dyDescent="0.2">
      <c r="C165" s="88" t="s">
        <v>162</v>
      </c>
      <c r="D165" s="50">
        <f>29389.6999537183*Deflactores!$T$5</f>
        <v>45711.11347804973</v>
      </c>
      <c r="E165" s="50">
        <f>34417.5298233155*Deflactores!$U$5</f>
        <v>52682.926797640088</v>
      </c>
      <c r="F165" s="50">
        <f>43377.4448502122*Deflactores!$V$5</f>
        <v>62864.866831225518</v>
      </c>
      <c r="G165" s="50">
        <f>42232.6069075453*Deflactores!$W$5</f>
        <v>54106.884436632696</v>
      </c>
      <c r="H165" s="50">
        <f>50059.0057808983*Deflactores!$X$5</f>
        <v>58687.57581879574</v>
      </c>
      <c r="I165" s="50">
        <f>57818.1087837775*Deflactores!$Y$5</f>
        <v>64433.554927891091</v>
      </c>
      <c r="J165" s="50">
        <f>64340.272727441*Deflactores!$Z$5</f>
        <v>68221.957632127669</v>
      </c>
      <c r="K165" s="50">
        <f>35728.4268169144*Deflactores!$AA$5</f>
        <v>35728.426816914398</v>
      </c>
    </row>
    <row r="166" spans="1:11" x14ac:dyDescent="0.2">
      <c r="C166" s="87" t="s">
        <v>148</v>
      </c>
      <c r="D166" s="42">
        <f>354.31167624808*Deflactores!$T$5</f>
        <v>551.07678081364475</v>
      </c>
      <c r="E166" s="42">
        <f>454.57663114662*Deflactores!$U$5</f>
        <v>695.8206328448307</v>
      </c>
      <c r="F166" s="42">
        <f>538.07943145689*Deflactores!$V$5</f>
        <v>779.81291705782553</v>
      </c>
      <c r="G166" s="42">
        <f>579.25962507881*Deflactores!$W$5</f>
        <v>742.12642524198031</v>
      </c>
      <c r="H166" s="42">
        <f>652.34916360862*Deflactores!$X$5</f>
        <v>764.79327550324069</v>
      </c>
      <c r="I166" s="42">
        <f>770.89363698376*Deflactores!$Y$5</f>
        <v>859.09792878060296</v>
      </c>
      <c r="J166" s="42">
        <f>849.50019022322*Deflactores!$Z$5</f>
        <v>900.75101533064219</v>
      </c>
      <c r="K166" s="42">
        <f>430.84886443435*Deflactores!$AA$5</f>
        <v>430.84886443434999</v>
      </c>
    </row>
    <row r="167" spans="1:11" x14ac:dyDescent="0.2">
      <c r="C167" s="88" t="s">
        <v>149</v>
      </c>
      <c r="D167" s="50">
        <f>1476.24704821459*Deflactores!$T$5</f>
        <v>2296.0729932200479</v>
      </c>
      <c r="E167" s="50">
        <f>1500.1906789324*Deflactores!$U$5</f>
        <v>2296.3424779879829</v>
      </c>
      <c r="F167" s="50">
        <f>1962.49209059938*Deflactores!$V$5</f>
        <v>2844.1464073986331</v>
      </c>
      <c r="G167" s="50">
        <f>2017.00784292036*Deflactores!$W$5</f>
        <v>2584.1173030968112</v>
      </c>
      <c r="H167" s="50">
        <f>2305.43851483983*Deflactores!$X$5</f>
        <v>2702.8223098842063</v>
      </c>
      <c r="I167" s="50">
        <f>2884.88172513722*Deflactores!$Y$5</f>
        <v>3214.9648095935831</v>
      </c>
      <c r="J167" s="50">
        <f>1947.63035114213*Deflactores!$Z$5</f>
        <v>2065.1319875738582</v>
      </c>
      <c r="K167" s="50">
        <f>1120.65610877183*Deflactores!$AA$5</f>
        <v>1120.6561087718301</v>
      </c>
    </row>
    <row r="168" spans="1:11" x14ac:dyDescent="0.2">
      <c r="C168" s="87" t="s">
        <v>163</v>
      </c>
      <c r="D168" s="42">
        <f>22979.7927857002*Deflactores!$T$5</f>
        <v>35741.498463182259</v>
      </c>
      <c r="E168" s="42">
        <f>28051.2846700836*Deflactores!$U$5</f>
        <v>42938.112771029097</v>
      </c>
      <c r="F168" s="42">
        <f>25972.6849662171*Deflactores!$V$5</f>
        <v>37640.976486484396</v>
      </c>
      <c r="G168" s="42">
        <f>22434.5532362104*Deflactores!$W$5</f>
        <v>28742.336034251548</v>
      </c>
      <c r="H168" s="42">
        <f>26874.7833213012*Deflactores!$X$5</f>
        <v>31507.135612837348</v>
      </c>
      <c r="I168" s="42">
        <f>32402.2394887731*Deflactores!$Y$5</f>
        <v>36109.646645383393</v>
      </c>
      <c r="J168" s="42">
        <f>44171.8064314183*Deflactores!$Z$5</f>
        <v>46836.716401009551</v>
      </c>
      <c r="K168" s="42">
        <f>19653.4169873129*Deflactores!$AA$5</f>
        <v>19653.416987312899</v>
      </c>
    </row>
    <row r="169" spans="1:11" x14ac:dyDescent="0.2">
      <c r="C169" s="88" t="s">
        <v>150</v>
      </c>
      <c r="D169" s="50">
        <f>5937.65318624443*Deflactores!$T$5</f>
        <v>9235.0972965746059</v>
      </c>
      <c r="E169" s="50">
        <f>6327.11714207221*Deflactores!$U$5</f>
        <v>9684.9207641297744</v>
      </c>
      <c r="F169" s="50">
        <f>9071.34825347627*Deflactores!$V$5</f>
        <v>13146.673389907291</v>
      </c>
      <c r="G169" s="50">
        <f>9132.77668489598*Deflactores!$W$5</f>
        <v>11700.582295500111</v>
      </c>
      <c r="H169" s="50">
        <f>10046.9767894067*Deflactores!$X$5</f>
        <v>11778.753950063088</v>
      </c>
      <c r="I169" s="50">
        <f>6085.28874022155*Deflactores!$Y$5</f>
        <v>6781.5567569231225</v>
      </c>
      <c r="J169" s="50">
        <f>5937.1697296294*Deflactores!$Z$5</f>
        <v>6295.3625245790536</v>
      </c>
      <c r="K169" s="50">
        <f>2778.9013379574*Deflactores!$AA$5</f>
        <v>2778.9013379573998</v>
      </c>
    </row>
    <row r="170" spans="1:11" x14ac:dyDescent="0.2">
      <c r="C170" s="87" t="s">
        <v>151</v>
      </c>
      <c r="D170" s="42">
        <f>2870.22447396841*Deflactores!$T$5</f>
        <v>4464.1883667970696</v>
      </c>
      <c r="E170" s="42">
        <f>3325.26543245578*Deflactores!$U$5</f>
        <v>5089.9851401338901</v>
      </c>
      <c r="F170" s="42">
        <f>4634.47821648233*Deflactores!$V$5</f>
        <v>6716.5287609132183</v>
      </c>
      <c r="G170" s="42">
        <f>4681.19939014683*Deflactores!$W$5</f>
        <v>5997.3828985266346</v>
      </c>
      <c r="H170" s="42">
        <f>4982.25223349219*Deflactores!$X$5</f>
        <v>5841.0330197370995</v>
      </c>
      <c r="I170" s="42">
        <f>5369.42881557816*Deflactores!$Y$5</f>
        <v>5983.7894008914491</v>
      </c>
      <c r="J170" s="42">
        <f>5806.97264535231*Deflactores!$Z$5</f>
        <v>6157.3105768509877</v>
      </c>
      <c r="K170" s="42">
        <f>2606.70771459835*Deflactores!$AA$5</f>
        <v>2606.7077145983499</v>
      </c>
    </row>
    <row r="171" spans="1:11" x14ac:dyDescent="0.2">
      <c r="C171" s="79" t="s">
        <v>152</v>
      </c>
      <c r="D171" s="44">
        <f t="shared" ref="D171:K171" si="8">SUM(D140:D170)</f>
        <v>279990.23243591847</v>
      </c>
      <c r="E171" s="44">
        <f t="shared" si="8"/>
        <v>327659.08455067186</v>
      </c>
      <c r="F171" s="44">
        <f t="shared" si="8"/>
        <v>356082.61015369644</v>
      </c>
      <c r="G171" s="44">
        <f t="shared" si="8"/>
        <v>311317.00206675171</v>
      </c>
      <c r="H171" s="44">
        <f t="shared" si="8"/>
        <v>346507.51065998682</v>
      </c>
      <c r="I171" s="44">
        <f t="shared" si="8"/>
        <v>347644.78593486472</v>
      </c>
      <c r="J171" s="44">
        <f t="shared" si="8"/>
        <v>364723.25663364329</v>
      </c>
      <c r="K171" s="44">
        <f t="shared" si="8"/>
        <v>180319.87948447737</v>
      </c>
    </row>
    <row r="172" spans="1:11" s="31" customFormat="1" x14ac:dyDescent="0.2">
      <c r="A172" s="5"/>
      <c r="B172" s="5"/>
      <c r="C172" s="72" t="str">
        <f>+'C1 Aprop Resumen 2000-2026'!B20</f>
        <v>* Información con corte a 30 de Junio</v>
      </c>
      <c r="D172" s="123">
        <f>+D171-'C5 Ejecución PGN 2019-2026'!D98</f>
        <v>7.5669959187507629E-10</v>
      </c>
      <c r="E172" s="123">
        <f>+E171-'C5 Ejecución PGN 2019-2026'!E98</f>
        <v>9.3132257461547852E-10</v>
      </c>
      <c r="F172" s="123">
        <f>+F171-'C5 Ejecución PGN 2019-2026'!F98</f>
        <v>0</v>
      </c>
      <c r="G172" s="123">
        <f>+G171-'C5 Ejecución PGN 2019-2026'!G98</f>
        <v>0</v>
      </c>
      <c r="H172" s="123">
        <f>+H171-'C5 Ejecución PGN 2019-2026'!H98</f>
        <v>0</v>
      </c>
      <c r="I172" s="123">
        <f>+I171-'C5 Ejecución PGN 2019-2026'!I98</f>
        <v>6.4028427004814148E-10</v>
      </c>
      <c r="J172" s="123">
        <f>+J171-'C5 Ejecución PGN 2019-2026'!J98</f>
        <v>0</v>
      </c>
      <c r="K172" s="123">
        <f>+K171-'C5 Ejecución PGN 2019-2026'!K98</f>
        <v>4.0745362639427185E-10</v>
      </c>
    </row>
    <row r="173" spans="1:11" x14ac:dyDescent="0.2">
      <c r="C173" s="1" t="s">
        <v>52</v>
      </c>
      <c r="D173" s="11"/>
      <c r="E173" s="11"/>
      <c r="F173" s="11"/>
      <c r="G173" s="11"/>
      <c r="H173" s="11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customHeight="1" x14ac:dyDescent="0.2">
      <c r="C177" s="164" t="s">
        <v>157</v>
      </c>
      <c r="D177" s="160"/>
      <c r="E177" s="182"/>
      <c r="F177" s="182"/>
      <c r="G177" s="182"/>
      <c r="H177" s="182"/>
      <c r="I177" s="182"/>
      <c r="J177" s="182"/>
      <c r="K177" s="182"/>
    </row>
    <row r="178" spans="3:11" x14ac:dyDescent="0.2">
      <c r="D178" s="28"/>
      <c r="E178" s="28"/>
      <c r="F178" s="28"/>
      <c r="G178" s="28"/>
      <c r="H178" s="28"/>
    </row>
    <row r="179" spans="3:11" ht="0.75" customHeight="1" x14ac:dyDescent="0.2">
      <c r="D179" s="29"/>
      <c r="E179" s="29"/>
      <c r="F179" s="29"/>
      <c r="G179" s="29"/>
      <c r="H179" s="29"/>
    </row>
    <row r="180" spans="3:11" x14ac:dyDescent="0.2">
      <c r="C180" s="181" t="s">
        <v>120</v>
      </c>
      <c r="D180" s="155">
        <v>2019</v>
      </c>
      <c r="E180" s="155">
        <v>2020</v>
      </c>
      <c r="F180" s="155">
        <v>2021</v>
      </c>
      <c r="G180" s="155">
        <v>2022</v>
      </c>
      <c r="H180" s="155">
        <v>2023</v>
      </c>
      <c r="I180" s="155">
        <v>2024</v>
      </c>
      <c r="J180" s="155">
        <v>2025</v>
      </c>
      <c r="K180" s="155" t="s">
        <v>36</v>
      </c>
    </row>
    <row r="181" spans="3:11" ht="12" customHeight="1" thickBot="1" x14ac:dyDescent="0.25">
      <c r="C181" s="162"/>
      <c r="D181" s="156"/>
      <c r="E181" s="156"/>
      <c r="F181" s="156"/>
      <c r="G181" s="156"/>
      <c r="H181" s="156"/>
      <c r="I181" s="156"/>
      <c r="J181" s="156"/>
      <c r="K181" s="156"/>
    </row>
    <row r="182" spans="3:11" x14ac:dyDescent="0.2">
      <c r="C182" s="87" t="s">
        <v>123</v>
      </c>
      <c r="D182" s="47">
        <f t="shared" ref="D182:D212" si="9">+IFERROR(IF(D140&gt;0,+((D140/D15)*100),""),"0")</f>
        <v>63.074900823480249</v>
      </c>
      <c r="E182" s="47">
        <f t="shared" ref="E182:K191" si="10">+IFERROR(IF(E140&gt;0,+((E140/E15)*100)," "),"0")</f>
        <v>77.888611657324233</v>
      </c>
      <c r="F182" s="47">
        <f t="shared" si="10"/>
        <v>79.826742414932582</v>
      </c>
      <c r="G182" s="47">
        <f t="shared" si="10"/>
        <v>74.457011818161504</v>
      </c>
      <c r="H182" s="47">
        <f t="shared" si="10"/>
        <v>74.257650704177848</v>
      </c>
      <c r="I182" s="47">
        <f t="shared" si="10"/>
        <v>38.583426205498107</v>
      </c>
      <c r="J182" s="47">
        <f t="shared" si="10"/>
        <v>59.478613433267846</v>
      </c>
      <c r="K182" s="47">
        <f t="shared" si="10"/>
        <v>30.882370961849769</v>
      </c>
    </row>
    <row r="183" spans="3:11" x14ac:dyDescent="0.2">
      <c r="C183" s="88" t="s">
        <v>124</v>
      </c>
      <c r="D183" s="116">
        <f t="shared" si="9"/>
        <v>88.968744173605046</v>
      </c>
      <c r="E183" s="116">
        <f t="shared" si="10"/>
        <v>81.580094189397983</v>
      </c>
      <c r="F183" s="116">
        <f t="shared" si="10"/>
        <v>67.677578948815878</v>
      </c>
      <c r="G183" s="116">
        <f t="shared" si="10"/>
        <v>63.433074613727783</v>
      </c>
      <c r="H183" s="116">
        <f t="shared" si="10"/>
        <v>49.688383091517899</v>
      </c>
      <c r="I183" s="116">
        <f t="shared" si="10"/>
        <v>54.715919376239121</v>
      </c>
      <c r="J183" s="116">
        <f t="shared" si="10"/>
        <v>80.720720846590638</v>
      </c>
      <c r="K183" s="116">
        <f t="shared" si="10"/>
        <v>30.963613008928647</v>
      </c>
    </row>
    <row r="184" spans="3:11" x14ac:dyDescent="0.2">
      <c r="C184" s="87" t="s">
        <v>125</v>
      </c>
      <c r="D184" s="47">
        <f t="shared" si="9"/>
        <v>44.722803911144545</v>
      </c>
      <c r="E184" s="47">
        <f t="shared" si="10"/>
        <v>67.456846529922771</v>
      </c>
      <c r="F184" s="47">
        <f t="shared" si="10"/>
        <v>87.440040952321453</v>
      </c>
      <c r="G184" s="47">
        <f t="shared" si="10"/>
        <v>87.732875024285349</v>
      </c>
      <c r="H184" s="47">
        <f t="shared" si="10"/>
        <v>65.903020561506921</v>
      </c>
      <c r="I184" s="47">
        <f t="shared" si="10"/>
        <v>87.441163299971208</v>
      </c>
      <c r="J184" s="47">
        <f t="shared" si="10"/>
        <v>95.437039070091885</v>
      </c>
      <c r="K184" s="47">
        <f t="shared" si="10"/>
        <v>27.617358856796372</v>
      </c>
    </row>
    <row r="185" spans="3:11" x14ac:dyDescent="0.2">
      <c r="C185" s="88" t="s">
        <v>126</v>
      </c>
      <c r="D185" s="116">
        <f t="shared" si="9"/>
        <v>86.084310417512427</v>
      </c>
      <c r="E185" s="116">
        <f t="shared" si="10"/>
        <v>83.499812036445888</v>
      </c>
      <c r="F185" s="116">
        <f t="shared" si="10"/>
        <v>74.694331624378236</v>
      </c>
      <c r="G185" s="116">
        <f t="shared" si="10"/>
        <v>81.557720817441975</v>
      </c>
      <c r="H185" s="116">
        <f t="shared" si="10"/>
        <v>74.705665679797718</v>
      </c>
      <c r="I185" s="116">
        <f t="shared" si="10"/>
        <v>70.841080931842583</v>
      </c>
      <c r="J185" s="116">
        <f t="shared" si="10"/>
        <v>85.844800455247722</v>
      </c>
      <c r="K185" s="116">
        <f t="shared" si="10"/>
        <v>34.807739784082926</v>
      </c>
    </row>
    <row r="186" spans="3:11" x14ac:dyDescent="0.2">
      <c r="C186" s="87" t="s">
        <v>127</v>
      </c>
      <c r="D186" s="47">
        <f t="shared" si="9"/>
        <v>91.253852543744131</v>
      </c>
      <c r="E186" s="47">
        <f t="shared" si="10"/>
        <v>92.844808913084037</v>
      </c>
      <c r="F186" s="47">
        <f t="shared" si="10"/>
        <v>93.114412859765835</v>
      </c>
      <c r="G186" s="47">
        <f t="shared" si="10"/>
        <v>88.548924937598898</v>
      </c>
      <c r="H186" s="47">
        <f t="shared" si="10"/>
        <v>87.004961386459527</v>
      </c>
      <c r="I186" s="47">
        <f t="shared" si="10"/>
        <v>80.592618923574378</v>
      </c>
      <c r="J186" s="47">
        <f t="shared" si="10"/>
        <v>79.220679139862796</v>
      </c>
      <c r="K186" s="47">
        <f t="shared" si="10"/>
        <v>51.97298542183885</v>
      </c>
    </row>
    <row r="187" spans="3:11" x14ac:dyDescent="0.2">
      <c r="C187" s="88" t="s">
        <v>128</v>
      </c>
      <c r="D187" s="116">
        <f t="shared" si="9"/>
        <v>94.939391304353023</v>
      </c>
      <c r="E187" s="116">
        <f t="shared" si="10"/>
        <v>95.176298951924252</v>
      </c>
      <c r="F187" s="116">
        <f t="shared" si="10"/>
        <v>82.51204006828695</v>
      </c>
      <c r="G187" s="116">
        <f t="shared" si="10"/>
        <v>78.654787326777651</v>
      </c>
      <c r="H187" s="116">
        <f t="shared" si="10"/>
        <v>75.316680880535785</v>
      </c>
      <c r="I187" s="116">
        <f t="shared" si="10"/>
        <v>64.541831575695824</v>
      </c>
      <c r="J187" s="116">
        <f t="shared" si="10"/>
        <v>66.375367767161251</v>
      </c>
      <c r="K187" s="116">
        <f t="shared" si="10"/>
        <v>32.851337623649115</v>
      </c>
    </row>
    <row r="188" spans="3:11" x14ac:dyDescent="0.2">
      <c r="C188" s="87" t="s">
        <v>129</v>
      </c>
      <c r="D188" s="47">
        <f t="shared" si="9"/>
        <v>96.155426357005396</v>
      </c>
      <c r="E188" s="47">
        <f t="shared" si="10"/>
        <v>96.792882387255986</v>
      </c>
      <c r="F188" s="47">
        <f t="shared" si="10"/>
        <v>94.079767534052564</v>
      </c>
      <c r="G188" s="47">
        <f t="shared" si="10"/>
        <v>94.750388257243401</v>
      </c>
      <c r="H188" s="47">
        <f t="shared" si="10"/>
        <v>94.307774881970374</v>
      </c>
      <c r="I188" s="47">
        <f t="shared" si="10"/>
        <v>89.741547308862394</v>
      </c>
      <c r="J188" s="47">
        <f t="shared" si="10"/>
        <v>92.346856174415635</v>
      </c>
      <c r="K188" s="47">
        <f t="shared" si="10"/>
        <v>42.094591974350905</v>
      </c>
    </row>
    <row r="189" spans="3:11" x14ac:dyDescent="0.2">
      <c r="C189" s="88" t="s">
        <v>130</v>
      </c>
      <c r="D189" s="116">
        <f t="shared" si="9"/>
        <v>53.139444061786087</v>
      </c>
      <c r="E189" s="116">
        <f t="shared" si="10"/>
        <v>52.325273124209716</v>
      </c>
      <c r="F189" s="116">
        <f t="shared" si="10"/>
        <v>87.480335581708673</v>
      </c>
      <c r="G189" s="116">
        <f t="shared" si="10"/>
        <v>61.924132354312142</v>
      </c>
      <c r="H189" s="116">
        <f t="shared" si="10"/>
        <v>59.063859819749595</v>
      </c>
      <c r="I189" s="116">
        <f t="shared" si="10"/>
        <v>36.023849351679452</v>
      </c>
      <c r="J189" s="116">
        <f t="shared" si="10"/>
        <v>67.519775372495346</v>
      </c>
      <c r="K189" s="116">
        <f t="shared" si="10"/>
        <v>54.182124059232031</v>
      </c>
    </row>
    <row r="190" spans="3:11" x14ac:dyDescent="0.2">
      <c r="C190" s="87" t="s">
        <v>131</v>
      </c>
      <c r="D190" s="47">
        <f t="shared" si="9"/>
        <v>99.616401802533048</v>
      </c>
      <c r="E190" s="47">
        <f t="shared" si="10"/>
        <v>99.883061863050443</v>
      </c>
      <c r="F190" s="47">
        <f t="shared" si="10"/>
        <v>99.865940135305706</v>
      </c>
      <c r="G190" s="47">
        <f t="shared" si="10"/>
        <v>99.766372651349116</v>
      </c>
      <c r="H190" s="47">
        <f t="shared" si="10"/>
        <v>98.025717885887062</v>
      </c>
      <c r="I190" s="47">
        <f t="shared" si="10"/>
        <v>96.383403166978454</v>
      </c>
      <c r="J190" s="47">
        <f t="shared" si="10"/>
        <v>97.281607503939995</v>
      </c>
      <c r="K190" s="47">
        <f t="shared" si="10"/>
        <v>49.877553238529529</v>
      </c>
    </row>
    <row r="191" spans="3:11" x14ac:dyDescent="0.2">
      <c r="C191" s="88" t="s">
        <v>132</v>
      </c>
      <c r="D191" s="116">
        <f t="shared" si="9"/>
        <v>85.497673444927997</v>
      </c>
      <c r="E191" s="116">
        <f t="shared" si="10"/>
        <v>70.235855362137244</v>
      </c>
      <c r="F191" s="116">
        <f t="shared" si="10"/>
        <v>59.159870625306233</v>
      </c>
      <c r="G191" s="116">
        <f t="shared" si="10"/>
        <v>67.726015774068088</v>
      </c>
      <c r="H191" s="116">
        <f t="shared" si="10"/>
        <v>71.098555335149854</v>
      </c>
      <c r="I191" s="116">
        <f t="shared" si="10"/>
        <v>84.848035118023333</v>
      </c>
      <c r="J191" s="116">
        <f t="shared" si="10"/>
        <v>84.165387658568619</v>
      </c>
      <c r="K191" s="116">
        <f t="shared" si="10"/>
        <v>29.460981582213552</v>
      </c>
    </row>
    <row r="192" spans="3:11" x14ac:dyDescent="0.2">
      <c r="C192" s="87" t="s">
        <v>133</v>
      </c>
      <c r="D192" s="47">
        <f t="shared" si="9"/>
        <v>94.344755665934628</v>
      </c>
      <c r="E192" s="47">
        <f t="shared" ref="E192:K201" si="11">+IFERROR(IF(E150&gt;0,+((E150/E25)*100)," "),"0")</f>
        <v>94.274723620121165</v>
      </c>
      <c r="F192" s="47">
        <f t="shared" si="11"/>
        <v>92.084705920526773</v>
      </c>
      <c r="G192" s="47">
        <f t="shared" si="11"/>
        <v>94.572247205511232</v>
      </c>
      <c r="H192" s="47">
        <f t="shared" si="11"/>
        <v>94.451460673571461</v>
      </c>
      <c r="I192" s="47">
        <f t="shared" si="11"/>
        <v>92.827036825327781</v>
      </c>
      <c r="J192" s="47">
        <f t="shared" si="11"/>
        <v>92.247723119869818</v>
      </c>
      <c r="K192" s="47">
        <f t="shared" si="11"/>
        <v>40.254837143089048</v>
      </c>
    </row>
    <row r="193" spans="3:11" x14ac:dyDescent="0.2">
      <c r="C193" s="88" t="s">
        <v>134</v>
      </c>
      <c r="D193" s="116">
        <f t="shared" si="9"/>
        <v>80.784387424856249</v>
      </c>
      <c r="E193" s="116">
        <f t="shared" si="11"/>
        <v>41.385387463410574</v>
      </c>
      <c r="F193" s="116">
        <f t="shared" si="11"/>
        <v>77.540231723597756</v>
      </c>
      <c r="G193" s="116">
        <f t="shared" si="11"/>
        <v>77.309561944065948</v>
      </c>
      <c r="H193" s="116">
        <f t="shared" si="11"/>
        <v>81.772506082461646</v>
      </c>
      <c r="I193" s="116">
        <f t="shared" si="11"/>
        <v>69.764261359377883</v>
      </c>
      <c r="J193" s="116">
        <f t="shared" si="11"/>
        <v>69.109841817714084</v>
      </c>
      <c r="K193" s="116">
        <f t="shared" si="11"/>
        <v>26.761483950411659</v>
      </c>
    </row>
    <row r="194" spans="3:11" x14ac:dyDescent="0.2">
      <c r="C194" s="87" t="s">
        <v>135</v>
      </c>
      <c r="D194" s="47" t="str">
        <f t="shared" si="9"/>
        <v/>
      </c>
      <c r="E194" s="47" t="str">
        <f t="shared" si="11"/>
        <v xml:space="preserve"> </v>
      </c>
      <c r="F194" s="47" t="str">
        <f t="shared" si="11"/>
        <v xml:space="preserve"> </v>
      </c>
      <c r="G194" s="47" t="str">
        <f t="shared" si="11"/>
        <v xml:space="preserve"> </v>
      </c>
      <c r="H194" s="47">
        <f t="shared" si="11"/>
        <v>0.58282805051800002</v>
      </c>
      <c r="I194" s="47">
        <f t="shared" si="11"/>
        <v>80.384817445232088</v>
      </c>
      <c r="J194" s="47">
        <f t="shared" si="11"/>
        <v>94.251786992644227</v>
      </c>
      <c r="K194" s="47">
        <f t="shared" si="11"/>
        <v>45.083425652175265</v>
      </c>
    </row>
    <row r="195" spans="3:11" x14ac:dyDescent="0.2">
      <c r="C195" s="88" t="s">
        <v>136</v>
      </c>
      <c r="D195" s="116">
        <f t="shared" si="9"/>
        <v>89.177463244620625</v>
      </c>
      <c r="E195" s="116">
        <f t="shared" si="11"/>
        <v>96.623287745197501</v>
      </c>
      <c r="F195" s="116">
        <f t="shared" si="11"/>
        <v>91.963994110150097</v>
      </c>
      <c r="G195" s="116">
        <f t="shared" si="11"/>
        <v>96.199100334445617</v>
      </c>
      <c r="H195" s="116">
        <f t="shared" si="11"/>
        <v>88.653817462254892</v>
      </c>
      <c r="I195" s="116">
        <f t="shared" si="11"/>
        <v>72.067987137283708</v>
      </c>
      <c r="J195" s="116">
        <f t="shared" si="11"/>
        <v>73.128260294504585</v>
      </c>
      <c r="K195" s="116">
        <f t="shared" si="11"/>
        <v>36.718626893259007</v>
      </c>
    </row>
    <row r="196" spans="3:11" x14ac:dyDescent="0.2">
      <c r="C196" s="87" t="s">
        <v>137</v>
      </c>
      <c r="D196" s="47">
        <f t="shared" si="9"/>
        <v>84.27305689774866</v>
      </c>
      <c r="E196" s="47">
        <f t="shared" si="11"/>
        <v>84.847284273096292</v>
      </c>
      <c r="F196" s="47">
        <f t="shared" si="11"/>
        <v>64.037424708017383</v>
      </c>
      <c r="G196" s="47">
        <f t="shared" si="11"/>
        <v>58.716340741802078</v>
      </c>
      <c r="H196" s="47">
        <f t="shared" si="11"/>
        <v>54.427651722273538</v>
      </c>
      <c r="I196" s="47">
        <f t="shared" si="11"/>
        <v>62.43696927857566</v>
      </c>
      <c r="J196" s="47">
        <f t="shared" si="11"/>
        <v>71.0741700008913</v>
      </c>
      <c r="K196" s="47">
        <f t="shared" si="11"/>
        <v>35.248246286945253</v>
      </c>
    </row>
    <row r="197" spans="3:11" x14ac:dyDescent="0.2">
      <c r="C197" s="88" t="s">
        <v>138</v>
      </c>
      <c r="D197" s="116">
        <f t="shared" si="9"/>
        <v>93.49554615047974</v>
      </c>
      <c r="E197" s="116">
        <f t="shared" si="11"/>
        <v>97.939832663448939</v>
      </c>
      <c r="F197" s="116">
        <f t="shared" si="11"/>
        <v>94.697338290005291</v>
      </c>
      <c r="G197" s="116">
        <f t="shared" si="11"/>
        <v>95.264977782914741</v>
      </c>
      <c r="H197" s="116">
        <f t="shared" si="11"/>
        <v>85.345665664192509</v>
      </c>
      <c r="I197" s="116">
        <f t="shared" si="11"/>
        <v>81.651901211623596</v>
      </c>
      <c r="J197" s="116">
        <f t="shared" si="11"/>
        <v>85.586638961646997</v>
      </c>
      <c r="K197" s="116">
        <f t="shared" si="11"/>
        <v>36.141659305700315</v>
      </c>
    </row>
    <row r="198" spans="3:11" x14ac:dyDescent="0.2">
      <c r="C198" s="87" t="s">
        <v>160</v>
      </c>
      <c r="D198" s="47">
        <f t="shared" si="9"/>
        <v>85.185660352153619</v>
      </c>
      <c r="E198" s="47">
        <f t="shared" si="11"/>
        <v>83.465839978842737</v>
      </c>
      <c r="F198" s="47">
        <f t="shared" si="11"/>
        <v>82.380442406549548</v>
      </c>
      <c r="G198" s="47">
        <f t="shared" si="11"/>
        <v>69.941487635056617</v>
      </c>
      <c r="H198" s="47">
        <f t="shared" si="11"/>
        <v>69.13039188376851</v>
      </c>
      <c r="I198" s="47">
        <f t="shared" si="11"/>
        <v>70.243455379828774</v>
      </c>
      <c r="J198" s="47">
        <f t="shared" si="11"/>
        <v>78.825830233910338</v>
      </c>
      <c r="K198" s="47">
        <f t="shared" si="11"/>
        <v>35.388330423137461</v>
      </c>
    </row>
    <row r="199" spans="3:11" x14ac:dyDescent="0.2">
      <c r="C199" s="88" t="s">
        <v>161</v>
      </c>
      <c r="D199" s="116">
        <f t="shared" si="9"/>
        <v>77.03290926360836</v>
      </c>
      <c r="E199" s="116">
        <f t="shared" si="11"/>
        <v>79.648938857144174</v>
      </c>
      <c r="F199" s="116">
        <f t="shared" si="11"/>
        <v>67.395242795688844</v>
      </c>
      <c r="G199" s="116">
        <f t="shared" si="11"/>
        <v>68.339492320155927</v>
      </c>
      <c r="H199" s="116">
        <f t="shared" si="11"/>
        <v>72.495195999319364</v>
      </c>
      <c r="I199" s="116">
        <f t="shared" si="11"/>
        <v>77.748993586973342</v>
      </c>
      <c r="J199" s="116">
        <f t="shared" si="11"/>
        <v>82.083274536098273</v>
      </c>
      <c r="K199" s="116">
        <f t="shared" si="11"/>
        <v>34.454849408357724</v>
      </c>
    </row>
    <row r="200" spans="3:11" x14ac:dyDescent="0.2">
      <c r="C200" s="87" t="s">
        <v>140</v>
      </c>
      <c r="D200" s="47">
        <f t="shared" si="9"/>
        <v>83.92753011779746</v>
      </c>
      <c r="E200" s="47">
        <f t="shared" si="11"/>
        <v>88.431067602448906</v>
      </c>
      <c r="F200" s="47">
        <f t="shared" si="11"/>
        <v>89.821629690582611</v>
      </c>
      <c r="G200" s="47">
        <f t="shared" si="11"/>
        <v>83.635488270189654</v>
      </c>
      <c r="H200" s="47">
        <f t="shared" si="11"/>
        <v>87.51910084107169</v>
      </c>
      <c r="I200" s="47">
        <f t="shared" si="11"/>
        <v>73.812910309689741</v>
      </c>
      <c r="J200" s="47">
        <f t="shared" si="11"/>
        <v>77.666175397071427</v>
      </c>
      <c r="K200" s="47">
        <f t="shared" si="11"/>
        <v>49.4195880874069</v>
      </c>
    </row>
    <row r="201" spans="3:11" x14ac:dyDescent="0.2">
      <c r="C201" s="88" t="s">
        <v>141</v>
      </c>
      <c r="D201" s="116">
        <f t="shared" si="9"/>
        <v>89.057988268675615</v>
      </c>
      <c r="E201" s="116">
        <f t="shared" si="11"/>
        <v>81.339613198265354</v>
      </c>
      <c r="F201" s="116">
        <f t="shared" si="11"/>
        <v>81.909285505981714</v>
      </c>
      <c r="G201" s="116">
        <f t="shared" si="11"/>
        <v>84.554249055260229</v>
      </c>
      <c r="H201" s="116">
        <f t="shared" si="11"/>
        <v>81.296485470446228</v>
      </c>
      <c r="I201" s="116">
        <f t="shared" si="11"/>
        <v>87.310935502820215</v>
      </c>
      <c r="J201" s="116">
        <f t="shared" si="11"/>
        <v>90.595039068984335</v>
      </c>
      <c r="K201" s="116">
        <f t="shared" si="11"/>
        <v>38.474741549529149</v>
      </c>
    </row>
    <row r="202" spans="3:11" x14ac:dyDescent="0.2">
      <c r="C202" s="87" t="s">
        <v>142</v>
      </c>
      <c r="D202" s="47">
        <f t="shared" si="9"/>
        <v>70.029810317184342</v>
      </c>
      <c r="E202" s="47">
        <f t="shared" ref="E202:K211" si="12">+IFERROR(IF(E160&gt;0,+((E160/E35)*100)," "),"0")</f>
        <v>81.095516995583793</v>
      </c>
      <c r="F202" s="47">
        <f t="shared" si="12"/>
        <v>56.801666976677247</v>
      </c>
      <c r="G202" s="47">
        <f t="shared" si="12"/>
        <v>46.273473698836973</v>
      </c>
      <c r="H202" s="47">
        <f t="shared" si="12"/>
        <v>44.986510945551892</v>
      </c>
      <c r="I202" s="47">
        <f t="shared" si="12"/>
        <v>57.314727404534182</v>
      </c>
      <c r="J202" s="47">
        <f t="shared" si="12"/>
        <v>61.73347265748157</v>
      </c>
      <c r="K202" s="47">
        <f t="shared" si="12"/>
        <v>33.17696966361779</v>
      </c>
    </row>
    <row r="203" spans="3:11" x14ac:dyDescent="0.2">
      <c r="C203" s="88" t="s">
        <v>143</v>
      </c>
      <c r="D203" s="116">
        <f t="shared" si="9"/>
        <v>41.899381512249363</v>
      </c>
      <c r="E203" s="116">
        <f t="shared" si="12"/>
        <v>34.359506330300334</v>
      </c>
      <c r="F203" s="116">
        <f t="shared" si="12"/>
        <v>44.828167239563136</v>
      </c>
      <c r="G203" s="116">
        <f t="shared" si="12"/>
        <v>19.761419983788599</v>
      </c>
      <c r="H203" s="116">
        <f t="shared" si="12"/>
        <v>15.86333222915427</v>
      </c>
      <c r="I203" s="116">
        <f t="shared" si="12"/>
        <v>27.694235921765774</v>
      </c>
      <c r="J203" s="116">
        <f t="shared" si="12"/>
        <v>40.895531224636386</v>
      </c>
      <c r="K203" s="116">
        <f t="shared" si="12"/>
        <v>4.422594098832084</v>
      </c>
    </row>
    <row r="204" spans="3:11" x14ac:dyDescent="0.2">
      <c r="C204" s="87" t="s">
        <v>144</v>
      </c>
      <c r="D204" s="47">
        <f t="shared" si="9"/>
        <v>92.055786386296674</v>
      </c>
      <c r="E204" s="47">
        <f t="shared" si="12"/>
        <v>91.212052595898271</v>
      </c>
      <c r="F204" s="47">
        <f t="shared" si="12"/>
        <v>88.584144738900818</v>
      </c>
      <c r="G204" s="47">
        <f t="shared" si="12"/>
        <v>89.177798178279289</v>
      </c>
      <c r="H204" s="47">
        <f t="shared" si="12"/>
        <v>83.301550763753767</v>
      </c>
      <c r="I204" s="47">
        <f t="shared" si="12"/>
        <v>85.122574500398173</v>
      </c>
      <c r="J204" s="47">
        <f t="shared" si="12"/>
        <v>86.288157466998712</v>
      </c>
      <c r="K204" s="47">
        <f t="shared" si="12"/>
        <v>37.539114762897036</v>
      </c>
    </row>
    <row r="205" spans="3:11" x14ac:dyDescent="0.2">
      <c r="C205" s="88" t="s">
        <v>145</v>
      </c>
      <c r="D205" s="116">
        <f t="shared" si="9"/>
        <v>91.768225596844417</v>
      </c>
      <c r="E205" s="116">
        <f t="shared" si="12"/>
        <v>89.072570857188978</v>
      </c>
      <c r="F205" s="116">
        <f t="shared" si="12"/>
        <v>83.775093355354528</v>
      </c>
      <c r="G205" s="116">
        <f t="shared" si="12"/>
        <v>91.612844034782228</v>
      </c>
      <c r="H205" s="116">
        <f t="shared" si="12"/>
        <v>77.316998434286731</v>
      </c>
      <c r="I205" s="116">
        <f t="shared" si="12"/>
        <v>57.159542845124712</v>
      </c>
      <c r="J205" s="116">
        <f t="shared" si="12"/>
        <v>72.868004287396559</v>
      </c>
      <c r="K205" s="116">
        <f t="shared" si="12"/>
        <v>30.013805213339285</v>
      </c>
    </row>
    <row r="206" spans="3:11" x14ac:dyDescent="0.2">
      <c r="C206" s="87" t="s">
        <v>146</v>
      </c>
      <c r="D206" s="47">
        <f t="shared" si="9"/>
        <v>94.5824035728063</v>
      </c>
      <c r="E206" s="47">
        <f t="shared" si="12"/>
        <v>85.194418973892155</v>
      </c>
      <c r="F206" s="47">
        <f t="shared" si="12"/>
        <v>90.877299817052176</v>
      </c>
      <c r="G206" s="47">
        <f t="shared" si="12"/>
        <v>93.220545946698266</v>
      </c>
      <c r="H206" s="47">
        <f t="shared" si="12"/>
        <v>91.386066490845877</v>
      </c>
      <c r="I206" s="47">
        <f t="shared" si="12"/>
        <v>91.311387902518589</v>
      </c>
      <c r="J206" s="47">
        <f t="shared" si="12"/>
        <v>91.053382109645412</v>
      </c>
      <c r="K206" s="47">
        <f t="shared" si="12"/>
        <v>41.83030373624257</v>
      </c>
    </row>
    <row r="207" spans="3:11" x14ac:dyDescent="0.2">
      <c r="C207" s="88" t="s">
        <v>162</v>
      </c>
      <c r="D207" s="116">
        <f t="shared" si="9"/>
        <v>99.267892990268734</v>
      </c>
      <c r="E207" s="116">
        <f t="shared" si="12"/>
        <v>97.255292559391762</v>
      </c>
      <c r="F207" s="116">
        <f t="shared" si="12"/>
        <v>99.105938942920588</v>
      </c>
      <c r="G207" s="116">
        <f t="shared" si="12"/>
        <v>99.421011482863435</v>
      </c>
      <c r="H207" s="116">
        <f t="shared" si="12"/>
        <v>92.867725963042375</v>
      </c>
      <c r="I207" s="116">
        <f t="shared" si="12"/>
        <v>94.032989830204514</v>
      </c>
      <c r="J207" s="116">
        <f t="shared" si="12"/>
        <v>96.093060324995179</v>
      </c>
      <c r="K207" s="116">
        <f t="shared" si="12"/>
        <v>45.285922857536214</v>
      </c>
    </row>
    <row r="208" spans="3:11" x14ac:dyDescent="0.2">
      <c r="C208" s="87" t="s">
        <v>148</v>
      </c>
      <c r="D208" s="47">
        <f t="shared" si="9"/>
        <v>82.43625636278685</v>
      </c>
      <c r="E208" s="47">
        <f t="shared" si="12"/>
        <v>90.368507872220832</v>
      </c>
      <c r="F208" s="47">
        <f t="shared" si="12"/>
        <v>92.385350588348842</v>
      </c>
      <c r="G208" s="47">
        <f t="shared" si="12"/>
        <v>93.416782552066906</v>
      </c>
      <c r="H208" s="47">
        <f t="shared" si="12"/>
        <v>88.239746000821711</v>
      </c>
      <c r="I208" s="47">
        <f t="shared" si="12"/>
        <v>90.113354982101853</v>
      </c>
      <c r="J208" s="47">
        <f t="shared" si="12"/>
        <v>87.762986227475835</v>
      </c>
      <c r="K208" s="47">
        <f t="shared" si="12"/>
        <v>45.706718286778802</v>
      </c>
    </row>
    <row r="209" spans="1:11" x14ac:dyDescent="0.2">
      <c r="C209" s="88" t="s">
        <v>149</v>
      </c>
      <c r="D209" s="116">
        <f t="shared" si="9"/>
        <v>89.689256498729208</v>
      </c>
      <c r="E209" s="116">
        <f t="shared" si="12"/>
        <v>94.579159485636495</v>
      </c>
      <c r="F209" s="116">
        <f t="shared" si="12"/>
        <v>79.711954669749744</v>
      </c>
      <c r="G209" s="116">
        <f t="shared" si="12"/>
        <v>80.789152508959461</v>
      </c>
      <c r="H209" s="116">
        <f t="shared" si="12"/>
        <v>91.335174441118141</v>
      </c>
      <c r="I209" s="116">
        <f t="shared" si="12"/>
        <v>71.176878355167972</v>
      </c>
      <c r="J209" s="116">
        <f t="shared" si="12"/>
        <v>71.649797570873929</v>
      </c>
      <c r="K209" s="116">
        <f t="shared" si="12"/>
        <v>49.089809486105416</v>
      </c>
    </row>
    <row r="210" spans="1:11" x14ac:dyDescent="0.2">
      <c r="C210" s="87" t="s">
        <v>163</v>
      </c>
      <c r="D210" s="47">
        <f t="shared" si="9"/>
        <v>81.949124678156011</v>
      </c>
      <c r="E210" s="47">
        <f t="shared" si="12"/>
        <v>86.449840207010965</v>
      </c>
      <c r="F210" s="47">
        <f t="shared" si="12"/>
        <v>93.135831583697268</v>
      </c>
      <c r="G210" s="47">
        <f t="shared" si="12"/>
        <v>64.854746856819489</v>
      </c>
      <c r="H210" s="47">
        <f t="shared" si="12"/>
        <v>77.42318191988376</v>
      </c>
      <c r="I210" s="47">
        <f t="shared" si="12"/>
        <v>80.652754594497424</v>
      </c>
      <c r="J210" s="47">
        <f t="shared" si="12"/>
        <v>85.235589965489893</v>
      </c>
      <c r="K210" s="47">
        <f t="shared" si="12"/>
        <v>34.616024522020957</v>
      </c>
    </row>
    <row r="211" spans="1:11" x14ac:dyDescent="0.2">
      <c r="C211" s="88" t="s">
        <v>150</v>
      </c>
      <c r="D211" s="116">
        <f t="shared" si="9"/>
        <v>77.787346508049524</v>
      </c>
      <c r="E211" s="116">
        <f t="shared" si="12"/>
        <v>79.748595893662426</v>
      </c>
      <c r="F211" s="116">
        <f t="shared" si="12"/>
        <v>79.186347175877714</v>
      </c>
      <c r="G211" s="116">
        <f t="shared" si="12"/>
        <v>73.347875322273168</v>
      </c>
      <c r="H211" s="116">
        <f t="shared" si="12"/>
        <v>77.736397829834559</v>
      </c>
      <c r="I211" s="116">
        <f t="shared" si="12"/>
        <v>42.461047078660229</v>
      </c>
      <c r="J211" s="116">
        <f t="shared" si="12"/>
        <v>43.474936566946809</v>
      </c>
      <c r="K211" s="116">
        <f t="shared" si="12"/>
        <v>15.61705670913773</v>
      </c>
    </row>
    <row r="212" spans="1:11" x14ac:dyDescent="0.2">
      <c r="C212" s="87" t="s">
        <v>151</v>
      </c>
      <c r="D212" s="47">
        <f t="shared" si="9"/>
        <v>69.150836009374046</v>
      </c>
      <c r="E212" s="47">
        <f t="shared" ref="E212:K212" si="13">+IFERROR(IF(E170&gt;0,+((E170/E45)*100)," "),"0")</f>
        <v>76.133529724589849</v>
      </c>
      <c r="F212" s="47">
        <f t="shared" si="13"/>
        <v>77.544052944887952</v>
      </c>
      <c r="G212" s="47">
        <f t="shared" si="13"/>
        <v>80.370931023961376</v>
      </c>
      <c r="H212" s="47">
        <f t="shared" si="13"/>
        <v>62.666731143996266</v>
      </c>
      <c r="I212" s="47">
        <f t="shared" si="13"/>
        <v>58.7391396942011</v>
      </c>
      <c r="J212" s="47">
        <f t="shared" si="13"/>
        <v>69.596660851060292</v>
      </c>
      <c r="K212" s="47">
        <f t="shared" si="13"/>
        <v>35.558530407011041</v>
      </c>
    </row>
    <row r="213" spans="1:11" x14ac:dyDescent="0.2">
      <c r="C213" s="91" t="s">
        <v>154</v>
      </c>
      <c r="D213" s="74">
        <f t="shared" ref="D213:K213" si="14">+IFERROR(IF(D171&gt;0,+((D171/D46)*100)," "),"")</f>
        <v>90.700010536518334</v>
      </c>
      <c r="E213" s="74">
        <f t="shared" si="14"/>
        <v>83.74516346163567</v>
      </c>
      <c r="F213" s="74">
        <f t="shared" si="14"/>
        <v>89.850110681533053</v>
      </c>
      <c r="G213" s="74">
        <f t="shared" si="14"/>
        <v>86.477078757108885</v>
      </c>
      <c r="H213" s="74">
        <f t="shared" si="14"/>
        <v>85.751027125211834</v>
      </c>
      <c r="I213" s="74">
        <f t="shared" si="14"/>
        <v>81.928021851708948</v>
      </c>
      <c r="J213" s="74">
        <f t="shared" si="14"/>
        <v>86.452370237831971</v>
      </c>
      <c r="K213" s="74">
        <f t="shared" si="14"/>
        <v>39.598661886983699</v>
      </c>
    </row>
    <row r="214" spans="1:11" s="31" customFormat="1" x14ac:dyDescent="0.2">
      <c r="A214" s="5"/>
      <c r="B214" s="5"/>
      <c r="C214" s="72" t="str">
        <f>+'C1 Aprop Resumen 2000-2026'!B20</f>
        <v>* Información con corte a 30 de Junio</v>
      </c>
      <c r="D214" s="69"/>
      <c r="E214" s="69"/>
      <c r="F214" s="69"/>
      <c r="G214" s="69"/>
      <c r="H214" s="69"/>
      <c r="I214" s="69"/>
    </row>
    <row r="215" spans="1:11" x14ac:dyDescent="0.2">
      <c r="C215" s="1" t="s">
        <v>52</v>
      </c>
      <c r="D215" s="11"/>
      <c r="E215" s="11"/>
      <c r="F215" s="11"/>
      <c r="G215" s="11"/>
      <c r="H215" s="11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customHeight="1" x14ac:dyDescent="0.2">
      <c r="C219" s="164" t="s">
        <v>158</v>
      </c>
      <c r="D219" s="160"/>
      <c r="E219" s="182"/>
      <c r="F219" s="182"/>
      <c r="G219" s="182"/>
      <c r="H219" s="182"/>
      <c r="I219" s="182"/>
      <c r="J219" s="182"/>
      <c r="K219" s="182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C221" s="181" t="s">
        <v>120</v>
      </c>
      <c r="D221" s="155">
        <v>2019</v>
      </c>
      <c r="E221" s="155">
        <v>2020</v>
      </c>
      <c r="F221" s="155">
        <v>2021</v>
      </c>
      <c r="G221" s="155">
        <v>2022</v>
      </c>
      <c r="H221" s="155">
        <v>2023</v>
      </c>
      <c r="I221" s="155">
        <v>2024</v>
      </c>
      <c r="J221" s="155">
        <v>2025</v>
      </c>
      <c r="K221" s="155" t="s">
        <v>36</v>
      </c>
    </row>
    <row r="222" spans="1:11" ht="12" customHeight="1" thickBot="1" x14ac:dyDescent="0.25">
      <c r="C222" s="162"/>
      <c r="D222" s="156"/>
      <c r="E222" s="156"/>
      <c r="F222" s="156"/>
      <c r="G222" s="156"/>
      <c r="H222" s="156"/>
      <c r="I222" s="156"/>
      <c r="J222" s="156"/>
      <c r="K222" s="156"/>
    </row>
    <row r="223" spans="1:11" x14ac:dyDescent="0.2">
      <c r="C223" s="87" t="s">
        <v>123</v>
      </c>
      <c r="D223" s="42">
        <f>1421.56649859443*Deflactores!$T$5</f>
        <v>2211.0258912535292</v>
      </c>
      <c r="E223" s="42">
        <f>1437.82785429645*Deflactores!$U$5</f>
        <v>2200.8836771369074</v>
      </c>
      <c r="F223" s="42">
        <f>1911.20997494959*Deflactores!$V$5</f>
        <v>2769.8256772984655</v>
      </c>
      <c r="G223" s="42">
        <f>1916.40134499955*Deflactores!$W$5</f>
        <v>2455.2239063786687</v>
      </c>
      <c r="H223" s="42">
        <f>3972.34455457327*Deflactores!$X$5</f>
        <v>4657.0495875460783</v>
      </c>
      <c r="I223" s="42">
        <f>3019.40252890505*Deflactores!$Y$5</f>
        <v>3364.8772467321442</v>
      </c>
      <c r="J223" s="42">
        <f>2996.79727271256*Deflactores!$Z$5</f>
        <v>3177.595740651494</v>
      </c>
      <c r="K223" s="42">
        <f>1256.05908927565*Deflactores!$AA$5</f>
        <v>1256.05908927565</v>
      </c>
    </row>
    <row r="224" spans="1:11" x14ac:dyDescent="0.2">
      <c r="C224" s="88" t="s">
        <v>124</v>
      </c>
      <c r="D224" s="50">
        <f>547.48596320678*Deflactores!$T$5</f>
        <v>851.52938040179743</v>
      </c>
      <c r="E224" s="50">
        <f>585.43512120718*Deflactores!$U$5</f>
        <v>896.12577641849828</v>
      </c>
      <c r="F224" s="50">
        <f>784.020824972759*Deflactores!$V$5</f>
        <v>1136.244076270872</v>
      </c>
      <c r="G224" s="50">
        <f>855.981259925759*Deflactores!$W$5</f>
        <v>1096.6521487086256</v>
      </c>
      <c r="H224" s="50">
        <f>987.87214404027*Deflactores!$X$5</f>
        <v>1158.1496765315758</v>
      </c>
      <c r="I224" s="50">
        <f>1104.0897398464*Deflactores!$Y$5</f>
        <v>1230.4177427137579</v>
      </c>
      <c r="J224" s="50">
        <f>1417.01865920286*Deflactores!$Z$5</f>
        <v>1502.5081932989933</v>
      </c>
      <c r="K224" s="50">
        <f>554.33663708974*Deflactores!$AA$5</f>
        <v>554.33663708973995</v>
      </c>
    </row>
    <row r="225" spans="3:11" x14ac:dyDescent="0.2">
      <c r="C225" s="87" t="s">
        <v>125</v>
      </c>
      <c r="D225" s="42">
        <f>149.694147083799*Deflactores!$T$5</f>
        <v>232.82599533588254</v>
      </c>
      <c r="E225" s="42">
        <f>181.39481218701*Deflactores!$U$5</f>
        <v>277.66111225815263</v>
      </c>
      <c r="F225" s="42">
        <f>359.09389512792*Deflactores!$V$5</f>
        <v>520.41769576504498</v>
      </c>
      <c r="G225" s="42">
        <f>289.952414959169*Deflactores!$W$5</f>
        <v>371.47651914226083</v>
      </c>
      <c r="H225" s="42">
        <f>319.49584403501*Deflactores!$X$5</f>
        <v>374.56669939996391</v>
      </c>
      <c r="I225" s="42">
        <f>325.936003998869*Deflactores!$Y$5</f>
        <v>363.22902734810555</v>
      </c>
      <c r="J225" s="42">
        <f>258.78871391763*Deflactores!$Z$5</f>
        <v>274.40158283680239</v>
      </c>
      <c r="K225" s="42">
        <f>104.90612981379*Deflactores!$AA$5</f>
        <v>104.90612981379</v>
      </c>
    </row>
    <row r="226" spans="3:11" x14ac:dyDescent="0.2">
      <c r="C226" s="88" t="s">
        <v>126</v>
      </c>
      <c r="D226" s="50">
        <f>852.22044888064*Deflactores!$T$5</f>
        <v>1325.4965415925869</v>
      </c>
      <c r="E226" s="50">
        <f>911.89929680136*Deflactores!$U$5</f>
        <v>1395.8446218200329</v>
      </c>
      <c r="F226" s="50">
        <f>876.009307913909*Deflactores!$V$5</f>
        <v>1269.5586075917174</v>
      </c>
      <c r="G226" s="50">
        <f>943.34504888875*Deflactores!$W$5</f>
        <v>1208.5794669467616</v>
      </c>
      <c r="H226" s="50">
        <f>1070.9953803489*Deflactores!$X$5</f>
        <v>1255.6006977228094</v>
      </c>
      <c r="I226" s="50">
        <f>1010.73565172758*Deflactores!$Y$5</f>
        <v>1126.3822443019715</v>
      </c>
      <c r="J226" s="50">
        <f>1240.76035121333*Deflactores!$Z$5</f>
        <v>1315.6161222797837</v>
      </c>
      <c r="K226" s="50">
        <f>616.04030603653*Deflactores!$AA$5</f>
        <v>616.04030603652996</v>
      </c>
    </row>
    <row r="227" spans="3:11" x14ac:dyDescent="0.2">
      <c r="C227" s="87" t="s">
        <v>127</v>
      </c>
      <c r="D227" s="42">
        <f>590.718796580859*Deflactores!$T$5</f>
        <v>918.77133780361567</v>
      </c>
      <c r="E227" s="42">
        <f>638.02575551002*Deflactores!$U$5</f>
        <v>976.62628158087239</v>
      </c>
      <c r="F227" s="42">
        <f>721.634458326659*Deflactores!$V$5</f>
        <v>1045.8304835654019</v>
      </c>
      <c r="G227" s="42">
        <f>857.723168894179*Deflactores!$W$5</f>
        <v>1098.8838193099637</v>
      </c>
      <c r="H227" s="42">
        <f>1029.66146273524*Deflactores!$X$5</f>
        <v>1207.1421359515894</v>
      </c>
      <c r="I227" s="42">
        <f>1105.21615243026*Deflactores!$Y$5</f>
        <v>1231.6730374409692</v>
      </c>
      <c r="J227" s="42">
        <f>1240.68824212831*Deflactores!$Z$5</f>
        <v>1315.5396628130363</v>
      </c>
      <c r="K227" s="42">
        <f>683.324977379679*Deflactores!$AA$5</f>
        <v>683.32497737967901</v>
      </c>
    </row>
    <row r="228" spans="3:11" x14ac:dyDescent="0.2">
      <c r="C228" s="88" t="s">
        <v>128</v>
      </c>
      <c r="D228" s="50">
        <f>362.47973613985*Deflactores!$T$5</f>
        <v>563.78092931451999</v>
      </c>
      <c r="E228" s="50">
        <f>357.33438831512*Deflactores!$U$5</f>
        <v>546.97189247823485</v>
      </c>
      <c r="F228" s="50">
        <f>476.27989629366*Deflactores!$V$5</f>
        <v>690.24979129780081</v>
      </c>
      <c r="G228" s="50">
        <f>448.715831200259*Deflactores!$W$5</f>
        <v>574.87845059601023</v>
      </c>
      <c r="H228" s="50">
        <f>603.880507469069*Deflactores!$X$5</f>
        <v>707.9701746914692</v>
      </c>
      <c r="I228" s="50">
        <f>838.710050573079*Deflactores!$Y$5</f>
        <v>934.67377693504829</v>
      </c>
      <c r="J228" s="50">
        <f>712.41718943836*Deflactores!$Z$5</f>
        <v>755.39771987218194</v>
      </c>
      <c r="K228" s="50">
        <f>385.77199772997*Deflactores!$AA$5</f>
        <v>385.77199772997</v>
      </c>
    </row>
    <row r="229" spans="3:11" x14ac:dyDescent="0.2">
      <c r="C229" s="87" t="s">
        <v>129</v>
      </c>
      <c r="D229" s="42">
        <f>32015.02532018*Deflactores!$T$5</f>
        <v>49794.399320780853</v>
      </c>
      <c r="E229" s="42">
        <f>34089.1240297846*Deflactores!$U$5</f>
        <v>52180.235916878839</v>
      </c>
      <c r="F229" s="42">
        <f>36388.2028832752*Deflactores!$V$5</f>
        <v>52735.691011397161</v>
      </c>
      <c r="G229" s="42">
        <f>40009.9767748677*Deflactores!$W$5</f>
        <v>51259.331312634589</v>
      </c>
      <c r="H229" s="42">
        <f>44951.6688911801*Deflactores!$X$5</f>
        <v>52699.897552483788</v>
      </c>
      <c r="I229" s="42">
        <f>49827.8747408585*Deflactores!$Y$5</f>
        <v>55529.092382834977</v>
      </c>
      <c r="J229" s="42">
        <f>55218.5605693111*Deflactores!$Z$5</f>
        <v>58549.927440079824</v>
      </c>
      <c r="K229" s="42">
        <f>27541.0620060596*Deflactores!$AA$5</f>
        <v>27541.062006059601</v>
      </c>
    </row>
    <row r="230" spans="3:11" x14ac:dyDescent="0.2">
      <c r="C230" s="88" t="s">
        <v>130</v>
      </c>
      <c r="D230" s="50">
        <f>265.49873125778*Deflactores!$T$5</f>
        <v>412.94203928295525</v>
      </c>
      <c r="E230" s="50">
        <f>241.72499380414*Deflactores!$U$5</f>
        <v>370.00854561958073</v>
      </c>
      <c r="F230" s="50">
        <f>671.405099608279*Deflactores!$V$5</f>
        <v>973.03546399353399</v>
      </c>
      <c r="G230" s="50">
        <f>556.0546970758*Deflactores!$W$5</f>
        <v>712.39711299355918</v>
      </c>
      <c r="H230" s="50">
        <f>560.3728200612*Deflactores!$X$5</f>
        <v>656.96315480326962</v>
      </c>
      <c r="I230" s="50">
        <f>381.16451859876*Deflactores!$Y$5</f>
        <v>424.77669128789131</v>
      </c>
      <c r="J230" s="50">
        <f>303.56938040264*Deflactores!$Z$5</f>
        <v>321.88389216148499</v>
      </c>
      <c r="K230" s="50">
        <f>268.79058012281*Deflactores!$AA$5</f>
        <v>268.79058012281001</v>
      </c>
    </row>
    <row r="231" spans="3:11" x14ac:dyDescent="0.2">
      <c r="C231" s="87" t="s">
        <v>131</v>
      </c>
      <c r="D231" s="42">
        <f>40997.4942591129*Deflactores!$T$5</f>
        <v>63765.2346007331</v>
      </c>
      <c r="E231" s="42">
        <f>44558.1762914329*Deflactores!$U$5</f>
        <v>68205.218440971992</v>
      </c>
      <c r="F231" s="42">
        <f>48025.9818056039*Deflactores!$V$5</f>
        <v>69601.770253495677</v>
      </c>
      <c r="G231" s="42">
        <f>49638.1033260862*Deflactores!$W$5</f>
        <v>63594.537893381603</v>
      </c>
      <c r="H231" s="42">
        <f>57864.9863331102*Deflactores!$X$5</f>
        <v>67839.057522269562</v>
      </c>
      <c r="I231" s="42">
        <f>67472.4541619654*Deflactores!$Y$5</f>
        <v>75192.533495395532</v>
      </c>
      <c r="J231" s="42">
        <f>78020.6955584907*Deflactores!$Z$5</f>
        <v>82727.728080492772</v>
      </c>
      <c r="K231" s="42">
        <f>43261.4132016416*Deflactores!$AA$5</f>
        <v>43261.413201641597</v>
      </c>
    </row>
    <row r="232" spans="3:11" x14ac:dyDescent="0.2">
      <c r="C232" s="88" t="s">
        <v>132</v>
      </c>
      <c r="D232" s="50">
        <f>339.183235928269*Deflactores!$T$5</f>
        <v>527.54684164128878</v>
      </c>
      <c r="E232" s="50">
        <f>232.06143709151*Deflactores!$U$5</f>
        <v>355.21653545761239</v>
      </c>
      <c r="F232" s="50">
        <f>289.06237687898*Deflactores!$V$5</f>
        <v>418.92434861399408</v>
      </c>
      <c r="G232" s="50">
        <f>340.71923761243*Deflactores!$W$5</f>
        <v>436.51713130547228</v>
      </c>
      <c r="H232" s="50">
        <f>397.74766763044*Deflactores!$X$5</f>
        <v>466.30663227670146</v>
      </c>
      <c r="I232" s="50">
        <f>479.47095555393*Deflactores!$Y$5</f>
        <v>534.33117756492186</v>
      </c>
      <c r="J232" s="50">
        <f>510.969756297559*Deflactores!$Z$5</f>
        <v>541.79684958909445</v>
      </c>
      <c r="K232" s="50">
        <f>190.98156505505*Deflactores!$AA$5</f>
        <v>190.98156505505</v>
      </c>
    </row>
    <row r="233" spans="3:11" x14ac:dyDescent="0.2">
      <c r="C233" s="87" t="s">
        <v>133</v>
      </c>
      <c r="D233" s="42">
        <f>3631.83437855745*Deflactores!$T$5</f>
        <v>5648.7542803484139</v>
      </c>
      <c r="E233" s="42">
        <f>3761.8152774346*Deflactores!$U$5</f>
        <v>5758.2121641128233</v>
      </c>
      <c r="F233" s="42">
        <f>4143.19160000885*Deflactores!$V$5</f>
        <v>6004.530444110158</v>
      </c>
      <c r="G233" s="42">
        <f>4508.59984986002*Deflactores!$W$5</f>
        <v>5776.2546267020061</v>
      </c>
      <c r="H233" s="42">
        <f>5157.084024615*Deflactores!$X$5</f>
        <v>6046.0002146902807</v>
      </c>
      <c r="I233" s="42">
        <f>5583.041951737*Deflactores!$Y$5</f>
        <v>6221.8437757497213</v>
      </c>
      <c r="J233" s="42">
        <f>6314.49064702734*Deflactores!$Z$5</f>
        <v>6695.447425516365</v>
      </c>
      <c r="K233" s="42">
        <f>2888.18164541929*Deflactores!$AA$5</f>
        <v>2888.1816454192899</v>
      </c>
    </row>
    <row r="234" spans="3:11" x14ac:dyDescent="0.2">
      <c r="C234" s="88" t="s">
        <v>134</v>
      </c>
      <c r="D234" s="50">
        <f>8482.08170407271*Deflactores!$T$5</f>
        <v>13192.560656132293</v>
      </c>
      <c r="E234" s="50">
        <f>16921.9012776999*Deflactores!$U$5</f>
        <v>25902.361118491128</v>
      </c>
      <c r="F234" s="50">
        <f>18689.4850964393*Deflactores!$V$5</f>
        <v>27085.781465205022</v>
      </c>
      <c r="G234" s="50">
        <f>14108.9583026856*Deflactores!$W$5</f>
        <v>18075.885726776938</v>
      </c>
      <c r="H234" s="50">
        <f>34061.425356227*Deflactores!$X$5</f>
        <v>39932.524665773584</v>
      </c>
      <c r="I234" s="50">
        <f>22879.588349507*Deflactores!$Y$5</f>
        <v>25497.43053960161</v>
      </c>
      <c r="J234" s="50">
        <f>17216.175341844*Deflactores!$Z$5</f>
        <v>18254.83690027368</v>
      </c>
      <c r="K234" s="50">
        <f>8784.70130173985*Deflactores!$AA$5</f>
        <v>8784.7013017398494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2.4945375108185122</v>
      </c>
      <c r="I235" s="42">
        <f>9745.27890752193*Deflactores!$Y$5</f>
        <v>10860.316551059766</v>
      </c>
      <c r="J235" s="42">
        <f>10577.2918470061*Deflactores!$Z$5</f>
        <v>11215.425823666692</v>
      </c>
      <c r="K235" s="42">
        <f>5104.24681668255*Deflactores!$AA$5</f>
        <v>5104.2468166825502</v>
      </c>
    </row>
    <row r="236" spans="3:11" x14ac:dyDescent="0.2">
      <c r="C236" s="88" t="s">
        <v>136</v>
      </c>
      <c r="D236" s="50">
        <f>10186.4680645921*Deflactores!$T$5</f>
        <v>15843.468915108415</v>
      </c>
      <c r="E236" s="50">
        <f>17439.4294666871*Deflactores!$U$5</f>
        <v>26694.541726341078</v>
      </c>
      <c r="F236" s="50">
        <f>21897.1979667312*Deflactores!$V$5</f>
        <v>31734.567098384658</v>
      </c>
      <c r="G236" s="50">
        <f>22446.6436829476*Deflactores!$W$5</f>
        <v>28757.825876160412</v>
      </c>
      <c r="H236" s="50">
        <f>19337.4832126055*Deflactores!$X$5</f>
        <v>22670.646259968733</v>
      </c>
      <c r="I236" s="50">
        <f>9495.62672887307*Deflactores!$Y$5</f>
        <v>10582.099609962717</v>
      </c>
      <c r="J236" s="50">
        <f>7985.2185249883*Deflactores!$Z$5</f>
        <v>8466.9712576877318</v>
      </c>
      <c r="K236" s="50">
        <f>4852.31422495549*Deflactores!$AA$5</f>
        <v>4852.3142249554903</v>
      </c>
    </row>
    <row r="237" spans="3:11" x14ac:dyDescent="0.2">
      <c r="C237" s="87" t="s">
        <v>137</v>
      </c>
      <c r="D237" s="42">
        <f>323.85979956063*Deflactores!$T$5</f>
        <v>503.71361640326785</v>
      </c>
      <c r="E237" s="42">
        <f>320.765135334989*Deflactores!$U$5</f>
        <v>490.99532217563569</v>
      </c>
      <c r="F237" s="42">
        <f>388.16847966417*Deflactores!$V$5</f>
        <v>562.55410770346327</v>
      </c>
      <c r="G237" s="42">
        <f>400.349302552839*Deflactores!$W$5</f>
        <v>512.9130080682487</v>
      </c>
      <c r="H237" s="42">
        <f>556.09182156191*Deflactores!$X$5</f>
        <v>651.94424921199834</v>
      </c>
      <c r="I237" s="42">
        <f>807.13188014656*Deflactores!$Y$5</f>
        <v>899.48248788219166</v>
      </c>
      <c r="J237" s="42">
        <f>730.83761567576*Deflactores!$Z$5</f>
        <v>774.92946080304796</v>
      </c>
      <c r="K237" s="42">
        <f>293.01976142224*Deflactores!$AA$5</f>
        <v>293.01976142223998</v>
      </c>
    </row>
    <row r="238" spans="3:11" x14ac:dyDescent="0.2">
      <c r="C238" s="88" t="s">
        <v>138</v>
      </c>
      <c r="D238" s="50">
        <f>90.91803301492*Deflactores!$T$5</f>
        <v>141.40887899130388</v>
      </c>
      <c r="E238" s="50">
        <f>97.64146220211*Deflactores!$U$5</f>
        <v>149.45982561838511</v>
      </c>
      <c r="F238" s="50">
        <f>110.959760434319*Deflactores!$V$5</f>
        <v>160.80870109835493</v>
      </c>
      <c r="G238" s="50">
        <f>104.84531844711*Deflactores!$W$5</f>
        <v>134.32401985884087</v>
      </c>
      <c r="H238" s="50">
        <f>120.72652510224*Deflactores!$X$5</f>
        <v>141.53591316392132</v>
      </c>
      <c r="I238" s="50">
        <f>137.50576549373*Deflactores!$Y$5</f>
        <v>153.2389329262856</v>
      </c>
      <c r="J238" s="50">
        <f>150.50415071102*Deflactores!$Z$5</f>
        <v>159.5841509215023</v>
      </c>
      <c r="K238" s="50">
        <f>64.2086706333599*Deflactores!$AA$5</f>
        <v>64.208670633359901</v>
      </c>
    </row>
    <row r="239" spans="3:11" x14ac:dyDescent="0.2">
      <c r="C239" s="87" t="s">
        <v>160</v>
      </c>
      <c r="D239" s="42">
        <f>1178.40104583386*Deflactores!$T$5</f>
        <v>1832.8197978744281</v>
      </c>
      <c r="E239" s="42">
        <f>1493.61572602809*Deflactores!$U$5</f>
        <v>2286.278194922525</v>
      </c>
      <c r="F239" s="42">
        <f>1823.87723941394*Deflactores!$V$5</f>
        <v>2643.2584991621438</v>
      </c>
      <c r="G239" s="42">
        <f>2130.06511726171*Deflactores!$W$5</f>
        <v>2728.9621830470282</v>
      </c>
      <c r="H239" s="42">
        <f>2324.97087171358*Deflactores!$X$5</f>
        <v>2725.7214197859334</v>
      </c>
      <c r="I239" s="42">
        <f>2885.21286591712*Deflactores!$Y$5</f>
        <v>3215.3338389181208</v>
      </c>
      <c r="J239" s="42">
        <f>3474.27721396536*Deflactores!$Z$5</f>
        <v>3683.8823157851166</v>
      </c>
      <c r="K239" s="42">
        <f>1621.07670756586*Deflactores!$AA$5</f>
        <v>1621.07670756586</v>
      </c>
    </row>
    <row r="240" spans="3:11" x14ac:dyDescent="0.2">
      <c r="C240" s="88" t="s">
        <v>161</v>
      </c>
      <c r="D240" s="50">
        <f>2107.18319916093*Deflactores!$T$5</f>
        <v>3277.3961791909619</v>
      </c>
      <c r="E240" s="50">
        <f>2362.94328261759*Deflactores!$U$5</f>
        <v>3616.9582368106699</v>
      </c>
      <c r="F240" s="50">
        <f>2349.30553819322*Deflactores!$V$5</f>
        <v>3404.7367315978472</v>
      </c>
      <c r="G240" s="50">
        <f>2673.18188869738*Deflactores!$W$5</f>
        <v>3424.7836948944691</v>
      </c>
      <c r="H240" s="50">
        <f>3197.08654132942*Deflactores!$X$5</f>
        <v>3748.1619114600562</v>
      </c>
      <c r="I240" s="50">
        <f>3789.93563756784*Deflactores!$Y$5</f>
        <v>4223.5733961764636</v>
      </c>
      <c r="J240" s="50">
        <f>4205.65855872965*Deflactores!$Z$5</f>
        <v>4459.3883091589578</v>
      </c>
      <c r="K240" s="50">
        <f>1902.0901913006*Deflactores!$AA$5</f>
        <v>1902.0901913006001</v>
      </c>
    </row>
    <row r="241" spans="1:11" x14ac:dyDescent="0.2">
      <c r="C241" s="87" t="s">
        <v>140</v>
      </c>
      <c r="D241" s="42">
        <f>3341.58338293983*Deflactores!$T$5</f>
        <v>5197.3139383684893</v>
      </c>
      <c r="E241" s="42">
        <f>3842.96259493843*Deflactores!$U$5</f>
        <v>5882.4243957815552</v>
      </c>
      <c r="F241" s="42">
        <f>5515.12963892518*Deflactores!$V$5</f>
        <v>7992.8149642101434</v>
      </c>
      <c r="G241" s="42">
        <f>4821.79885729707*Deflactores!$W$5</f>
        <v>6177.5138371069625</v>
      </c>
      <c r="H241" s="42">
        <f>7835.96453523296*Deflactores!$X$5</f>
        <v>9186.6339652786155</v>
      </c>
      <c r="I241" s="42">
        <f>8776.83036617072*Deflactores!$Y$5</f>
        <v>9781.0598338027412</v>
      </c>
      <c r="J241" s="42">
        <f>8389.54978961239*Deflactores!$Z$5</f>
        <v>8895.6960553177032</v>
      </c>
      <c r="K241" s="42">
        <f>6608.34025544492*Deflactores!$AA$5</f>
        <v>6608.3402554449203</v>
      </c>
    </row>
    <row r="242" spans="1:11" x14ac:dyDescent="0.2">
      <c r="C242" s="88" t="s">
        <v>141</v>
      </c>
      <c r="D242" s="50">
        <f>1688.49862812633*Deflactores!$T$5</f>
        <v>2626.1973589168601</v>
      </c>
      <c r="E242" s="50">
        <f>1899.9397073694*Deflactores!$U$5</f>
        <v>2908.2384772269393</v>
      </c>
      <c r="F242" s="50">
        <f>2313.60132674491*Deflactores!$V$5</f>
        <v>3352.9923168273917</v>
      </c>
      <c r="G242" s="50">
        <f>2673.14245156244*Deflactores!$W$5</f>
        <v>3424.7331694673417</v>
      </c>
      <c r="H242" s="50">
        <f>3259.53353270798*Deflactores!$X$5</f>
        <v>3821.3727650120736</v>
      </c>
      <c r="I242" s="50">
        <f>3732.69678676693*Deflactores!$Y$5</f>
        <v>4159.7853769093135</v>
      </c>
      <c r="J242" s="50">
        <f>3846.50141263637*Deflactores!$Z$5</f>
        <v>4078.5630100830736</v>
      </c>
      <c r="K242" s="50">
        <f>1934.10131361022*Deflactores!$AA$5</f>
        <v>1934.1013136102199</v>
      </c>
    </row>
    <row r="243" spans="1:11" x14ac:dyDescent="0.2">
      <c r="C243" s="87" t="s">
        <v>142</v>
      </c>
      <c r="D243" s="42">
        <f>349.52995005942*Deflactores!$T$5</f>
        <v>543.63954842355542</v>
      </c>
      <c r="E243" s="42">
        <f>487.52311847556*Deflactores!$U$5</f>
        <v>746.25183430235347</v>
      </c>
      <c r="F243" s="42">
        <f>878.48864457393*Deflactores!$V$5</f>
        <v>1273.1517922410255</v>
      </c>
      <c r="G243" s="42">
        <f>836.36038189046*Deflactores!$W$5</f>
        <v>1071.5145913059941</v>
      </c>
      <c r="H243" s="42">
        <f>863.47368330832*Deflactores!$X$5</f>
        <v>1012.3089035865086</v>
      </c>
      <c r="I243" s="42">
        <f>862.713850911779*Deflactores!$Y$5</f>
        <v>961.42404981902939</v>
      </c>
      <c r="J243" s="42">
        <f>699.059264244749*Deflactores!$Z$5</f>
        <v>741.23390352542606</v>
      </c>
      <c r="K243" s="42">
        <f>589.363954888029*Deflactores!$AA$5</f>
        <v>589.36395488802896</v>
      </c>
    </row>
    <row r="244" spans="1:11" x14ac:dyDescent="0.2">
      <c r="C244" s="88" t="s">
        <v>143</v>
      </c>
      <c r="D244" s="50">
        <f>680.204957439919*Deflactores!$T$5</f>
        <v>1057.9531620544612</v>
      </c>
      <c r="E244" s="50">
        <f>1835.29954843231*Deflactores!$U$5</f>
        <v>2809.2937598415683</v>
      </c>
      <c r="F244" s="50">
        <f>3963.93189595141*Deflactores!$V$5</f>
        <v>5744.7378845739831</v>
      </c>
      <c r="G244" s="50">
        <f>1199.29003380285*Deflactores!$W$5</f>
        <v>1536.4868999688219</v>
      </c>
      <c r="H244" s="50">
        <f>867.13303300851*Deflactores!$X$5</f>
        <v>1016.5990080268036</v>
      </c>
      <c r="I244" s="50">
        <f>811.95420338731*Deflactores!$Y$5</f>
        <v>904.85657285226421</v>
      </c>
      <c r="J244" s="50">
        <f>1666.90010444398*Deflactores!$Z$5</f>
        <v>1767.4651269214371</v>
      </c>
      <c r="K244" s="50">
        <f>420.86432106288*Deflactores!$AA$5</f>
        <v>420.86432106287998</v>
      </c>
    </row>
    <row r="245" spans="1:11" x14ac:dyDescent="0.2">
      <c r="C245" s="87" t="s">
        <v>144</v>
      </c>
      <c r="D245" s="42">
        <f>4232.35534150447*Deflactores!$T$5</f>
        <v>6582.7713654648605</v>
      </c>
      <c r="E245" s="42">
        <f>4421.24411213156*Deflactores!$U$5</f>
        <v>6767.6001476472684</v>
      </c>
      <c r="F245" s="42">
        <f>4785.50039786024*Deflactores!$V$5</f>
        <v>6935.3980224307516</v>
      </c>
      <c r="G245" s="42">
        <f>5346.23046215966*Deflactores!$W$5</f>
        <v>6849.3965911443038</v>
      </c>
      <c r="H245" s="42">
        <f>6570.46967753509*Deflactores!$X$5</f>
        <v>7703.0083069004859</v>
      </c>
      <c r="I245" s="42">
        <f>7916.94243764156*Deflactores!$Y$5</f>
        <v>8822.7850434266911</v>
      </c>
      <c r="J245" s="42">
        <f>9141.72520762009*Deflactores!$Z$5</f>
        <v>9693.2506400896673</v>
      </c>
      <c r="K245" s="42">
        <f>4086.50162429414*Deflactores!$AA$5</f>
        <v>4086.5016242941401</v>
      </c>
    </row>
    <row r="246" spans="1:11" x14ac:dyDescent="0.2">
      <c r="C246" s="88" t="s">
        <v>145</v>
      </c>
      <c r="D246" s="50">
        <f>1417.15483162175*Deflactores!$T$5</f>
        <v>2204.1642284964032</v>
      </c>
      <c r="E246" s="50">
        <f>634.3862652321*Deflactores!$U$5</f>
        <v>971.05531234290891</v>
      </c>
      <c r="F246" s="50">
        <f>1219.68022754878*Deflactores!$V$5</f>
        <v>1767.6245188323444</v>
      </c>
      <c r="G246" s="50">
        <f>3071.41368792497*Deflactores!$W$5</f>
        <v>3934.9838344920536</v>
      </c>
      <c r="H246" s="50">
        <f>2661.19059997313*Deflactores!$X$5</f>
        <v>3119.8946656624348</v>
      </c>
      <c r="I246" s="50">
        <f>922.79444555084*Deflactores!$Y$5</f>
        <v>1028.3789602477577</v>
      </c>
      <c r="J246" s="50">
        <f>2305.79485323159*Deflactores!$Z$5</f>
        <v>2444.9047558738889</v>
      </c>
      <c r="K246" s="50">
        <f>2022.11991157246*Deflactores!$AA$5</f>
        <v>2022.1199115724601</v>
      </c>
    </row>
    <row r="247" spans="1:11" x14ac:dyDescent="0.2">
      <c r="C247" s="87" t="s">
        <v>146</v>
      </c>
      <c r="D247" s="42">
        <f>886.368163511547*Deflactores!$T$5</f>
        <v>1378.6080078874975</v>
      </c>
      <c r="E247" s="42">
        <f>853.35506364877*Deflactores!$U$5</f>
        <v>1306.2309404944056</v>
      </c>
      <c r="F247" s="42">
        <f>1064.15493706997*Deflactores!$V$5</f>
        <v>1542.2291155622913</v>
      </c>
      <c r="G247" s="42">
        <f>1309.72422646747*Deflactores!$W$5</f>
        <v>1677.971182798871</v>
      </c>
      <c r="H247" s="42">
        <f>1381.36902504032*Deflactores!$X$5</f>
        <v>1619.4728226449199</v>
      </c>
      <c r="I247" s="42">
        <f>1480.42301063831*Deflactores!$Y$5</f>
        <v>1649.8104033323466</v>
      </c>
      <c r="J247" s="42">
        <f>1722.95674474805*Deflactores!$Z$5</f>
        <v>1826.9036959188704</v>
      </c>
      <c r="K247" s="42">
        <f>804.80411672516*Deflactores!$AA$5</f>
        <v>804.80411672516004</v>
      </c>
    </row>
    <row r="248" spans="1:11" x14ac:dyDescent="0.2">
      <c r="C248" s="88" t="s">
        <v>162</v>
      </c>
      <c r="D248" s="50">
        <f>29378.3862662392*Deflactores!$T$5</f>
        <v>45693.516794414762</v>
      </c>
      <c r="E248" s="50">
        <f>34403.4641096297*Deflactores!$U$5</f>
        <v>52661.396404021791</v>
      </c>
      <c r="F248" s="50">
        <f>43355.7143665292*Deflactores!$V$5</f>
        <v>62833.373875205929</v>
      </c>
      <c r="G248" s="50">
        <f>42218.9132707858*Deflactores!$W$5</f>
        <v>54089.340645805736</v>
      </c>
      <c r="H248" s="50">
        <f>50040.1820819328*Deflactores!$X$5</f>
        <v>58665.507516739104</v>
      </c>
      <c r="I248" s="50">
        <f>57794.0644433699*Deflactores!$Y$5</f>
        <v>64406.759476414954</v>
      </c>
      <c r="J248" s="50">
        <f>64311.8703129*Deflactores!$Z$5</f>
        <v>68191.841683914725</v>
      </c>
      <c r="K248" s="50">
        <f>35725.8488363964*Deflactores!$AA$5</f>
        <v>35725.848836396399</v>
      </c>
    </row>
    <row r="249" spans="1:11" x14ac:dyDescent="0.2">
      <c r="C249" s="87" t="s">
        <v>148</v>
      </c>
      <c r="D249" s="42">
        <f>352.420446609169*Deflactores!$T$5</f>
        <v>548.13526685557611</v>
      </c>
      <c r="E249" s="42">
        <f>450.87958405192*Deflactores!$U$5</f>
        <v>690.16156136418169</v>
      </c>
      <c r="F249" s="42">
        <f>535.1094240807*Deflactores!$V$5</f>
        <v>775.50862668671971</v>
      </c>
      <c r="G249" s="42">
        <f>576.51937841711*Deflactores!$W$5</f>
        <v>738.61572059196783</v>
      </c>
      <c r="H249" s="42">
        <f>644.01339596486*Deflactores!$X$5</f>
        <v>755.02068837391948</v>
      </c>
      <c r="I249" s="42">
        <f>767.60169333726*Deflactores!$Y$5</f>
        <v>855.42932674175881</v>
      </c>
      <c r="J249" s="42">
        <f>847.94544815153*Deflactores!$Z$5</f>
        <v>899.10247479378359</v>
      </c>
      <c r="K249" s="42">
        <f>430.77283444235*Deflactores!$AA$5</f>
        <v>430.77283444235002</v>
      </c>
    </row>
    <row r="250" spans="1:11" x14ac:dyDescent="0.2">
      <c r="C250" s="88" t="s">
        <v>149</v>
      </c>
      <c r="D250" s="50">
        <f>1349.98192086623*Deflactores!$T$5</f>
        <v>2099.6871990938625</v>
      </c>
      <c r="E250" s="50">
        <f>1232.02258709042*Deflactores!$U$5</f>
        <v>1885.8574715247014</v>
      </c>
      <c r="F250" s="50">
        <f>1887.56940149529*Deflactores!$V$5</f>
        <v>2735.5645190594246</v>
      </c>
      <c r="G250" s="50">
        <f>1891.12386646138*Deflactores!$W$5</f>
        <v>2422.8393175440669</v>
      </c>
      <c r="H250" s="50">
        <f>2180.68413374915*Deflactores!$X$5</f>
        <v>2556.5642673047832</v>
      </c>
      <c r="I250" s="50">
        <f>2591.95806810224*Deflactores!$Y$5</f>
        <v>2888.5253437884026</v>
      </c>
      <c r="J250" s="50">
        <f>1903.93606719056*Deflactores!$Z$5</f>
        <v>2018.8016028529551</v>
      </c>
      <c r="K250" s="50">
        <f>930.102327413659*Deflactores!$AA$5</f>
        <v>930.10232741365905</v>
      </c>
    </row>
    <row r="251" spans="1:11" x14ac:dyDescent="0.2">
      <c r="C251" s="87" t="s">
        <v>163</v>
      </c>
      <c r="D251" s="42">
        <f>22965.6448140195*Deflactores!$T$5</f>
        <v>35719.49349069193</v>
      </c>
      <c r="E251" s="42">
        <f>28047.135842406*Deflactores!$U$5</f>
        <v>42931.762158827783</v>
      </c>
      <c r="F251" s="42">
        <f>25968.4835797855*Deflactores!$V$5</f>
        <v>37634.887617039894</v>
      </c>
      <c r="G251" s="42">
        <f>22416.3770123845*Deflactores!$W$5</f>
        <v>28719.049315432716</v>
      </c>
      <c r="H251" s="42">
        <f>26843.0911175475*Deflactores!$X$5</f>
        <v>31469.98068773155</v>
      </c>
      <c r="I251" s="42">
        <f>32361.0822437553*Deflactores!$Y$5</f>
        <v>36063.78026090077</v>
      </c>
      <c r="J251" s="42">
        <f>44132.529761804*Deflactores!$Z$5</f>
        <v>46795.07014778789</v>
      </c>
      <c r="K251" s="42">
        <f>19648.1574912545*Deflactores!$AA$5</f>
        <v>19648.1574912545</v>
      </c>
    </row>
    <row r="252" spans="1:11" x14ac:dyDescent="0.2">
      <c r="C252" s="88" t="s">
        <v>150</v>
      </c>
      <c r="D252" s="50">
        <f>5764.57923576688*Deflactores!$T$5</f>
        <v>8965.9076484042544</v>
      </c>
      <c r="E252" s="50">
        <f>6081.74975386687*Deflactores!$U$5</f>
        <v>9309.3368039295528</v>
      </c>
      <c r="F252" s="50">
        <f>8763.51866871498*Deflactores!$V$5</f>
        <v>12700.550619892745</v>
      </c>
      <c r="G252" s="50">
        <f>8897.59412480081*Deflactores!$W$5</f>
        <v>11399.274928222547</v>
      </c>
      <c r="H252" s="50">
        <f>9894.65147044522*Deflactores!$X$5</f>
        <v>11600.172622563265</v>
      </c>
      <c r="I252" s="50">
        <f>5980.4536652114*Deflactores!$Y$5</f>
        <v>6664.7266373269013</v>
      </c>
      <c r="J252" s="50">
        <f>5757.3414413687*Deflactores!$Z$5</f>
        <v>6104.6850943674908</v>
      </c>
      <c r="K252" s="50">
        <f>2575.03831986383*Deflactores!$AA$5</f>
        <v>2575.0383198638301</v>
      </c>
    </row>
    <row r="253" spans="1:11" x14ac:dyDescent="0.2">
      <c r="C253" s="87" t="s">
        <v>151</v>
      </c>
      <c r="D253" s="42">
        <f>2870.07757536141*Deflactores!$T$5</f>
        <v>4463.9598888301307</v>
      </c>
      <c r="E253" s="42">
        <f>3319.86225084878*Deflactores!$U$5</f>
        <v>5081.7144878663621</v>
      </c>
      <c r="F253" s="42">
        <f>4630.21356292883*Deflactores!$V$5</f>
        <v>6710.3482014393285</v>
      </c>
      <c r="G253" s="42">
        <f>4675.1983063523*Deflactores!$W$5</f>
        <v>5989.6945275938151</v>
      </c>
      <c r="H253" s="42">
        <f>4971.177049343*Deflactores!$X$5</f>
        <v>5828.0488283948353</v>
      </c>
      <c r="I253" s="42">
        <f>5369.05664420796*Deflactores!$Y$5</f>
        <v>5983.3746463287553</v>
      </c>
      <c r="J253" s="42">
        <f>5806.3741104193*Deflactores!$Z$5</f>
        <v>6156.6759319682387</v>
      </c>
      <c r="K253" s="42">
        <f>2606.63708133002*Deflactores!$AA$5</f>
        <v>2606.63708133002</v>
      </c>
    </row>
    <row r="254" spans="1:11" x14ac:dyDescent="0.2">
      <c r="C254" s="79" t="s">
        <v>152</v>
      </c>
      <c r="D254" s="44">
        <f t="shared" ref="D254:K254" si="15">SUM(D223:D253)</f>
        <v>278125.02310009184</v>
      </c>
      <c r="E254" s="44">
        <f t="shared" si="15"/>
        <v>326254.92314426432</v>
      </c>
      <c r="F254" s="44">
        <f t="shared" si="15"/>
        <v>354756.96653055324</v>
      </c>
      <c r="G254" s="44">
        <f t="shared" si="15"/>
        <v>310250.84145838057</v>
      </c>
      <c r="H254" s="44">
        <f t="shared" si="15"/>
        <v>345296.31805346138</v>
      </c>
      <c r="I254" s="44">
        <f t="shared" si="15"/>
        <v>345756.00188672391</v>
      </c>
      <c r="J254" s="44">
        <f t="shared" si="15"/>
        <v>363807.0550513037</v>
      </c>
      <c r="K254" s="44">
        <f t="shared" si="15"/>
        <v>178755.17819822227</v>
      </c>
    </row>
    <row r="255" spans="1:11" s="31" customFormat="1" x14ac:dyDescent="0.2">
      <c r="A255" s="5"/>
      <c r="B255" s="5"/>
      <c r="C255" s="72" t="str">
        <f>+'C1 Aprop Resumen 2000-2026'!B20</f>
        <v>* Información con corte a 30 de Junio</v>
      </c>
      <c r="D255" s="124">
        <f>+D254-'C5 Ejecución PGN 2019-2026'!D131</f>
        <v>0</v>
      </c>
      <c r="E255" s="124">
        <f>+E254-'C5 Ejecución PGN 2019-2026'!E131</f>
        <v>1.280568540096283E-9</v>
      </c>
      <c r="F255" s="124">
        <f>+F254-'C5 Ejecución PGN 2019-2026'!F131</f>
        <v>0</v>
      </c>
      <c r="G255" s="124">
        <f>+G254-'C5 Ejecución PGN 2019-2026'!G131</f>
        <v>0</v>
      </c>
      <c r="H255" s="124">
        <f>+H254-'C5 Ejecución PGN 2019-2026'!H131</f>
        <v>6.9849193096160889E-10</v>
      </c>
      <c r="I255" s="124">
        <f>+I254-'C5 Ejecución PGN 2019-2026'!I131</f>
        <v>0</v>
      </c>
      <c r="J255" s="124">
        <f>+J254-'C5 Ejecución PGN 2019-2026'!J131</f>
        <v>0</v>
      </c>
      <c r="K255" s="124">
        <f>+K254-'C5 Ejecución PGN 2019-2026'!K131</f>
        <v>0</v>
      </c>
    </row>
    <row r="256" spans="1:11" x14ac:dyDescent="0.2">
      <c r="C256" s="1" t="s">
        <v>52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customHeight="1" x14ac:dyDescent="0.2">
      <c r="C260" s="164" t="s">
        <v>159</v>
      </c>
      <c r="D260" s="160"/>
      <c r="E260" s="182"/>
      <c r="F260" s="182"/>
      <c r="G260" s="182"/>
      <c r="H260" s="182"/>
      <c r="I260" s="182"/>
      <c r="J260" s="182"/>
      <c r="K260" s="182"/>
    </row>
    <row r="261" spans="2:11" x14ac:dyDescent="0.2">
      <c r="D261" s="28"/>
      <c r="E261" s="28"/>
      <c r="F261" s="28"/>
      <c r="G261" s="28"/>
      <c r="H261" s="28"/>
    </row>
    <row r="262" spans="2:11" x14ac:dyDescent="0.2">
      <c r="D262" s="29"/>
      <c r="E262" s="29"/>
      <c r="F262" s="29"/>
      <c r="G262" s="29"/>
      <c r="H262" s="29"/>
    </row>
    <row r="263" spans="2:11" ht="13.5" customHeight="1" x14ac:dyDescent="0.2">
      <c r="C263" s="181" t="s">
        <v>120</v>
      </c>
      <c r="D263" s="155">
        <v>2019</v>
      </c>
      <c r="E263" s="155">
        <v>2020</v>
      </c>
      <c r="F263" s="155">
        <v>2021</v>
      </c>
      <c r="G263" s="155">
        <v>2022</v>
      </c>
      <c r="H263" s="155">
        <v>2023</v>
      </c>
      <c r="I263" s="155">
        <v>2024</v>
      </c>
      <c r="J263" s="155">
        <v>2025</v>
      </c>
      <c r="K263" s="155" t="s">
        <v>36</v>
      </c>
    </row>
    <row r="264" spans="2:11" ht="12" customHeight="1" thickBot="1" x14ac:dyDescent="0.25">
      <c r="C264" s="162"/>
      <c r="D264" s="156"/>
      <c r="E264" s="156"/>
      <c r="F264" s="156"/>
      <c r="G264" s="156"/>
      <c r="H264" s="156"/>
      <c r="I264" s="156"/>
      <c r="J264" s="156"/>
      <c r="K264" s="156"/>
    </row>
    <row r="265" spans="2:11" x14ac:dyDescent="0.2">
      <c r="C265" s="87" t="s">
        <v>123</v>
      </c>
      <c r="D265" s="47">
        <f t="shared" ref="D265:K274" si="16">+IFERROR(IF(D223&gt;0,+((D223/D15)*100)," "),"0")</f>
        <v>62.817559079066719</v>
      </c>
      <c r="E265" s="47">
        <f t="shared" si="16"/>
        <v>77.788316834881016</v>
      </c>
      <c r="F265" s="47">
        <f t="shared" si="16"/>
        <v>79.738552929234118</v>
      </c>
      <c r="G265" s="47">
        <f t="shared" si="16"/>
        <v>74.07112798360177</v>
      </c>
      <c r="H265" s="47">
        <f t="shared" si="16"/>
        <v>73.825596401226704</v>
      </c>
      <c r="I265" s="47">
        <f t="shared" si="16"/>
        <v>38.305153505876078</v>
      </c>
      <c r="J265" s="47">
        <f t="shared" si="16"/>
        <v>59.325292991769629</v>
      </c>
      <c r="K265" s="47">
        <f t="shared" si="16"/>
        <v>30.456752361144414</v>
      </c>
    </row>
    <row r="266" spans="2:11" x14ac:dyDescent="0.2">
      <c r="C266" s="88" t="s">
        <v>124</v>
      </c>
      <c r="D266" s="116">
        <f t="shared" si="16"/>
        <v>87.935071562410016</v>
      </c>
      <c r="E266" s="116">
        <f t="shared" si="16"/>
        <v>80.541664751964333</v>
      </c>
      <c r="F266" s="116">
        <f t="shared" si="16"/>
        <v>66.963330523472294</v>
      </c>
      <c r="G266" s="116">
        <f t="shared" si="16"/>
        <v>62.846918277439009</v>
      </c>
      <c r="H266" s="116">
        <f t="shared" si="16"/>
        <v>49.132320089213579</v>
      </c>
      <c r="I266" s="116">
        <f t="shared" si="16"/>
        <v>54.037398329703009</v>
      </c>
      <c r="J266" s="116">
        <f t="shared" si="16"/>
        <v>80.331646666627321</v>
      </c>
      <c r="K266" s="116">
        <f t="shared" si="16"/>
        <v>30.822342884521213</v>
      </c>
    </row>
    <row r="267" spans="2:11" x14ac:dyDescent="0.2">
      <c r="C267" s="87" t="s">
        <v>125</v>
      </c>
      <c r="D267" s="47">
        <f t="shared" si="16"/>
        <v>42.651674068352172</v>
      </c>
      <c r="E267" s="47">
        <f t="shared" si="16"/>
        <v>67.171924254536549</v>
      </c>
      <c r="F267" s="47">
        <f t="shared" si="16"/>
        <v>87.151293573960842</v>
      </c>
      <c r="G267" s="47">
        <f t="shared" si="16"/>
        <v>87.730357052391312</v>
      </c>
      <c r="H267" s="47">
        <f t="shared" si="16"/>
        <v>65.897675697539896</v>
      </c>
      <c r="I267" s="47">
        <f t="shared" si="16"/>
        <v>86.762278801951695</v>
      </c>
      <c r="J267" s="47">
        <f t="shared" si="16"/>
        <v>91.948301921268737</v>
      </c>
      <c r="K267" s="47">
        <f t="shared" si="16"/>
        <v>27.617358856796372</v>
      </c>
    </row>
    <row r="268" spans="2:11" x14ac:dyDescent="0.2">
      <c r="C268" s="88" t="s">
        <v>126</v>
      </c>
      <c r="D268" s="116">
        <f t="shared" si="16"/>
        <v>85.084203788085986</v>
      </c>
      <c r="E268" s="116">
        <f t="shared" si="16"/>
        <v>82.181243777070407</v>
      </c>
      <c r="F268" s="116">
        <f t="shared" si="16"/>
        <v>74.208011953959186</v>
      </c>
      <c r="G268" s="116">
        <f t="shared" si="16"/>
        <v>80.8439535886735</v>
      </c>
      <c r="H268" s="116">
        <f t="shared" si="16"/>
        <v>74.047254796263005</v>
      </c>
      <c r="I268" s="116">
        <f t="shared" si="16"/>
        <v>68.751921055383903</v>
      </c>
      <c r="J268" s="116">
        <f t="shared" si="16"/>
        <v>84.69695985644401</v>
      </c>
      <c r="K268" s="116">
        <f t="shared" si="16"/>
        <v>34.729643373969182</v>
      </c>
    </row>
    <row r="269" spans="2:11" x14ac:dyDescent="0.2">
      <c r="C269" s="87" t="s">
        <v>127</v>
      </c>
      <c r="D269" s="47">
        <f t="shared" si="16"/>
        <v>91.249445303955738</v>
      </c>
      <c r="E269" s="47">
        <f t="shared" si="16"/>
        <v>92.40578584573052</v>
      </c>
      <c r="F269" s="47">
        <f t="shared" si="16"/>
        <v>92.952458658138795</v>
      </c>
      <c r="G269" s="47">
        <f t="shared" si="16"/>
        <v>88.276066263654755</v>
      </c>
      <c r="H269" s="47">
        <f t="shared" si="16"/>
        <v>86.989209923695512</v>
      </c>
      <c r="I269" s="47">
        <f t="shared" si="16"/>
        <v>80.578135475315108</v>
      </c>
      <c r="J269" s="47">
        <f t="shared" si="16"/>
        <v>79.192681551868759</v>
      </c>
      <c r="K269" s="47">
        <f t="shared" si="16"/>
        <v>51.270958376952628</v>
      </c>
    </row>
    <row r="270" spans="2:11" x14ac:dyDescent="0.2">
      <c r="C270" s="88" t="s">
        <v>128</v>
      </c>
      <c r="D270" s="116">
        <f t="shared" si="16"/>
        <v>94.638651082300257</v>
      </c>
      <c r="E270" s="116">
        <f t="shared" si="16"/>
        <v>94.105014370121992</v>
      </c>
      <c r="F270" s="116">
        <f t="shared" si="16"/>
        <v>77.437451683013521</v>
      </c>
      <c r="G270" s="116">
        <f t="shared" si="16"/>
        <v>78.354557238628232</v>
      </c>
      <c r="H270" s="116">
        <f t="shared" si="16"/>
        <v>75.091998531173516</v>
      </c>
      <c r="I270" s="116">
        <f t="shared" si="16"/>
        <v>63.3452473975928</v>
      </c>
      <c r="J270" s="116">
        <f t="shared" si="16"/>
        <v>66.212248447336449</v>
      </c>
      <c r="K270" s="116">
        <f t="shared" si="16"/>
        <v>32.757349453526373</v>
      </c>
    </row>
    <row r="271" spans="2:11" x14ac:dyDescent="0.2">
      <c r="C271" s="87" t="s">
        <v>129</v>
      </c>
      <c r="D271" s="47">
        <f t="shared" si="16"/>
        <v>95.385158673758013</v>
      </c>
      <c r="E271" s="47">
        <f t="shared" si="16"/>
        <v>96.285521779533354</v>
      </c>
      <c r="F271" s="47">
        <f t="shared" si="16"/>
        <v>93.724481902256699</v>
      </c>
      <c r="G271" s="47">
        <f t="shared" si="16"/>
        <v>94.38350669508651</v>
      </c>
      <c r="H271" s="47">
        <f t="shared" si="16"/>
        <v>93.743282557662937</v>
      </c>
      <c r="I271" s="47">
        <f t="shared" si="16"/>
        <v>89.139201153350882</v>
      </c>
      <c r="J271" s="47">
        <f t="shared" si="16"/>
        <v>91.94499699458801</v>
      </c>
      <c r="K271" s="47">
        <f t="shared" si="16"/>
        <v>41.836444387714351</v>
      </c>
    </row>
    <row r="272" spans="2:11" x14ac:dyDescent="0.2">
      <c r="C272" s="88" t="s">
        <v>130</v>
      </c>
      <c r="D272" s="116">
        <f t="shared" si="16"/>
        <v>53.139029697464004</v>
      </c>
      <c r="E272" s="116">
        <f t="shared" si="16"/>
        <v>52.323541849696021</v>
      </c>
      <c r="F272" s="116">
        <f t="shared" si="16"/>
        <v>87.454185933295534</v>
      </c>
      <c r="G272" s="116">
        <f t="shared" si="16"/>
        <v>61.912109701967836</v>
      </c>
      <c r="H272" s="116">
        <f t="shared" si="16"/>
        <v>59.06240707829722</v>
      </c>
      <c r="I272" s="116">
        <f t="shared" si="16"/>
        <v>36.004201998239623</v>
      </c>
      <c r="J272" s="116">
        <f t="shared" si="16"/>
        <v>67.519775372495346</v>
      </c>
      <c r="K272" s="116">
        <f t="shared" si="16"/>
        <v>54.182124059232031</v>
      </c>
    </row>
    <row r="273" spans="3:11" x14ac:dyDescent="0.2">
      <c r="C273" s="87" t="s">
        <v>131</v>
      </c>
      <c r="D273" s="47">
        <f t="shared" si="16"/>
        <v>98.883155845005817</v>
      </c>
      <c r="E273" s="47">
        <f t="shared" si="16"/>
        <v>99.880707442907436</v>
      </c>
      <c r="F273" s="47">
        <f t="shared" si="16"/>
        <v>99.856994726799741</v>
      </c>
      <c r="G273" s="47">
        <f t="shared" si="16"/>
        <v>99.763906728852916</v>
      </c>
      <c r="H273" s="47">
        <f t="shared" si="16"/>
        <v>97.991146095510857</v>
      </c>
      <c r="I273" s="47">
        <f t="shared" si="16"/>
        <v>96.217014648648899</v>
      </c>
      <c r="J273" s="47">
        <f t="shared" si="16"/>
        <v>97.261897981827232</v>
      </c>
      <c r="K273" s="47">
        <f t="shared" si="16"/>
        <v>49.02779648364622</v>
      </c>
    </row>
    <row r="274" spans="3:11" x14ac:dyDescent="0.2">
      <c r="C274" s="88" t="s">
        <v>132</v>
      </c>
      <c r="D274" s="116">
        <f t="shared" si="16"/>
        <v>82.30305794476169</v>
      </c>
      <c r="E274" s="116">
        <f t="shared" si="16"/>
        <v>66.219276173550369</v>
      </c>
      <c r="F274" s="116">
        <f t="shared" si="16"/>
        <v>57.668422839416756</v>
      </c>
      <c r="G274" s="116">
        <f t="shared" si="16"/>
        <v>66.679584851093395</v>
      </c>
      <c r="H274" s="116">
        <f t="shared" si="16"/>
        <v>69.05999284893494</v>
      </c>
      <c r="I274" s="116">
        <f t="shared" si="16"/>
        <v>82.089064744008482</v>
      </c>
      <c r="J274" s="116">
        <f t="shared" si="16"/>
        <v>82.50543784886321</v>
      </c>
      <c r="K274" s="116">
        <f t="shared" si="16"/>
        <v>28.868667845666675</v>
      </c>
    </row>
    <row r="275" spans="3:11" x14ac:dyDescent="0.2">
      <c r="C275" s="87" t="s">
        <v>133</v>
      </c>
      <c r="D275" s="47">
        <f t="shared" ref="D275:K284" si="17">+IFERROR(IF(D233&gt;0,+((D233/D25)*100)," "),"0")</f>
        <v>93.858321863990994</v>
      </c>
      <c r="E275" s="47">
        <f t="shared" si="17"/>
        <v>94.022889700130435</v>
      </c>
      <c r="F275" s="47">
        <f t="shared" si="17"/>
        <v>91.968756423210777</v>
      </c>
      <c r="G275" s="47">
        <f t="shared" si="17"/>
        <v>94.42978916958107</v>
      </c>
      <c r="H275" s="47">
        <f t="shared" si="17"/>
        <v>94.325269532476554</v>
      </c>
      <c r="I275" s="47">
        <f t="shared" si="17"/>
        <v>92.672665746866812</v>
      </c>
      <c r="J275" s="47">
        <f t="shared" si="17"/>
        <v>92.105502881536282</v>
      </c>
      <c r="K275" s="47">
        <f t="shared" si="17"/>
        <v>40.112539862129772</v>
      </c>
    </row>
    <row r="276" spans="3:11" x14ac:dyDescent="0.2">
      <c r="C276" s="88" t="s">
        <v>134</v>
      </c>
      <c r="D276" s="116">
        <f t="shared" si="17"/>
        <v>80.539135038449587</v>
      </c>
      <c r="E276" s="116">
        <f t="shared" si="17"/>
        <v>41.376555534106259</v>
      </c>
      <c r="F276" s="116">
        <f t="shared" si="17"/>
        <v>77.343465809680794</v>
      </c>
      <c r="G276" s="116">
        <f t="shared" si="17"/>
        <v>77.254965420380358</v>
      </c>
      <c r="H276" s="116">
        <f t="shared" si="17"/>
        <v>81.72711333262653</v>
      </c>
      <c r="I276" s="116">
        <f t="shared" si="17"/>
        <v>69.682979507215165</v>
      </c>
      <c r="J276" s="116">
        <f t="shared" si="17"/>
        <v>69.044337117925224</v>
      </c>
      <c r="K276" s="116">
        <f t="shared" si="17"/>
        <v>26.750303528916135</v>
      </c>
    </row>
    <row r="277" spans="3:11" x14ac:dyDescent="0.2">
      <c r="C277" s="87" t="s">
        <v>135</v>
      </c>
      <c r="D277" s="47" t="str">
        <f t="shared" si="17"/>
        <v xml:space="preserve"> </v>
      </c>
      <c r="E277" s="47" t="str">
        <f t="shared" si="17"/>
        <v xml:space="preserve"> </v>
      </c>
      <c r="F277" s="47" t="str">
        <f t="shared" si="17"/>
        <v xml:space="preserve"> </v>
      </c>
      <c r="G277" s="47" t="str">
        <f t="shared" si="17"/>
        <v xml:space="preserve"> </v>
      </c>
      <c r="H277" s="47">
        <f t="shared" si="17"/>
        <v>0.42555537840000002</v>
      </c>
      <c r="I277" s="47">
        <f t="shared" si="17"/>
        <v>78.490215620179058</v>
      </c>
      <c r="J277" s="47">
        <f t="shared" si="17"/>
        <v>94.036748004523858</v>
      </c>
      <c r="K277" s="47">
        <f t="shared" si="17"/>
        <v>45.083416070778583</v>
      </c>
    </row>
    <row r="278" spans="3:11" x14ac:dyDescent="0.2">
      <c r="C278" s="88" t="s">
        <v>136</v>
      </c>
      <c r="D278" s="116">
        <f t="shared" si="17"/>
        <v>88.683935254291342</v>
      </c>
      <c r="E278" s="116">
        <f t="shared" si="17"/>
        <v>96.418588908159322</v>
      </c>
      <c r="F278" s="116">
        <f t="shared" si="17"/>
        <v>91.545127923580665</v>
      </c>
      <c r="G278" s="116">
        <f t="shared" si="17"/>
        <v>95.913733308908704</v>
      </c>
      <c r="H278" s="116">
        <f t="shared" si="17"/>
        <v>88.265943035831455</v>
      </c>
      <c r="I278" s="116">
        <f t="shared" si="17"/>
        <v>70.754276930234496</v>
      </c>
      <c r="J278" s="116">
        <f t="shared" si="17"/>
        <v>72.939119800123294</v>
      </c>
      <c r="K278" s="116">
        <f t="shared" si="17"/>
        <v>36.668168906104675</v>
      </c>
    </row>
    <row r="279" spans="3:11" x14ac:dyDescent="0.2">
      <c r="C279" s="87" t="s">
        <v>137</v>
      </c>
      <c r="D279" s="47">
        <f t="shared" si="17"/>
        <v>84.191317348585187</v>
      </c>
      <c r="E279" s="47">
        <f t="shared" si="17"/>
        <v>84.461583599508302</v>
      </c>
      <c r="F279" s="47">
        <f t="shared" si="17"/>
        <v>63.477733110573794</v>
      </c>
      <c r="G279" s="47">
        <f t="shared" si="17"/>
        <v>58.612227212660329</v>
      </c>
      <c r="H279" s="47">
        <f t="shared" si="17"/>
        <v>54.150337296302176</v>
      </c>
      <c r="I279" s="47">
        <f t="shared" si="17"/>
        <v>62.362982544272697</v>
      </c>
      <c r="J279" s="47">
        <f t="shared" si="17"/>
        <v>71.048269881064556</v>
      </c>
      <c r="K279" s="47">
        <f t="shared" si="17"/>
        <v>35.238331072601738</v>
      </c>
    </row>
    <row r="280" spans="3:11" x14ac:dyDescent="0.2">
      <c r="C280" s="88" t="s">
        <v>138</v>
      </c>
      <c r="D280" s="116">
        <f t="shared" si="17"/>
        <v>93.127205939532715</v>
      </c>
      <c r="E280" s="116">
        <f t="shared" si="17"/>
        <v>97.939832663448939</v>
      </c>
      <c r="F280" s="116">
        <f t="shared" si="17"/>
        <v>94.697338290005291</v>
      </c>
      <c r="G280" s="116">
        <f t="shared" si="17"/>
        <v>93.775999469705908</v>
      </c>
      <c r="H280" s="116">
        <f t="shared" si="17"/>
        <v>83.9579711964616</v>
      </c>
      <c r="I280" s="116">
        <f t="shared" si="17"/>
        <v>81.564557762430468</v>
      </c>
      <c r="J280" s="116">
        <f t="shared" si="17"/>
        <v>85.586638961646997</v>
      </c>
      <c r="K280" s="116">
        <f t="shared" si="17"/>
        <v>36.141659305700315</v>
      </c>
    </row>
    <row r="281" spans="3:11" x14ac:dyDescent="0.2">
      <c r="C281" s="87" t="s">
        <v>160</v>
      </c>
      <c r="D281" s="47">
        <f t="shared" si="17"/>
        <v>84.668838326949341</v>
      </c>
      <c r="E281" s="47">
        <f t="shared" si="17"/>
        <v>83.341757455571027</v>
      </c>
      <c r="F281" s="47">
        <f t="shared" si="17"/>
        <v>81.410643012934571</v>
      </c>
      <c r="G281" s="47">
        <f t="shared" si="17"/>
        <v>69.580346187613543</v>
      </c>
      <c r="H281" s="47">
        <f t="shared" si="17"/>
        <v>68.655228240520501</v>
      </c>
      <c r="I281" s="47">
        <f t="shared" si="17"/>
        <v>70.067367087626849</v>
      </c>
      <c r="J281" s="47">
        <f t="shared" si="17"/>
        <v>77.631548799980735</v>
      </c>
      <c r="K281" s="47">
        <f t="shared" si="17"/>
        <v>35.242593961256233</v>
      </c>
    </row>
    <row r="282" spans="3:11" x14ac:dyDescent="0.2">
      <c r="C282" s="88" t="s">
        <v>161</v>
      </c>
      <c r="D282" s="116">
        <f t="shared" si="17"/>
        <v>76.739798939197541</v>
      </c>
      <c r="E282" s="116">
        <f t="shared" si="17"/>
        <v>79.561596489595928</v>
      </c>
      <c r="F282" s="116">
        <f t="shared" si="17"/>
        <v>67.145321746367728</v>
      </c>
      <c r="G282" s="116">
        <f t="shared" si="17"/>
        <v>67.686816454145898</v>
      </c>
      <c r="H282" s="116">
        <f t="shared" si="17"/>
        <v>72.081372174310005</v>
      </c>
      <c r="I282" s="116">
        <f t="shared" si="17"/>
        <v>77.056577021982946</v>
      </c>
      <c r="J282" s="116">
        <f t="shared" si="17"/>
        <v>81.81458792295588</v>
      </c>
      <c r="K282" s="116">
        <f t="shared" si="17"/>
        <v>33.656398457237401</v>
      </c>
    </row>
    <row r="283" spans="3:11" x14ac:dyDescent="0.2">
      <c r="C283" s="87" t="s">
        <v>140</v>
      </c>
      <c r="D283" s="47">
        <f t="shared" si="17"/>
        <v>83.278552713008708</v>
      </c>
      <c r="E283" s="47">
        <f t="shared" si="17"/>
        <v>88.130684795530243</v>
      </c>
      <c r="F283" s="47">
        <f t="shared" si="17"/>
        <v>89.480751255635838</v>
      </c>
      <c r="G283" s="47">
        <f t="shared" si="17"/>
        <v>83.382307899683155</v>
      </c>
      <c r="H283" s="47">
        <f t="shared" si="17"/>
        <v>86.47836679555428</v>
      </c>
      <c r="I283" s="47">
        <f t="shared" si="17"/>
        <v>73.00329836781583</v>
      </c>
      <c r="J283" s="47">
        <f t="shared" si="17"/>
        <v>77.538023251386747</v>
      </c>
      <c r="K283" s="47">
        <f t="shared" si="17"/>
        <v>49.370938987422505</v>
      </c>
    </row>
    <row r="284" spans="3:11" x14ac:dyDescent="0.2">
      <c r="C284" s="88" t="s">
        <v>141</v>
      </c>
      <c r="D284" s="116">
        <f t="shared" si="17"/>
        <v>88.913753115811744</v>
      </c>
      <c r="E284" s="116">
        <f t="shared" si="17"/>
        <v>80.298111493504408</v>
      </c>
      <c r="F284" s="116">
        <f t="shared" si="17"/>
        <v>80.784599536831948</v>
      </c>
      <c r="G284" s="116">
        <f t="shared" si="17"/>
        <v>83.505630197795909</v>
      </c>
      <c r="H284" s="116">
        <f t="shared" si="17"/>
        <v>80.756865281714425</v>
      </c>
      <c r="I284" s="116">
        <f t="shared" si="17"/>
        <v>87.121294853611928</v>
      </c>
      <c r="J284" s="116">
        <f t="shared" si="17"/>
        <v>90.231510174292865</v>
      </c>
      <c r="K284" s="116">
        <f t="shared" si="17"/>
        <v>38.372796949052386</v>
      </c>
    </row>
    <row r="285" spans="3:11" x14ac:dyDescent="0.2">
      <c r="C285" s="87" t="s">
        <v>142</v>
      </c>
      <c r="D285" s="47">
        <f t="shared" ref="D285:K294" si="18">+IFERROR(IF(D243&gt;0,+((D243/D35)*100)," "),"0")</f>
        <v>69.396474284066954</v>
      </c>
      <c r="E285" s="47">
        <f t="shared" si="18"/>
        <v>78.559075661321003</v>
      </c>
      <c r="F285" s="47">
        <f t="shared" si="18"/>
        <v>56.080600415732754</v>
      </c>
      <c r="G285" s="47">
        <f t="shared" si="18"/>
        <v>45.333639663986268</v>
      </c>
      <c r="H285" s="47">
        <f t="shared" si="18"/>
        <v>44.202348349430778</v>
      </c>
      <c r="I285" s="47">
        <f t="shared" si="18"/>
        <v>56.744128769717719</v>
      </c>
      <c r="J285" s="47">
        <f t="shared" si="18"/>
        <v>61.011784293881178</v>
      </c>
      <c r="K285" s="47">
        <f t="shared" si="18"/>
        <v>33.01629864077065</v>
      </c>
    </row>
    <row r="286" spans="3:11" x14ac:dyDescent="0.2">
      <c r="C286" s="88" t="s">
        <v>143</v>
      </c>
      <c r="D286" s="116">
        <f t="shared" si="18"/>
        <v>41.304506423474734</v>
      </c>
      <c r="E286" s="116">
        <f t="shared" si="18"/>
        <v>34.300712253843663</v>
      </c>
      <c r="F286" s="116">
        <f t="shared" si="18"/>
        <v>44.746715028423232</v>
      </c>
      <c r="G286" s="116">
        <f t="shared" si="18"/>
        <v>19.623181650326703</v>
      </c>
      <c r="H286" s="116">
        <f t="shared" si="18"/>
        <v>15.469077657719588</v>
      </c>
      <c r="I286" s="116">
        <f t="shared" si="18"/>
        <v>27.643430186371571</v>
      </c>
      <c r="J286" s="116">
        <f t="shared" si="18"/>
        <v>40.85624914820913</v>
      </c>
      <c r="K286" s="116">
        <f t="shared" si="18"/>
        <v>4.413215907026081</v>
      </c>
    </row>
    <row r="287" spans="3:11" x14ac:dyDescent="0.2">
      <c r="C287" s="87" t="s">
        <v>144</v>
      </c>
      <c r="D287" s="47">
        <f t="shared" si="18"/>
        <v>90.494884764196996</v>
      </c>
      <c r="E287" s="47">
        <f t="shared" si="18"/>
        <v>90.675820624780101</v>
      </c>
      <c r="F287" s="47">
        <f t="shared" si="18"/>
        <v>88.005373536842228</v>
      </c>
      <c r="G287" s="47">
        <f t="shared" si="18"/>
        <v>88.57194836219206</v>
      </c>
      <c r="H287" s="47">
        <f t="shared" si="18"/>
        <v>83.13746457646721</v>
      </c>
      <c r="I287" s="47">
        <f t="shared" si="18"/>
        <v>84.858146214866679</v>
      </c>
      <c r="J287" s="47">
        <f t="shared" si="18"/>
        <v>85.640097163968306</v>
      </c>
      <c r="K287" s="47">
        <f t="shared" si="18"/>
        <v>37.459588948477474</v>
      </c>
    </row>
    <row r="288" spans="3:11" x14ac:dyDescent="0.2">
      <c r="C288" s="88" t="s">
        <v>145</v>
      </c>
      <c r="D288" s="116">
        <f t="shared" si="18"/>
        <v>90.92786634176629</v>
      </c>
      <c r="E288" s="116">
        <f t="shared" si="18"/>
        <v>87.866075595584064</v>
      </c>
      <c r="F288" s="116">
        <f t="shared" si="18"/>
        <v>83.403635967000653</v>
      </c>
      <c r="G288" s="116">
        <f t="shared" si="18"/>
        <v>91.50982414498732</v>
      </c>
      <c r="H288" s="116">
        <f t="shared" si="18"/>
        <v>76.880805156010751</v>
      </c>
      <c r="I288" s="116">
        <f t="shared" si="18"/>
        <v>55.779387109853232</v>
      </c>
      <c r="J288" s="116">
        <f t="shared" si="18"/>
        <v>72.806500834653747</v>
      </c>
      <c r="K288" s="116">
        <f t="shared" si="18"/>
        <v>28.531136273480222</v>
      </c>
    </row>
    <row r="289" spans="1:11" x14ac:dyDescent="0.2">
      <c r="C289" s="87" t="s">
        <v>146</v>
      </c>
      <c r="D289" s="47">
        <f t="shared" si="18"/>
        <v>92.410393126191607</v>
      </c>
      <c r="E289" s="47">
        <f t="shared" si="18"/>
        <v>85.060824214008548</v>
      </c>
      <c r="F289" s="47">
        <f t="shared" si="18"/>
        <v>90.578827597339199</v>
      </c>
      <c r="G289" s="47">
        <f t="shared" si="18"/>
        <v>93.16118936549411</v>
      </c>
      <c r="H289" s="47">
        <f t="shared" si="18"/>
        <v>91.066509458001661</v>
      </c>
      <c r="I289" s="47">
        <f t="shared" si="18"/>
        <v>90.072966403194911</v>
      </c>
      <c r="J289" s="47">
        <f t="shared" si="18"/>
        <v>90.476562640908611</v>
      </c>
      <c r="K289" s="47">
        <f t="shared" si="18"/>
        <v>41.571486097879493</v>
      </c>
    </row>
    <row r="290" spans="1:11" x14ac:dyDescent="0.2">
      <c r="C290" s="88" t="s">
        <v>162</v>
      </c>
      <c r="D290" s="116">
        <f t="shared" si="18"/>
        <v>99.229679401162045</v>
      </c>
      <c r="E290" s="116">
        <f t="shared" si="18"/>
        <v>97.215546386247098</v>
      </c>
      <c r="F290" s="116">
        <f t="shared" si="18"/>
        <v>99.056290560068078</v>
      </c>
      <c r="G290" s="116">
        <f t="shared" si="18"/>
        <v>99.388774893242342</v>
      </c>
      <c r="H290" s="116">
        <f t="shared" si="18"/>
        <v>92.832804891601413</v>
      </c>
      <c r="I290" s="116">
        <f t="shared" si="18"/>
        <v>93.993885105671296</v>
      </c>
      <c r="J290" s="116">
        <f t="shared" si="18"/>
        <v>96.050640937911979</v>
      </c>
      <c r="K290" s="116">
        <f t="shared" si="18"/>
        <v>45.282655256993252</v>
      </c>
    </row>
    <row r="291" spans="1:11" x14ac:dyDescent="0.2">
      <c r="C291" s="87" t="s">
        <v>148</v>
      </c>
      <c r="D291" s="47">
        <f t="shared" si="18"/>
        <v>81.996231656276734</v>
      </c>
      <c r="E291" s="47">
        <f t="shared" si="18"/>
        <v>89.633545697331527</v>
      </c>
      <c r="F291" s="47">
        <f t="shared" si="18"/>
        <v>91.875416261447739</v>
      </c>
      <c r="G291" s="47">
        <f t="shared" si="18"/>
        <v>92.974864946467832</v>
      </c>
      <c r="H291" s="47">
        <f t="shared" si="18"/>
        <v>87.112211758977352</v>
      </c>
      <c r="I291" s="47">
        <f t="shared" si="18"/>
        <v>89.728544325785094</v>
      </c>
      <c r="J291" s="47">
        <f t="shared" si="18"/>
        <v>87.602363771359421</v>
      </c>
      <c r="K291" s="47">
        <f t="shared" si="18"/>
        <v>45.698652624518672</v>
      </c>
    </row>
    <row r="292" spans="1:11" x14ac:dyDescent="0.2">
      <c r="C292" s="88" t="s">
        <v>149</v>
      </c>
      <c r="D292" s="116">
        <f t="shared" si="18"/>
        <v>82.01803005510105</v>
      </c>
      <c r="E292" s="116">
        <f t="shared" si="18"/>
        <v>77.672566821475357</v>
      </c>
      <c r="F292" s="116">
        <f t="shared" si="18"/>
        <v>76.66876584559661</v>
      </c>
      <c r="G292" s="116">
        <f t="shared" si="18"/>
        <v>75.747000685764803</v>
      </c>
      <c r="H292" s="116">
        <f t="shared" si="18"/>
        <v>86.39274674857019</v>
      </c>
      <c r="I292" s="116">
        <f t="shared" si="18"/>
        <v>63.949756590535479</v>
      </c>
      <c r="J292" s="116">
        <f t="shared" si="18"/>
        <v>70.04236390241708</v>
      </c>
      <c r="K292" s="116">
        <f t="shared" si="18"/>
        <v>40.742691444709756</v>
      </c>
    </row>
    <row r="293" spans="1:11" x14ac:dyDescent="0.2">
      <c r="C293" s="87" t="s">
        <v>163</v>
      </c>
      <c r="D293" s="47">
        <f t="shared" si="18"/>
        <v>81.898671051092592</v>
      </c>
      <c r="E293" s="47">
        <f t="shared" si="18"/>
        <v>86.437054144126733</v>
      </c>
      <c r="F293" s="47">
        <f t="shared" si="18"/>
        <v>93.120765770531619</v>
      </c>
      <c r="G293" s="47">
        <f t="shared" si="18"/>
        <v>64.802202267113159</v>
      </c>
      <c r="H293" s="47">
        <f t="shared" si="18"/>
        <v>77.331880299798897</v>
      </c>
      <c r="I293" s="47">
        <f t="shared" si="18"/>
        <v>80.550309663697007</v>
      </c>
      <c r="J293" s="47">
        <f t="shared" si="18"/>
        <v>85.15980021684895</v>
      </c>
      <c r="K293" s="47">
        <f t="shared" si="18"/>
        <v>34.606760848195258</v>
      </c>
    </row>
    <row r="294" spans="1:11" x14ac:dyDescent="0.2">
      <c r="C294" s="88" t="s">
        <v>150</v>
      </c>
      <c r="D294" s="116">
        <f t="shared" si="18"/>
        <v>75.519958546000254</v>
      </c>
      <c r="E294" s="116">
        <f t="shared" si="18"/>
        <v>76.655922840818903</v>
      </c>
      <c r="F294" s="116">
        <f t="shared" si="18"/>
        <v>76.499216256769571</v>
      </c>
      <c r="G294" s="116">
        <f t="shared" si="18"/>
        <v>71.459058624897636</v>
      </c>
      <c r="H294" s="116">
        <f t="shared" si="18"/>
        <v>76.55781228688484</v>
      </c>
      <c r="I294" s="116">
        <f t="shared" si="18"/>
        <v>41.72954406450107</v>
      </c>
      <c r="J294" s="116">
        <f t="shared" si="18"/>
        <v>42.158143586267691</v>
      </c>
      <c r="K294" s="116">
        <f t="shared" si="18"/>
        <v>14.471373603740609</v>
      </c>
    </row>
    <row r="295" spans="1:11" x14ac:dyDescent="0.2">
      <c r="C295" s="87" t="s">
        <v>151</v>
      </c>
      <c r="D295" s="47">
        <f t="shared" ref="D295:K295" si="19">+IFERROR(IF(D253&gt;0,+((D253/D45)*100)," "),"0")</f>
        <v>69.14729685709699</v>
      </c>
      <c r="E295" s="47">
        <f t="shared" si="19"/>
        <v>76.009821318196529</v>
      </c>
      <c r="F295" s="47">
        <f t="shared" si="19"/>
        <v>77.472696795285572</v>
      </c>
      <c r="G295" s="47">
        <f t="shared" si="19"/>
        <v>80.267899161500168</v>
      </c>
      <c r="H295" s="47">
        <f t="shared" si="19"/>
        <v>62.527427561013873</v>
      </c>
      <c r="I295" s="47">
        <f t="shared" si="19"/>
        <v>58.735068306562823</v>
      </c>
      <c r="J295" s="47">
        <f t="shared" si="19"/>
        <v>69.589487400230709</v>
      </c>
      <c r="K295" s="47">
        <f t="shared" si="19"/>
        <v>35.557566886933358</v>
      </c>
    </row>
    <row r="296" spans="1:11" x14ac:dyDescent="0.2">
      <c r="C296" s="91" t="s">
        <v>154</v>
      </c>
      <c r="D296" s="74">
        <f t="shared" ref="D296:K296" si="20">+IFERROR(IF(D254&gt;0,+((D254/D46)*100)," "),"")</f>
        <v>90.095794793203055</v>
      </c>
      <c r="E296" s="74">
        <f t="shared" si="20"/>
        <v>83.386279084395284</v>
      </c>
      <c r="F296" s="74">
        <f t="shared" si="20"/>
        <v>89.515611824056492</v>
      </c>
      <c r="G296" s="74">
        <f t="shared" si="20"/>
        <v>86.180922574549768</v>
      </c>
      <c r="H296" s="74">
        <f t="shared" si="20"/>
        <v>85.451290447475188</v>
      </c>
      <c r="I296" s="74">
        <f t="shared" si="20"/>
        <v>81.482899856413923</v>
      </c>
      <c r="J296" s="74">
        <f t="shared" si="20"/>
        <v>86.235197910681833</v>
      </c>
      <c r="K296" s="74">
        <f t="shared" si="20"/>
        <v>39.255049871682431</v>
      </c>
    </row>
    <row r="297" spans="1:11" s="31" customFormat="1" x14ac:dyDescent="0.2">
      <c r="A297" s="5"/>
      <c r="B297" s="5"/>
      <c r="C297" s="72" t="str">
        <f>+'C1 Aprop Resumen 2000-2026'!B20</f>
        <v>* Información con corte a 30 de Junio</v>
      </c>
      <c r="D297" s="69"/>
      <c r="E297" s="69"/>
      <c r="F297" s="69"/>
      <c r="G297" s="69"/>
      <c r="H297" s="69"/>
      <c r="I297" s="69"/>
    </row>
    <row r="298" spans="1:11" x14ac:dyDescent="0.2">
      <c r="C298" s="1" t="s">
        <v>52</v>
      </c>
      <c r="D298" s="11"/>
    </row>
  </sheetData>
  <mergeCells count="82">
    <mergeCell ref="E8:E9"/>
    <mergeCell ref="J180:J181"/>
    <mergeCell ref="G8:G9"/>
    <mergeCell ref="F221:F222"/>
    <mergeCell ref="F55:F56"/>
    <mergeCell ref="C52:K52"/>
    <mergeCell ref="H55:H56"/>
    <mergeCell ref="E221:E222"/>
    <mergeCell ref="D263:D264"/>
    <mergeCell ref="F263:F264"/>
    <mergeCell ref="J55:J56"/>
    <mergeCell ref="G221:G222"/>
    <mergeCell ref="J138:J139"/>
    <mergeCell ref="D55:D56"/>
    <mergeCell ref="I138:I139"/>
    <mergeCell ref="G55:G56"/>
    <mergeCell ref="C260:K260"/>
    <mergeCell ref="J263:J264"/>
    <mergeCell ref="G263:G264"/>
    <mergeCell ref="C55:C56"/>
    <mergeCell ref="I263:I264"/>
    <mergeCell ref="H180:H181"/>
    <mergeCell ref="D13:D14"/>
    <mergeCell ref="D2:K4"/>
    <mergeCell ref="A7:C8"/>
    <mergeCell ref="F13:F14"/>
    <mergeCell ref="H13:H14"/>
    <mergeCell ref="D8:D9"/>
    <mergeCell ref="H8:H9"/>
    <mergeCell ref="J8:J9"/>
    <mergeCell ref="E13:E14"/>
    <mergeCell ref="G13:G14"/>
    <mergeCell ref="D6:K6"/>
    <mergeCell ref="F8:F9"/>
    <mergeCell ref="I8:I9"/>
    <mergeCell ref="K8:K9"/>
    <mergeCell ref="J13:J14"/>
    <mergeCell ref="C11:K11"/>
    <mergeCell ref="C263:C264"/>
    <mergeCell ref="E263:E264"/>
    <mergeCell ref="K221:K222"/>
    <mergeCell ref="K55:K56"/>
    <mergeCell ref="H221:H222"/>
    <mergeCell ref="E55:E56"/>
    <mergeCell ref="C177:K177"/>
    <mergeCell ref="C138:C139"/>
    <mergeCell ref="I96:I97"/>
    <mergeCell ref="D180:D181"/>
    <mergeCell ref="F180:F181"/>
    <mergeCell ref="F96:F97"/>
    <mergeCell ref="H96:H97"/>
    <mergeCell ref="D221:D222"/>
    <mergeCell ref="G138:G139"/>
    <mergeCell ref="H263:H264"/>
    <mergeCell ref="I180:I181"/>
    <mergeCell ref="K180:K181"/>
    <mergeCell ref="K96:K97"/>
    <mergeCell ref="C219:K219"/>
    <mergeCell ref="I221:I222"/>
    <mergeCell ref="J221:J222"/>
    <mergeCell ref="E96:E97"/>
    <mergeCell ref="D96:D97"/>
    <mergeCell ref="E138:E139"/>
    <mergeCell ref="C180:C181"/>
    <mergeCell ref="E180:E181"/>
    <mergeCell ref="K138:K139"/>
    <mergeCell ref="K263:K264"/>
    <mergeCell ref="I55:I56"/>
    <mergeCell ref="I13:I14"/>
    <mergeCell ref="K13:K14"/>
    <mergeCell ref="A9:C9"/>
    <mergeCell ref="C136:K136"/>
    <mergeCell ref="C96:C97"/>
    <mergeCell ref="C13:C14"/>
    <mergeCell ref="D138:D139"/>
    <mergeCell ref="J96:J97"/>
    <mergeCell ref="G96:G97"/>
    <mergeCell ref="C221:C222"/>
    <mergeCell ref="C94:K94"/>
    <mergeCell ref="F138:F139"/>
    <mergeCell ref="H138:H139"/>
    <mergeCell ref="G180:G181"/>
  </mergeCells>
  <pageMargins left="0.7" right="0.7" top="0.75" bottom="0.75" header="0.3" footer="0.3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V277"/>
  <sheetViews>
    <sheetView showGridLines="0" zoomScaleNormal="100" workbookViewId="0">
      <pane xSplit="3" ySplit="7" topLeftCell="D10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3.570312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2" customFormat="1" ht="16.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99"/>
      <c r="B4" s="98"/>
      <c r="C4" s="98"/>
      <c r="D4" s="165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2" s="102" customFormat="1" ht="15" customHeight="1" x14ac:dyDescent="0.25">
      <c r="A5" s="169" t="s">
        <v>10</v>
      </c>
      <c r="B5" s="180"/>
      <c r="C5" s="18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8" customHeight="1" x14ac:dyDescent="0.2">
      <c r="D9" s="164" t="s">
        <v>164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1" t="s">
        <v>120</v>
      </c>
      <c r="D11" s="184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85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56">
        <f>455.738188655*Deflactores!$A$5</f>
        <v>1700.7764433785878</v>
      </c>
      <c r="E13" s="56">
        <f>688.656358711*Deflactores!$B$5</f>
        <v>2387.410942558367</v>
      </c>
      <c r="F13" s="56">
        <f>720.871962867*Deflactores!$C$5</f>
        <v>2335.78085698429</v>
      </c>
      <c r="G13" s="56">
        <f>506.90501138*Deflactores!$D$5</f>
        <v>1542.3614581442398</v>
      </c>
      <c r="H13" s="56">
        <f>593.296833227*Deflactores!$E$5</f>
        <v>1711.1637464946191</v>
      </c>
      <c r="I13" s="56">
        <f>638.740973397*Deflactores!$F$5</f>
        <v>1756.9301122039042</v>
      </c>
      <c r="J13" s="56">
        <f>962.426747364*Deflactores!$G$5</f>
        <v>2533.8024925171703</v>
      </c>
      <c r="K13" s="56">
        <f>1356.724748*Deflactores!$H$5</f>
        <v>3379.4388509148507</v>
      </c>
      <c r="L13" s="56">
        <f>1821.104755*Deflactores!$I$5</f>
        <v>4212.8444966760335</v>
      </c>
      <c r="M13" s="56">
        <f>1568.8600562*Deflactores!$J$5</f>
        <v>3558.0892417951804</v>
      </c>
      <c r="N13" s="56">
        <f>1611.279520914*Deflactores!$K$5</f>
        <v>3541.9705233564187</v>
      </c>
      <c r="O13" s="56">
        <f>1683.930292593*Deflactores!$L$5</f>
        <v>3568.6804824941514</v>
      </c>
      <c r="P13" s="56">
        <f>2205.756639696*Deflactores!$M$5</f>
        <v>4563.2218297421396</v>
      </c>
      <c r="Q13" s="56">
        <f>3674.477554233*Deflactores!$N$5</f>
        <v>7457.0139544581989</v>
      </c>
      <c r="R13" s="56">
        <f>3358.734289103*Deflactores!$O$5</f>
        <v>6575.5759816487298</v>
      </c>
      <c r="S13" s="56">
        <f>3740.406298941*Deflactores!$P$5</f>
        <v>6858.4770455473272</v>
      </c>
      <c r="T13" s="56">
        <f>2540.32211847*Deflactores!$Q$5</f>
        <v>4404.7100302482295</v>
      </c>
      <c r="U13" s="56">
        <f>2789.005206724*Deflactores!$R$5</f>
        <v>4645.8892228334753</v>
      </c>
      <c r="V13" s="56">
        <f>2363.434131647*Deflactores!$S$5</f>
        <v>3815.6409825963365</v>
      </c>
    </row>
    <row r="14" spans="1:22" x14ac:dyDescent="0.2">
      <c r="C14" s="88" t="s">
        <v>124</v>
      </c>
      <c r="D14" s="57">
        <f>141.754085656*Deflactores!$A$5</f>
        <v>529.01427977304161</v>
      </c>
      <c r="E14" s="57">
        <f>158.782401862*Deflactores!$B$5</f>
        <v>550.46154572736941</v>
      </c>
      <c r="F14" s="57">
        <f>168.623796102*Deflactores!$C$5</f>
        <v>546.37751952594931</v>
      </c>
      <c r="G14" s="57">
        <f>202.204890327*Deflactores!$D$5</f>
        <v>615.2494500687684</v>
      </c>
      <c r="H14" s="57">
        <f>328.913985645*Deflactores!$E$5</f>
        <v>948.64097772022683</v>
      </c>
      <c r="I14" s="57">
        <f>304.415347659*Deflactores!$F$5</f>
        <v>837.3292354719473</v>
      </c>
      <c r="J14" s="57">
        <f>427.603708801*Deflactores!$G$5</f>
        <v>1125.7618786438225</v>
      </c>
      <c r="K14" s="57">
        <f>507.585384708*Deflactores!$H$5</f>
        <v>1264.3343992710713</v>
      </c>
      <c r="L14" s="57">
        <f>1453.038795815*Deflactores!$I$5</f>
        <v>3361.3807649445143</v>
      </c>
      <c r="M14" s="57">
        <f>1696.060434788*Deflactores!$J$5</f>
        <v>3846.5727791366021</v>
      </c>
      <c r="N14" s="57">
        <f>1888.831576732*Deflactores!$K$5</f>
        <v>4152.0950781864076</v>
      </c>
      <c r="O14" s="57">
        <f>1367.054614615*Deflactores!$L$5</f>
        <v>2897.1395924993017</v>
      </c>
      <c r="P14" s="57">
        <f>371.281383759*Deflactores!$M$5</f>
        <v>768.09893025163433</v>
      </c>
      <c r="Q14" s="57">
        <f>501.449179*Deflactores!$N$5</f>
        <v>1017.6449495376332</v>
      </c>
      <c r="R14" s="57">
        <f>520.549805143*Deflactores!$O$5</f>
        <v>1019.1085395041408</v>
      </c>
      <c r="S14" s="57">
        <f>643.464246784*Deflactores!$P$5</f>
        <v>1179.8677505831238</v>
      </c>
      <c r="T14" s="57">
        <f>613.207957371*Deflactores!$Q$5</f>
        <v>1063.2522627039316</v>
      </c>
      <c r="U14" s="57">
        <f>638.954831541*Deflactores!$R$5</f>
        <v>1064.3627909252143</v>
      </c>
      <c r="V14" s="57">
        <f>591.536265093*Deflactores!$S$5</f>
        <v>955.00440886327101</v>
      </c>
    </row>
    <row r="15" spans="1:22" x14ac:dyDescent="0.2">
      <c r="C15" s="87" t="s">
        <v>125</v>
      </c>
      <c r="D15" s="56">
        <f>38.609903136*Deflactores!$A$5</f>
        <v>144.08889877900606</v>
      </c>
      <c r="E15" s="56">
        <f>67.628036761*Deflactores!$B$5</f>
        <v>234.45062685423798</v>
      </c>
      <c r="F15" s="56">
        <f>65.791099104*Deflactores!$C$5</f>
        <v>213.1773709659895</v>
      </c>
      <c r="G15" s="56">
        <f>45.520443106*Deflactores!$D$5</f>
        <v>138.50519412543369</v>
      </c>
      <c r="H15" s="56">
        <f>65.656223646*Deflactores!$E$5</f>
        <v>189.3631372068904</v>
      </c>
      <c r="I15" s="56">
        <f>57.36848938*Deflactores!$F$5</f>
        <v>157.79859235791636</v>
      </c>
      <c r="J15" s="56">
        <f>82.823859789*Deflactores!$G$5</f>
        <v>218.05223405110729</v>
      </c>
      <c r="K15" s="56">
        <f>79.906484652*Deflactores!$H$5</f>
        <v>199.03748278423828</v>
      </c>
      <c r="L15" s="56">
        <f>134.718664815*Deflactores!$I$5</f>
        <v>311.65081750907621</v>
      </c>
      <c r="M15" s="56">
        <f>187.005526702*Deflactores!$J$5</f>
        <v>424.11835911373601</v>
      </c>
      <c r="N15" s="56">
        <f>356.685774659*Deflactores!$K$5</f>
        <v>784.07904000795565</v>
      </c>
      <c r="O15" s="56">
        <f>379.576836664*Deflactores!$L$5</f>
        <v>804.42073794148814</v>
      </c>
      <c r="P15" s="56">
        <f>425.192068809*Deflactores!$M$5</f>
        <v>879.62819438224938</v>
      </c>
      <c r="Q15" s="56">
        <f>430.150279571*Deflactores!$N$5</f>
        <v>872.95039633045076</v>
      </c>
      <c r="R15" s="56">
        <f>376.768072066*Deflactores!$O$5</f>
        <v>737.61925537459888</v>
      </c>
      <c r="S15" s="56">
        <f>354.686305279*Deflactores!$P$5</f>
        <v>650.35926279312059</v>
      </c>
      <c r="T15" s="56">
        <f>306.516490806*Deflactores!$Q$5</f>
        <v>531.4744345503841</v>
      </c>
      <c r="U15" s="56">
        <f>380.331423347*Deflactores!$R$5</f>
        <v>633.55122341569859</v>
      </c>
      <c r="V15" s="56">
        <f>334.7780418*Deflactores!$S$5</f>
        <v>540.48166575103835</v>
      </c>
    </row>
    <row r="16" spans="1:22" x14ac:dyDescent="0.2">
      <c r="C16" s="88" t="s">
        <v>126</v>
      </c>
      <c r="D16" s="57">
        <f>214.734864607*Deflactores!$A$5</f>
        <v>801.37238525812791</v>
      </c>
      <c r="E16" s="57">
        <f>256.846264677*Deflactores!$B$5</f>
        <v>890.42608129382791</v>
      </c>
      <c r="F16" s="57">
        <f>246.5010408359*Deflactores!$C$5</f>
        <v>798.7166127550272</v>
      </c>
      <c r="G16" s="57">
        <f>173.066511164*Deflactores!$D$5</f>
        <v>526.59001296544523</v>
      </c>
      <c r="H16" s="57">
        <f>155.500001214*Deflactores!$E$5</f>
        <v>448.48708058999455</v>
      </c>
      <c r="I16" s="57">
        <f>172.880426508*Deflactores!$F$5</f>
        <v>475.52738871156606</v>
      </c>
      <c r="J16" s="57">
        <f>261.330176922*Deflactores!$G$5</f>
        <v>688.00982045491844</v>
      </c>
      <c r="K16" s="57">
        <f>277.600862522*Deflactores!$H$5</f>
        <v>691.47049999438718</v>
      </c>
      <c r="L16" s="57">
        <f>231.294047117*Deflactores!$I$5</f>
        <v>535.06304392180914</v>
      </c>
      <c r="M16" s="57">
        <f>375.116215247*Deflactores!$J$5</f>
        <v>850.74316515272892</v>
      </c>
      <c r="N16" s="57">
        <f>347.961101417*Deflactores!$K$5</f>
        <v>764.90016070863282</v>
      </c>
      <c r="O16" s="57">
        <f>463.304158736*Deflactores!$L$5</f>
        <v>981.86042261498312</v>
      </c>
      <c r="P16" s="57">
        <f>640.802237458*Deflactores!$M$5</f>
        <v>1325.6778675815106</v>
      </c>
      <c r="Q16" s="57">
        <f>873.405035178*Deflactores!$N$5</f>
        <v>1772.4951204868373</v>
      </c>
      <c r="R16" s="57">
        <f>676.451146678*Deflactores!$O$5</f>
        <v>1324.3250373468866</v>
      </c>
      <c r="S16" s="57">
        <f>633.200714703*Deflactores!$P$5</f>
        <v>1161.0483514168602</v>
      </c>
      <c r="T16" s="57">
        <f>585.079948296*Deflactores!$Q$5</f>
        <v>1014.4806038647814</v>
      </c>
      <c r="U16" s="57">
        <f>683.510776887*Deflactores!$R$5</f>
        <v>1138.5835151451186</v>
      </c>
      <c r="V16" s="57">
        <f>523.301240706*Deflactores!$S$5</f>
        <v>844.84252535096812</v>
      </c>
    </row>
    <row r="17" spans="3:22" x14ac:dyDescent="0.2">
      <c r="C17" s="87" t="s">
        <v>127</v>
      </c>
      <c r="D17" s="56">
        <f>194.10744778*Deflactores!$A$5</f>
        <v>724.39260717402556</v>
      </c>
      <c r="E17" s="56">
        <f>222.859320268*Deflactores!$B$5</f>
        <v>772.60127366692132</v>
      </c>
      <c r="F17" s="56">
        <f>196.468797251*Deflactores!$C$5</f>
        <v>636.60133734217857</v>
      </c>
      <c r="G17" s="56">
        <f>230.374907985*Deflactores!$D$5</f>
        <v>700.96245060245406</v>
      </c>
      <c r="H17" s="56">
        <f>230.193360479*Deflactores!$E$5</f>
        <v>663.91477431790611</v>
      </c>
      <c r="I17" s="56">
        <f>252.557433626*Deflactores!$F$5</f>
        <v>694.68811095459057</v>
      </c>
      <c r="J17" s="56">
        <f>301.754682913*Deflactores!$G$5</f>
        <v>794.43632441411467</v>
      </c>
      <c r="K17" s="56">
        <f>290.367705615*Deflactores!$H$5</f>
        <v>723.27117704079581</v>
      </c>
      <c r="L17" s="56">
        <f>321.209*Deflactores!$I$5</f>
        <v>743.06739588564301</v>
      </c>
      <c r="M17" s="56">
        <f>349.769350642*Deflactores!$J$5</f>
        <v>793.2578554159677</v>
      </c>
      <c r="N17" s="56">
        <f>379.682733535*Deflactores!$K$5</f>
        <v>834.6317525624022</v>
      </c>
      <c r="O17" s="56">
        <f>403.797018673*Deflactores!$L$5</f>
        <v>855.74951989770489</v>
      </c>
      <c r="P17" s="56">
        <f>427.242213704*Deflactores!$M$5</f>
        <v>883.86948998605089</v>
      </c>
      <c r="Q17" s="56">
        <f>467.87731726*Deflactores!$N$5</f>
        <v>949.51394648281178</v>
      </c>
      <c r="R17" s="56">
        <f>471.858594278*Deflactores!$O$5</f>
        <v>923.78311953268064</v>
      </c>
      <c r="S17" s="56">
        <f>476.201646874*Deflactores!$P$5</f>
        <v>873.17200408465055</v>
      </c>
      <c r="T17" s="56">
        <f>514.24660542*Deflactores!$Q$5</f>
        <v>891.66140169610435</v>
      </c>
      <c r="U17" s="56">
        <f>555.652081499*Deflactores!$R$5</f>
        <v>925.59813472469341</v>
      </c>
      <c r="V17" s="56">
        <f>587.450488892*Deflactores!$S$5</f>
        <v>948.40813655362615</v>
      </c>
    </row>
    <row r="18" spans="3:22" x14ac:dyDescent="0.2">
      <c r="C18" s="88" t="s">
        <v>128</v>
      </c>
      <c r="D18" s="57">
        <f>64.452734219*Deflactores!$A$5</f>
        <v>240.53216254387632</v>
      </c>
      <c r="E18" s="57">
        <f>67.700896713*Deflactores!$B$5</f>
        <v>234.70321531069928</v>
      </c>
      <c r="F18" s="57">
        <f>66.492568195*Deflactores!$C$5</f>
        <v>215.45028232740179</v>
      </c>
      <c r="G18" s="57">
        <f>66.093887351*Deflactores!$D$5</f>
        <v>201.10407705693393</v>
      </c>
      <c r="H18" s="57">
        <f>95.719740217*Deflactores!$E$5</f>
        <v>276.07116726433838</v>
      </c>
      <c r="I18" s="57">
        <f>104.982476796*Deflactores!$F$5</f>
        <v>288.76631125712964</v>
      </c>
      <c r="J18" s="57">
        <f>121.999896268*Deflactores!$G$5</f>
        <v>321.19186431316086</v>
      </c>
      <c r="K18" s="57">
        <f>142.160524984*Deflactores!$H$5</f>
        <v>354.10484101921963</v>
      </c>
      <c r="L18" s="57">
        <f>178.160154088*Deflactores!$I$5</f>
        <v>412.14599139113494</v>
      </c>
      <c r="M18" s="57">
        <f>190.016189859*Deflactores!$J$5</f>
        <v>430.9463793359713</v>
      </c>
      <c r="N18" s="57">
        <f>211.538376109*Deflactores!$K$5</f>
        <v>465.01099468560346</v>
      </c>
      <c r="O18" s="57">
        <f>232.782855763*Deflactores!$L$5</f>
        <v>493.32661671016871</v>
      </c>
      <c r="P18" s="57">
        <f>338.227629390999*Deflactores!$M$5</f>
        <v>699.71803511000871</v>
      </c>
      <c r="Q18" s="57">
        <f>404.618187454*Deflactores!$N$5</f>
        <v>821.13536565115101</v>
      </c>
      <c r="R18" s="57">
        <f>381.624068357*Deflactores!$O$5</f>
        <v>747.12610224893217</v>
      </c>
      <c r="S18" s="57">
        <f>424.032872088*Deflactores!$P$5</f>
        <v>777.5143894385061</v>
      </c>
      <c r="T18" s="57">
        <f>361.474432442*Deflactores!$Q$5</f>
        <v>626.76699410644699</v>
      </c>
      <c r="U18" s="57">
        <f>390.713544183*Deflactores!$R$5</f>
        <v>650.84562759459357</v>
      </c>
      <c r="V18" s="57">
        <f>390.440499395*Deflactores!$S$5</f>
        <v>630.34579674059398</v>
      </c>
    </row>
    <row r="19" spans="3:22" x14ac:dyDescent="0.2">
      <c r="C19" s="87" t="s">
        <v>129</v>
      </c>
      <c r="D19" s="56">
        <f>5980.370545903*Deflactores!$A$5</f>
        <v>22318.237971597238</v>
      </c>
      <c r="E19" s="56">
        <f>7061.971897664*Deflactores!$B$5</f>
        <v>24482.20911817365</v>
      </c>
      <c r="F19" s="56">
        <f>7951.35409901*Deflactores!$C$5</f>
        <v>25764.104651407772</v>
      </c>
      <c r="G19" s="56">
        <f>8936.93231553879*Deflactores!$D$5</f>
        <v>27192.431812826686</v>
      </c>
      <c r="H19" s="56">
        <f>10165.2618684976*Deflactores!$E$5</f>
        <v>29318.254554616851</v>
      </c>
      <c r="I19" s="56">
        <f>10926.169855527*Deflactores!$F$5</f>
        <v>30053.680020145912</v>
      </c>
      <c r="J19" s="56">
        <f>12211.9767889266*Deflactores!$G$5</f>
        <v>32150.745302012248</v>
      </c>
      <c r="K19" s="56">
        <f>13648.2202567938*Deflactores!$H$5</f>
        <v>33996.081997947033</v>
      </c>
      <c r="L19" s="56">
        <f>17387.4611230924*Deflactores!$I$5</f>
        <v>40223.205009196899</v>
      </c>
      <c r="M19" s="56">
        <f>19036.6297614989*Deflactores!$J$5</f>
        <v>43174.040467630082</v>
      </c>
      <c r="N19" s="56">
        <f>19295.46598281*Deflactores!$K$5</f>
        <v>42415.962505854557</v>
      </c>
      <c r="O19" s="56">
        <f>20063.499561601*Deflactores!$L$5</f>
        <v>42519.705008549878</v>
      </c>
      <c r="P19" s="56">
        <f>21903.797645106*Deflactores!$M$5</f>
        <v>45314.104815378741</v>
      </c>
      <c r="Q19" s="56">
        <f>24346.843120402*Deflactores!$N$5</f>
        <v>49409.676944873747</v>
      </c>
      <c r="R19" s="56">
        <f>25061.1486111133*Deflactores!$O$5</f>
        <v>49063.56761069542</v>
      </c>
      <c r="S19" s="56">
        <f>25095.3540820923*Deflactores!$P$5</f>
        <v>46015.297848964343</v>
      </c>
      <c r="T19" s="56">
        <f>26673.2747837519*Deflactores!$Q$5</f>
        <v>46249.268990469813</v>
      </c>
      <c r="U19" s="56">
        <f>27779.9102264464*Deflactores!$R$5</f>
        <v>46275.419357831561</v>
      </c>
      <c r="V19" s="56">
        <f>29378.099361864*Deflactores!$S$5</f>
        <v>47429.407240471439</v>
      </c>
    </row>
    <row r="20" spans="3:22" x14ac:dyDescent="0.2">
      <c r="C20" s="88" t="s">
        <v>130</v>
      </c>
      <c r="D20" s="57">
        <f>30.973297078*Deflactores!$A$5</f>
        <v>115.58972970752667</v>
      </c>
      <c r="E20" s="57">
        <f>65.154537301*Deflactores!$B$5</f>
        <v>225.87558125635888</v>
      </c>
      <c r="F20" s="57">
        <f>22.081202718*Deflactores!$C$5</f>
        <v>71.547866007669569</v>
      </c>
      <c r="G20" s="57">
        <f>25.806357975*Deflactores!$D$5</f>
        <v>78.521085848715785</v>
      </c>
      <c r="H20" s="57">
        <f>74.551895187*Deflactores!$E$5</f>
        <v>215.01968851340831</v>
      </c>
      <c r="I20" s="57">
        <f>59.030885363*Deflactores!$F$5</f>
        <v>162.37120266880083</v>
      </c>
      <c r="J20" s="57">
        <f>79.789790708*Deflactores!$G$5</f>
        <v>210.06437230374516</v>
      </c>
      <c r="K20" s="57">
        <f>67.887271097*Deflactores!$H$5</f>
        <v>169.09906137260981</v>
      </c>
      <c r="L20" s="57">
        <f>137.078682211*Deflactores!$I$5</f>
        <v>317.11035314067595</v>
      </c>
      <c r="M20" s="57">
        <f>127.739831448*Deflactores!$J$5</f>
        <v>289.7069870748989</v>
      </c>
      <c r="N20" s="57">
        <f>139.148157274*Deflactores!$K$5</f>
        <v>305.88030509088605</v>
      </c>
      <c r="O20" s="57">
        <f>169.170921184*Deflactores!$L$5</f>
        <v>358.51660088925865</v>
      </c>
      <c r="P20" s="57">
        <f>331.976815894*Deflactores!$M$5</f>
        <v>686.7864867742486</v>
      </c>
      <c r="Q20" s="57">
        <f>388.716914916*Deflactores!$N$5</f>
        <v>788.86519677424235</v>
      </c>
      <c r="R20" s="57">
        <f>352.960951687*Deflactores!$O$5</f>
        <v>691.01076673521311</v>
      </c>
      <c r="S20" s="57">
        <f>436.371406503*Deflactores!$P$5</f>
        <v>800.13855063856943</v>
      </c>
      <c r="T20" s="57">
        <f>408.787614975999*Deflactores!$Q$5</f>
        <v>708.8041689022117</v>
      </c>
      <c r="U20" s="57">
        <f>590.46427808*Deflactores!$R$5</f>
        <v>983.58784680156771</v>
      </c>
      <c r="V20" s="57">
        <f>569.193689811*Deflactores!$S$5</f>
        <v>918.93348784152272</v>
      </c>
    </row>
    <row r="21" spans="3:22" x14ac:dyDescent="0.2">
      <c r="C21" s="87" t="s">
        <v>131</v>
      </c>
      <c r="D21" s="56">
        <f>5086.576529057*Deflactores!$A$5</f>
        <v>18982.674161220202</v>
      </c>
      <c r="E21" s="56">
        <f>7595.5141733525*Deflactores!$B$5</f>
        <v>26331.875720658001</v>
      </c>
      <c r="F21" s="56">
        <f>8542.71265028*Deflactores!$C$5</f>
        <v>27680.234081905921</v>
      </c>
      <c r="G21" s="56">
        <f>9954.541638656*Deflactores!$D$5</f>
        <v>30288.714872154429</v>
      </c>
      <c r="H21" s="56">
        <f>11352.893065047*Deflactores!$E$5</f>
        <v>32743.574451721055</v>
      </c>
      <c r="I21" s="56">
        <f>12417.362844538*Deflactores!$F$5</f>
        <v>34155.376912341992</v>
      </c>
      <c r="J21" s="56">
        <f>13338.713873*Deflactores!$G$5</f>
        <v>35117.131304745555</v>
      </c>
      <c r="K21" s="56">
        <f>14313.604549264*Deflactores!$H$5</f>
        <v>35653.474576712229</v>
      </c>
      <c r="L21" s="56">
        <f>16223.97909579*Deflactores!$I$5</f>
        <v>37531.669092745797</v>
      </c>
      <c r="M21" s="56">
        <f>18797.361569996*Deflactores!$J$5</f>
        <v>42631.39322849243</v>
      </c>
      <c r="N21" s="56">
        <f>20847.124970238*Deflactores!$K$5</f>
        <v>45826.873104813494</v>
      </c>
      <c r="O21" s="56">
        <f>21759.051058952*Deflactores!$L$5</f>
        <v>46113.013806589734</v>
      </c>
      <c r="P21" s="56">
        <f>23358.473296529*Deflactores!$M$5</f>
        <v>48323.506472980764</v>
      </c>
      <c r="Q21" s="56">
        <f>25250.242525133*Deflactores!$N$5</f>
        <v>51243.042877336069</v>
      </c>
      <c r="R21" s="56">
        <f>26913.596242172*Deflactores!$O$5</f>
        <v>52690.204641666023</v>
      </c>
      <c r="S21" s="56">
        <f>29042.756408198*Deflactores!$P$5</f>
        <v>53253.326576164684</v>
      </c>
      <c r="T21" s="56">
        <f>31586.97004403*Deflactores!$Q$5</f>
        <v>54769.213229496338</v>
      </c>
      <c r="U21" s="56">
        <f>35566.568035739*Deflactores!$R$5</f>
        <v>59246.334403407011</v>
      </c>
      <c r="V21" s="56">
        <f>38219.982019598*Deflactores!$S$5</f>
        <v>61704.165051744625</v>
      </c>
    </row>
    <row r="22" spans="3:22" x14ac:dyDescent="0.2">
      <c r="C22" s="88" t="s">
        <v>132</v>
      </c>
      <c r="D22" s="57">
        <f>7.672202772*Deflactores!$A$5</f>
        <v>28.632013002797859</v>
      </c>
      <c r="E22" s="57">
        <f>7.746850265*Deflactores!$B$5</f>
        <v>26.856522645983031</v>
      </c>
      <c r="F22" s="57">
        <f>7.252446*Deflactores!$C$5</f>
        <v>23.499491457178117</v>
      </c>
      <c r="G22" s="57">
        <f>7.789121*Deflactores!$D$5</f>
        <v>23.699982745319367</v>
      </c>
      <c r="H22" s="57">
        <f>9.3371408*Deflactores!$E$5</f>
        <v>26.929819844095977</v>
      </c>
      <c r="I22" s="57">
        <f>15.84961325*Deflactores!$F$5</f>
        <v>43.596174263903549</v>
      </c>
      <c r="J22" s="57">
        <f>10.4826395*Deflactores!$G$5</f>
        <v>27.59788021894337</v>
      </c>
      <c r="K22" s="57">
        <f>12.935244057*Deflactores!$H$5</f>
        <v>32.220143678171652</v>
      </c>
      <c r="L22" s="57">
        <f>13.375459135*Deflactores!$I$5</f>
        <v>30.942058249361896</v>
      </c>
      <c r="M22" s="57">
        <f>12.74252132*Deflactores!$J$5</f>
        <v>28.899345000761404</v>
      </c>
      <c r="N22" s="57">
        <f>17.406935529*Deflactores!$K$5</f>
        <v>38.264529366518467</v>
      </c>
      <c r="O22" s="57">
        <f>18.3252*Deflactores!$L$5</f>
        <v>38.835802090774543</v>
      </c>
      <c r="P22" s="57">
        <f>26.653168342*Deflactores!$M$5</f>
        <v>55.139500623590507</v>
      </c>
      <c r="Q22" s="57">
        <f>25.337871*Deflactores!$N$5</f>
        <v>51.420876800729708</v>
      </c>
      <c r="R22" s="57">
        <f>29.725475093*Deflactores!$O$5</f>
        <v>58.195172121468836</v>
      </c>
      <c r="S22" s="57">
        <f>29.4370307*Deflactores!$P$5</f>
        <v>53.97627509134044</v>
      </c>
      <c r="T22" s="57">
        <f>37.025740029*Deflactores!$Q$5</f>
        <v>64.199593940206697</v>
      </c>
      <c r="U22" s="57">
        <f>44.390362981*Deflactores!$R$5</f>
        <v>73.944899232847789</v>
      </c>
      <c r="V22" s="57">
        <f>47.022288195*Deflactores!$S$5</f>
        <v>75.91502869905068</v>
      </c>
    </row>
    <row r="23" spans="3:22" x14ac:dyDescent="0.2">
      <c r="C23" s="87" t="s">
        <v>133</v>
      </c>
      <c r="D23" s="56">
        <f>646.73614742*Deflactores!$A$5</f>
        <v>2413.5647000739659</v>
      </c>
      <c r="E23" s="56">
        <f>671.89234715926*Deflactores!$B$5</f>
        <v>2329.2940252983394</v>
      </c>
      <c r="F23" s="56">
        <f>704.291536403*Deflactores!$C$5</f>
        <v>2282.0566941229413</v>
      </c>
      <c r="G23" s="56">
        <f>736.324701127*Deflactores!$D$5</f>
        <v>2240.4174632365248</v>
      </c>
      <c r="H23" s="56">
        <f>790.249672665*Deflactores!$E$5</f>
        <v>2279.207497516185</v>
      </c>
      <c r="I23" s="56">
        <f>872.18742914984*Deflactores!$F$5</f>
        <v>2399.0512924346876</v>
      </c>
      <c r="J23" s="56">
        <f>960.335895626839*Deflactores!$G$5</f>
        <v>2528.2978602346489</v>
      </c>
      <c r="K23" s="56">
        <f>1102.68951795731*Deflactores!$H$5</f>
        <v>2746.6675189457824</v>
      </c>
      <c r="L23" s="56">
        <f>1285.310836764*Deflactores!$I$5</f>
        <v>2973.3680450355446</v>
      </c>
      <c r="M23" s="56">
        <f>1476.083018265*Deflactores!$J$5</f>
        <v>3347.6759679932347</v>
      </c>
      <c r="N23" s="56">
        <f>1622.376020744*Deflactores!$K$5</f>
        <v>3566.363234118357</v>
      </c>
      <c r="O23" s="56">
        <f>1719.263298757*Deflactores!$L$5</f>
        <v>3643.5601910188725</v>
      </c>
      <c r="P23" s="56">
        <f>2042.359144413*Deflactores!$M$5</f>
        <v>4225.1886106725433</v>
      </c>
      <c r="Q23" s="56">
        <f>2281.172278269*Deflactores!$N$5</f>
        <v>4629.4291529904058</v>
      </c>
      <c r="R23" s="56">
        <f>2691.94951866*Deflactores!$O$5</f>
        <v>5270.1753324580204</v>
      </c>
      <c r="S23" s="56">
        <f>3010.325122613*Deflactores!$P$5</f>
        <v>5519.7869169777523</v>
      </c>
      <c r="T23" s="56">
        <f>3237.826559844*Deflactores!$Q$5</f>
        <v>5614.1254767086766</v>
      </c>
      <c r="U23" s="56">
        <f>3431.213745381*Deflactores!$R$5</f>
        <v>5715.6719974819325</v>
      </c>
      <c r="V23" s="56">
        <f>3718.060736557*Deflactores!$S$5</f>
        <v>6002.6148950903498</v>
      </c>
    </row>
    <row r="24" spans="3:22" x14ac:dyDescent="0.2">
      <c r="C24" s="88" t="s">
        <v>134</v>
      </c>
      <c r="D24" s="57">
        <f>7234.51836845699*Deflactores!$A$5</f>
        <v>26998.611761227374</v>
      </c>
      <c r="E24" s="57">
        <f>7119.861887615*Deflactores!$B$5</f>
        <v>24682.900208476374</v>
      </c>
      <c r="F24" s="57">
        <f>6354.59280074399*Deflactores!$C$5</f>
        <v>20590.253169058953</v>
      </c>
      <c r="G24" s="57">
        <f>5234.882392391*Deflactores!$D$5</f>
        <v>15928.192972408939</v>
      </c>
      <c r="H24" s="57">
        <f>6320.879682256*Deflactores!$E$5</f>
        <v>18230.436355780421</v>
      </c>
      <c r="I24" s="57">
        <f>7426.990659626*Deflactores!$F$5</f>
        <v>20428.787374571366</v>
      </c>
      <c r="J24" s="57">
        <f>6368.520120154*Deflactores!$G$5</f>
        <v>16766.545815864501</v>
      </c>
      <c r="K24" s="57">
        <f>7614.26300196818*Deflactores!$H$5</f>
        <v>18966.217169597032</v>
      </c>
      <c r="L24" s="57">
        <f>8119.203871584*Deflactores!$I$5</f>
        <v>18782.523769640804</v>
      </c>
      <c r="M24" s="57">
        <f>8548.377456691*Deflactores!$J$5</f>
        <v>19387.254932812979</v>
      </c>
      <c r="N24" s="57">
        <f>9324.200849585*Deflactores!$K$5</f>
        <v>20496.781678420943</v>
      </c>
      <c r="O24" s="57">
        <f>8391.939204828*Deflactores!$L$5</f>
        <v>17784.673024933541</v>
      </c>
      <c r="P24" s="57">
        <f>10022.891743639*Deflactores!$M$5</f>
        <v>20735.142571312499</v>
      </c>
      <c r="Q24" s="57">
        <f>14136.966373534*Deflactores!$N$5</f>
        <v>28689.671923483646</v>
      </c>
      <c r="R24" s="57">
        <f>17244.513129212*Deflactores!$O$5</f>
        <v>33760.517083938721</v>
      </c>
      <c r="S24" s="57">
        <f>17969.9765381118*Deflactores!$P$5</f>
        <v>32950.075939760325</v>
      </c>
      <c r="T24" s="57">
        <f>18457.1193863881*Deflactores!$Q$5</f>
        <v>32003.12995726601</v>
      </c>
      <c r="U24" s="57">
        <f>20972.0340867374*Deflactores!$R$5</f>
        <v>34934.946306147802</v>
      </c>
      <c r="V24" s="57">
        <f>12719.880092147*Deflactores!$S$5</f>
        <v>20535.582152858751</v>
      </c>
    </row>
    <row r="25" spans="3:22" ht="15" customHeight="1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91.182823985*Deflactores!$A$5</f>
        <v>340.28660080496996</v>
      </c>
      <c r="E26" s="57">
        <f>162.685666155*Deflactores!$B$5</f>
        <v>563.99325245879049</v>
      </c>
      <c r="F26" s="57">
        <f>128.090876663*Deflactores!$C$5</f>
        <v>415.04210605423657</v>
      </c>
      <c r="G26" s="57">
        <f>104.693809457*Deflactores!$D$5</f>
        <v>318.55218036446649</v>
      </c>
      <c r="H26" s="57">
        <f>231.810342181*Deflactores!$E$5</f>
        <v>668.57841031299142</v>
      </c>
      <c r="I26" s="57">
        <f>454.46985359612*Deflactores!$F$5</f>
        <v>1250.0713186214293</v>
      </c>
      <c r="J26" s="57">
        <f>1249.823854169*Deflactores!$G$5</f>
        <v>3290.4393041594353</v>
      </c>
      <c r="K26" s="57">
        <f>1549.896292854*Deflactores!$H$5</f>
        <v>3860.6060327866207</v>
      </c>
      <c r="L26" s="57">
        <f>2180.114027916*Deflactores!$I$5</f>
        <v>5043.3569839490865</v>
      </c>
      <c r="M26" s="57">
        <f>2263.124104898*Deflactores!$J$5</f>
        <v>5132.6423275693323</v>
      </c>
      <c r="N26" s="57">
        <f>3291.944583281*Deflactores!$K$5</f>
        <v>7236.4667502817892</v>
      </c>
      <c r="O26" s="57">
        <f>3468.980784916*Deflactores!$L$5</f>
        <v>7351.6606214228232</v>
      </c>
      <c r="P26" s="57">
        <f>5554.646999644*Deflactores!$M$5</f>
        <v>11491.33407971087</v>
      </c>
      <c r="Q26" s="57">
        <f>5829.552039526*Deflactores!$N$5</f>
        <v>11830.539244118381</v>
      </c>
      <c r="R26" s="57">
        <f>8344.296453324*Deflactores!$O$5</f>
        <v>16336.080981531719</v>
      </c>
      <c r="S26" s="57">
        <f>9309.648493139*Deflactores!$P$5</f>
        <v>17070.340863875026</v>
      </c>
      <c r="T26" s="57">
        <f>8186.705893235*Deflactores!$Q$5</f>
        <v>14195.076010416726</v>
      </c>
      <c r="U26" s="57">
        <f>8555.195645408*Deflactores!$R$5</f>
        <v>14251.135549122773</v>
      </c>
      <c r="V26" s="57">
        <f>8277.382626071*Deflactores!$S$5</f>
        <v>13363.401989400005</v>
      </c>
    </row>
    <row r="27" spans="3:22" x14ac:dyDescent="0.2">
      <c r="C27" s="87" t="s">
        <v>137</v>
      </c>
      <c r="D27" s="56">
        <f>76.071230251*Deflactores!$A$5</f>
        <v>283.89140881865387</v>
      </c>
      <c r="E27" s="56">
        <f>58.400400412*Deflactores!$B$5</f>
        <v>202.46056429998069</v>
      </c>
      <c r="F27" s="56">
        <f>72.857063007*Deflactores!$C$5</f>
        <v>236.07262015161285</v>
      </c>
      <c r="G27" s="56">
        <f>56.391566805*Deflactores!$D$5</f>
        <v>171.58279608957474</v>
      </c>
      <c r="H27" s="56">
        <f>89.082159091*Deflactores!$E$5</f>
        <v>256.92731287116573</v>
      </c>
      <c r="I27" s="56">
        <f>180.703583026*Deflactores!$F$5</f>
        <v>497.04587559657068</v>
      </c>
      <c r="J27" s="56">
        <f>82.515872902*Deflactores!$G$5</f>
        <v>217.24139006315644</v>
      </c>
      <c r="K27" s="56">
        <f>126.938769178*Deflactores!$H$5</f>
        <v>316.18927043221129</v>
      </c>
      <c r="L27" s="56">
        <f>135.3266*Deflactores!$I$5</f>
        <v>313.05718163581366</v>
      </c>
      <c r="M27" s="56">
        <f>136.3426667*Deflactores!$J$5</f>
        <v>309.21774932428548</v>
      </c>
      <c r="N27" s="56">
        <f>174.264923866*Deflactores!$K$5</f>
        <v>383.07519929142512</v>
      </c>
      <c r="O27" s="56">
        <f>190.670379922*Deflactores!$L$5</f>
        <v>404.07947194156594</v>
      </c>
      <c r="P27" s="56">
        <f>276.486746913*Deflactores!$M$5</f>
        <v>571.98982718314585</v>
      </c>
      <c r="Q27" s="56">
        <f>370.18965182*Deflactores!$N$5</f>
        <v>751.26582178673368</v>
      </c>
      <c r="R27" s="56">
        <f>530.582507676*Deflactores!$O$5</f>
        <v>1038.7501044892174</v>
      </c>
      <c r="S27" s="56">
        <f>338.694615593*Deflactores!$P$5</f>
        <v>621.0366096198544</v>
      </c>
      <c r="T27" s="56">
        <f>296.777691877*Deflactores!$Q$5</f>
        <v>514.58815662001962</v>
      </c>
      <c r="U27" s="56">
        <f>329.132528071*Deflactores!$R$5</f>
        <v>548.26475811607065</v>
      </c>
      <c r="V27" s="56">
        <f>565.309800139*Deflactores!$S$5</f>
        <v>912.66315079005665</v>
      </c>
    </row>
    <row r="28" spans="3:22" x14ac:dyDescent="0.2">
      <c r="C28" s="88" t="s">
        <v>138</v>
      </c>
      <c r="D28" s="57">
        <f>149.781385021*Deflactores!$A$5</f>
        <v>558.97148328111791</v>
      </c>
      <c r="E28" s="57">
        <f>173.959276*Deflactores!$B$5</f>
        <v>603.07622782906753</v>
      </c>
      <c r="F28" s="57">
        <f>174.930272999*Deflactores!$C$5</f>
        <v>566.81186677458004</v>
      </c>
      <c r="G28" s="57">
        <f>209.766890443*Deflactores!$D$5</f>
        <v>638.25837139240718</v>
      </c>
      <c r="H28" s="57">
        <f>193.76040943*Deflactores!$E$5</f>
        <v>558.83626804344385</v>
      </c>
      <c r="I28" s="57">
        <f>230.00198296728*Deflactores!$F$5</f>
        <v>632.64676382465757</v>
      </c>
      <c r="J28" s="57">
        <f>245.736133*Deflactores!$G$5</f>
        <v>646.95503112554218</v>
      </c>
      <c r="K28" s="57">
        <f>239.609713421*Deflactores!$H$5</f>
        <v>596.83909782376941</v>
      </c>
      <c r="L28" s="57">
        <f>314.187564*Deflactores!$I$5</f>
        <v>726.82438848579523</v>
      </c>
      <c r="M28" s="57">
        <f>286.990575452*Deflactores!$J$5</f>
        <v>650.87900923789812</v>
      </c>
      <c r="N28" s="57">
        <f>297.409150286*Deflactores!$K$5</f>
        <v>653.77510854972002</v>
      </c>
      <c r="O28" s="57">
        <f>285.181654793*Deflactores!$L$5</f>
        <v>604.37312037306731</v>
      </c>
      <c r="P28" s="57">
        <f>190.63747*Deflactores!$M$5</f>
        <v>394.38669208345021</v>
      </c>
      <c r="Q28" s="57">
        <f>201.063256*Deflactores!$N$5</f>
        <v>408.03936984009346</v>
      </c>
      <c r="R28" s="57">
        <f>111.635045*Deflactores!$O$5</f>
        <v>218.55397224896825</v>
      </c>
      <c r="S28" s="57">
        <f>81.952073188*Deflactores!$P$5</f>
        <v>150.26881249613103</v>
      </c>
      <c r="T28" s="57">
        <f>94.3245*Deflactores!$Q$5</f>
        <v>163.55094034231456</v>
      </c>
      <c r="U28" s="57">
        <f>93.594885526*Deflactores!$R$5</f>
        <v>155.90916393029423</v>
      </c>
      <c r="V28" s="57">
        <f>95.960207596*Deflactores!$S$5</f>
        <v>154.92274394234636</v>
      </c>
    </row>
    <row r="29" spans="3:22" x14ac:dyDescent="0.2">
      <c r="C29" s="87" t="s">
        <v>139</v>
      </c>
      <c r="D29" s="56">
        <f>432.17962913*Deflactores!$A$5</f>
        <v>1612.8578882136087</v>
      </c>
      <c r="E29" s="56">
        <f>571.668439857*Deflactores!$B$5</f>
        <v>1981.8411194001962</v>
      </c>
      <c r="F29" s="56">
        <f>581.434288091*Deflactores!$C$5</f>
        <v>1883.9726743094527</v>
      </c>
      <c r="G29" s="56">
        <f>571.368085070099*Deflactores!$D$5</f>
        <v>1738.5034533919188</v>
      </c>
      <c r="H29" s="56">
        <f>714.218444231199*Deflactores!$E$5</f>
        <v>2059.9211733507004</v>
      </c>
      <c r="I29" s="56">
        <f>804.7403826326*Deflactores!$F$5</f>
        <v>2213.5304757957579</v>
      </c>
      <c r="J29" s="56">
        <f>1044.15154066725*Deflactores!$G$5</f>
        <v>2748.9611895706175</v>
      </c>
      <c r="K29" s="56">
        <f>1180.40220830616*Deflactores!$H$5</f>
        <v>2940.2405228739303</v>
      </c>
      <c r="L29" s="56">
        <f>1331.166112654*Deflactores!$I$5</f>
        <v>3079.4471413348388</v>
      </c>
      <c r="M29" s="56">
        <f>1435.549252105*Deflactores!$J$5</f>
        <v>3255.7475918876789</v>
      </c>
      <c r="N29" s="56">
        <f>2246.12635298361*Deflactores!$K$5</f>
        <v>4937.5128466159085</v>
      </c>
      <c r="O29" s="56">
        <f>5722.87623010599*Deflactores!$L$5</f>
        <v>12128.243547813619</v>
      </c>
      <c r="P29" s="56">
        <f>1822.3850881899*Deflactores!$M$5</f>
        <v>3770.1110208471678</v>
      </c>
      <c r="Q29" s="56">
        <f>2325.748264452*Deflactores!$N$5</f>
        <v>4719.8920136540773</v>
      </c>
      <c r="R29" s="56">
        <f>2585.22459470939*Deflactores!$O$5</f>
        <v>5061.2341700535553</v>
      </c>
      <c r="S29" s="56">
        <f>2621.572769596*Deflactores!$P$5</f>
        <v>4806.963529228542</v>
      </c>
      <c r="T29" s="56">
        <f>2700.396804022*Deflactores!$Q$5</f>
        <v>4682.2663952120502</v>
      </c>
      <c r="U29" s="56">
        <f>3141.835354383*Deflactores!$R$5</f>
        <v>5233.6291727438338</v>
      </c>
      <c r="V29" s="56">
        <f>3360.823951666*Deflactores!$S$5</f>
        <v>5425.8747614564336</v>
      </c>
    </row>
    <row r="30" spans="3:22" x14ac:dyDescent="0.2">
      <c r="C30" s="88" t="s">
        <v>140</v>
      </c>
      <c r="D30" s="57">
        <f>352.653071828*Deflactores!$A$5</f>
        <v>1316.0714905640796</v>
      </c>
      <c r="E30" s="57">
        <f>590.909632494*Deflactores!$B$5</f>
        <v>2048.545845594012</v>
      </c>
      <c r="F30" s="57">
        <f>405.551549983*Deflactores!$C$5</f>
        <v>1314.0746148638475</v>
      </c>
      <c r="G30" s="57">
        <f>414.015057010999*Deflactores!$D$5</f>
        <v>1259.7249044485368</v>
      </c>
      <c r="H30" s="57">
        <f>732.529757511*Deflactores!$E$5</f>
        <v>2112.7339538684628</v>
      </c>
      <c r="I30" s="57">
        <f>747.133756925*Deflactores!$F$5</f>
        <v>2055.0768622286255</v>
      </c>
      <c r="J30" s="57">
        <f>809.970841096*Deflactores!$G$5</f>
        <v>2132.4284073113668</v>
      </c>
      <c r="K30" s="57">
        <f>3882.696086*Deflactores!$H$5</f>
        <v>9671.3309156231498</v>
      </c>
      <c r="L30" s="57">
        <f>1531.26240347199*Deflactores!$I$5</f>
        <v>3542.3389959980022</v>
      </c>
      <c r="M30" s="57">
        <f>6918.246079655*Deflactores!$J$5</f>
        <v>15690.205669290175</v>
      </c>
      <c r="N30" s="57">
        <f>1159.51773373*Deflactores!$K$5</f>
        <v>2548.8920953026259</v>
      </c>
      <c r="O30" s="57">
        <f>1728.4385*Deflactores!$L$5</f>
        <v>3663.0047973323735</v>
      </c>
      <c r="P30" s="57">
        <f>2116.767573931*Deflactores!$M$5</f>
        <v>4379.1231670885954</v>
      </c>
      <c r="Q30" s="57">
        <f>2762.641484229*Deflactores!$N$5</f>
        <v>5606.5265864335834</v>
      </c>
      <c r="R30" s="57">
        <f>2387.48223166063*Deflactores!$O$5</f>
        <v>4674.1032388463864</v>
      </c>
      <c r="S30" s="57">
        <f>2592.038946229*Deflactores!$P$5</f>
        <v>4752.8097733418708</v>
      </c>
      <c r="T30" s="57">
        <f>2600.625824584*Deflactores!$Q$5</f>
        <v>4509.2717066003042</v>
      </c>
      <c r="U30" s="57">
        <f>3195.784764311*Deflactores!$R$5</f>
        <v>5323.4974101922426</v>
      </c>
      <c r="V30" s="57">
        <f>3480.9694466609*Deflactores!$S$5</f>
        <v>5619.8433889033913</v>
      </c>
    </row>
    <row r="31" spans="3:22" x14ac:dyDescent="0.2">
      <c r="C31" s="87" t="s">
        <v>141</v>
      </c>
      <c r="D31" s="56">
        <f>372.13503704*Deflactores!$A$5</f>
        <v>1388.7765399282309</v>
      </c>
      <c r="E31" s="56">
        <f>378.040739369*Deflactores!$B$5</f>
        <v>1310.579052216613</v>
      </c>
      <c r="F31" s="56">
        <f>404.132300597*Deflactores!$C$5</f>
        <v>1309.4759403170929</v>
      </c>
      <c r="G31" s="56">
        <f>412.286651629*Deflactores!$D$5</f>
        <v>1254.4658800053046</v>
      </c>
      <c r="H31" s="56">
        <f>473.038298237*Deflactores!$E$5</f>
        <v>1364.3187377960664</v>
      </c>
      <c r="I31" s="56">
        <f>495.70422640755*Deflactores!$F$5</f>
        <v>1363.4911777936945</v>
      </c>
      <c r="J31" s="56">
        <f>547.903139651*Deflactores!$G$5</f>
        <v>1442.4768894963238</v>
      </c>
      <c r="K31" s="56">
        <f>625.505921961*Deflactores!$H$5</f>
        <v>1558.0603341012513</v>
      </c>
      <c r="L31" s="56">
        <f>715.440243308*Deflactores!$I$5</f>
        <v>1655.0604699951323</v>
      </c>
      <c r="M31" s="56">
        <f>821.265362801*Deflactores!$J$5</f>
        <v>1862.5851556951982</v>
      </c>
      <c r="N31" s="56">
        <f>959.262245955*Deflactores!$K$5</f>
        <v>2108.6835370525582</v>
      </c>
      <c r="O31" s="56">
        <f>973.929877006*Deflactores!$L$5</f>
        <v>2064.0073752918061</v>
      </c>
      <c r="P31" s="56">
        <f>1159.416188065*Deflactores!$M$5</f>
        <v>2398.5752389546437</v>
      </c>
      <c r="Q31" s="56">
        <f>1292.092646431*Deflactores!$N$5</f>
        <v>2622.1830866238629</v>
      </c>
      <c r="R31" s="56">
        <f>1375.546842327*Deflactores!$O$5</f>
        <v>2692.9825343384869</v>
      </c>
      <c r="S31" s="56">
        <f>1522.982163375*Deflactores!$P$5</f>
        <v>2792.5678050651281</v>
      </c>
      <c r="T31" s="56">
        <f>1543.757187823*Deflactores!$Q$5</f>
        <v>2676.7482438672751</v>
      </c>
      <c r="U31" s="56">
        <f>1756.437004832*Deflactores!$R$5</f>
        <v>2925.8503109501125</v>
      </c>
      <c r="V31" s="56">
        <f>1865.28031351*Deflactores!$S$5</f>
        <v>3011.3976577376102</v>
      </c>
    </row>
    <row r="32" spans="3:22" x14ac:dyDescent="0.2">
      <c r="C32" s="88" t="s">
        <v>142</v>
      </c>
      <c r="D32" s="57">
        <f>488.244205807*Deflactores!$A$5</f>
        <v>1822.0861549990766</v>
      </c>
      <c r="E32" s="57">
        <f>1075.06053548*Deflactores!$B$5</f>
        <v>3726.984081177573</v>
      </c>
      <c r="F32" s="57">
        <f>874.109345131*Deflactores!$C$5</f>
        <v>2832.3030724455575</v>
      </c>
      <c r="G32" s="57">
        <f>408.708437145*Deflactores!$D$5</f>
        <v>1243.5784356415757</v>
      </c>
      <c r="H32" s="57">
        <f>309.515081722*Deflactores!$E$5</f>
        <v>892.6914103945079</v>
      </c>
      <c r="I32" s="57">
        <f>274.885335628*Deflactores!$F$5</f>
        <v>756.1035594751753</v>
      </c>
      <c r="J32" s="57">
        <f>358.6412965*Deflactores!$G$5</f>
        <v>944.20298841465979</v>
      </c>
      <c r="K32" s="57">
        <f>395.210738985*Deflactores!$H$5</f>
        <v>984.42261600484721</v>
      </c>
      <c r="L32" s="57">
        <f>604.983143195*Deflactores!$I$5</f>
        <v>1399.5350341012229</v>
      </c>
      <c r="M32" s="57">
        <f>1127.769599412*Deflactores!$J$5</f>
        <v>2557.7200866537669</v>
      </c>
      <c r="N32" s="57">
        <f>996.24535197*Deflactores!$K$5</f>
        <v>2189.9810832989037</v>
      </c>
      <c r="O32" s="57">
        <f>872.898191137*Deflactores!$L$5</f>
        <v>1849.8953024464465</v>
      </c>
      <c r="P32" s="57">
        <f>977.990004923*Deflactores!$M$5</f>
        <v>2023.244658735028</v>
      </c>
      <c r="Q32" s="57">
        <f>591.418491013*Deflactores!$N$5</f>
        <v>1200.2293864410685</v>
      </c>
      <c r="R32" s="57">
        <f>383.991211443*Deflactores!$O$5</f>
        <v>751.76038644102414</v>
      </c>
      <c r="S32" s="57">
        <f>312.460718305*Deflactores!$P$5</f>
        <v>572.93365823301303</v>
      </c>
      <c r="T32" s="57">
        <f>454.156637791*Deflactores!$Q$5</f>
        <v>787.47033033222544</v>
      </c>
      <c r="U32" s="57">
        <f>425.945606049*Deflactores!$R$5</f>
        <v>709.53474589628263</v>
      </c>
      <c r="V32" s="57">
        <f>382.145721141*Deflactores!$S$5</f>
        <v>616.95431041833479</v>
      </c>
    </row>
    <row r="33" spans="3:22" x14ac:dyDescent="0.2">
      <c r="C33" s="87" t="s">
        <v>143</v>
      </c>
      <c r="D33" s="56">
        <f>788.649173448*Deflactores!$A$5</f>
        <v>2943.1721318964273</v>
      </c>
      <c r="E33" s="56">
        <f>823.168221627*Deflactores!$B$5</f>
        <v>2853.7321917088975</v>
      </c>
      <c r="F33" s="56">
        <f>1165.51511752217*Deflactores!$C$5</f>
        <v>3776.5207141734222</v>
      </c>
      <c r="G33" s="56">
        <f>806.840237526*Deflactores!$D$5</f>
        <v>2454.9753056340483</v>
      </c>
      <c r="H33" s="56">
        <f>770.955549054*Deflactores!$E$5</f>
        <v>2223.5601335079277</v>
      </c>
      <c r="I33" s="56">
        <f>675.71378415688*Deflactores!$F$5</f>
        <v>1858.6280574779985</v>
      </c>
      <c r="J33" s="56">
        <f>217.030193064*Deflactores!$G$5</f>
        <v>571.38025895810176</v>
      </c>
      <c r="K33" s="56">
        <f>362.348109058*Deflactores!$H$5</f>
        <v>902.56574084851616</v>
      </c>
      <c r="L33" s="56">
        <f>355.455206463*Deflactores!$I$5</f>
        <v>822.29070362429138</v>
      </c>
      <c r="M33" s="56">
        <f>325.413780969*Deflactores!$J$5</f>
        <v>738.0207486461037</v>
      </c>
      <c r="N33" s="56">
        <f>335.653365453*Deflactores!$K$5</f>
        <v>737.84486867028227</v>
      </c>
      <c r="O33" s="56">
        <f>335.138720933*Deflactores!$L$5</f>
        <v>710.2449653542285</v>
      </c>
      <c r="P33" s="56">
        <f>882.40733118*Deflactores!$M$5</f>
        <v>1825.5052819063626</v>
      </c>
      <c r="Q33" s="56">
        <f>642.579534371*Deflactores!$N$5</f>
        <v>1304.0560144757803</v>
      </c>
      <c r="R33" s="56">
        <f>694.38194128*Deflactores!$O$5</f>
        <v>1359.4291248298759</v>
      </c>
      <c r="S33" s="56">
        <f>684.3734029588*Deflactores!$P$5</f>
        <v>1254.8795236776709</v>
      </c>
      <c r="T33" s="56">
        <f>802.332245019*Deflactores!$Q$5</f>
        <v>1391.1782531560493</v>
      </c>
      <c r="U33" s="56">
        <f>1839.40135902*Deflactores!$R$5</f>
        <v>3064.0512716625935</v>
      </c>
      <c r="V33" s="56">
        <f>1480.84361935*Deflactores!$S$5</f>
        <v>2390.7446910189929</v>
      </c>
    </row>
    <row r="34" spans="3:22" x14ac:dyDescent="0.2">
      <c r="C34" s="88" t="s">
        <v>144</v>
      </c>
      <c r="D34" s="57">
        <f>707.148125699*Deflactores!$A$5</f>
        <v>2639.0171025993186</v>
      </c>
      <c r="E34" s="57">
        <f>807.420378193*Deflactores!$B$5</f>
        <v>2799.1380922564517</v>
      </c>
      <c r="F34" s="57">
        <f>831.691492484*Deflactores!$C$5</f>
        <v>2694.8600682632418</v>
      </c>
      <c r="G34" s="57">
        <f>817.380614751999*Deflactores!$D$5</f>
        <v>2487.046544273855</v>
      </c>
      <c r="H34" s="57">
        <f>1038.009006604*Deflactores!$E$5</f>
        <v>2993.7853721124943</v>
      </c>
      <c r="I34" s="57">
        <f>1075.526495704*Deflactores!$F$5</f>
        <v>2958.3586547234577</v>
      </c>
      <c r="J34" s="57">
        <f>1221.275173988*Deflactores!$G$5</f>
        <v>3215.2785532775451</v>
      </c>
      <c r="K34" s="57">
        <f>1319.399935559*Deflactores!$H$5</f>
        <v>3286.4672135564483</v>
      </c>
      <c r="L34" s="57">
        <f>1470.099221611*Deflactores!$I$5</f>
        <v>3400.8474242502439</v>
      </c>
      <c r="M34" s="57">
        <f>1687.143017745*Deflactores!$J$5</f>
        <v>3826.3485625024227</v>
      </c>
      <c r="N34" s="57">
        <f>1861.532493312*Deflactores!$K$5</f>
        <v>4092.0852862581646</v>
      </c>
      <c r="O34" s="57">
        <f>2138.20537953*Deflactores!$L$5</f>
        <v>4531.4059845926122</v>
      </c>
      <c r="P34" s="57">
        <f>2448.660531162*Deflactores!$M$5</f>
        <v>5065.7361688669353</v>
      </c>
      <c r="Q34" s="57">
        <f>2832.355980476*Deflactores!$N$5</f>
        <v>5748.0057392298822</v>
      </c>
      <c r="R34" s="57">
        <f>3025.9262864*Deflactores!$O$5</f>
        <v>5924.0197343521404</v>
      </c>
      <c r="S34" s="57">
        <f>3237.784205559*Deflactores!$P$5</f>
        <v>5936.8600300318249</v>
      </c>
      <c r="T34" s="57">
        <f>3498.414218222*Deflactores!$Q$5</f>
        <v>6065.9630859122635</v>
      </c>
      <c r="U34" s="57">
        <f>3814.417756771*Deflactores!$R$5</f>
        <v>6354.0083413407328</v>
      </c>
      <c r="V34" s="57">
        <f>4194.441477588*Deflactores!$S$5</f>
        <v>6771.7067239922217</v>
      </c>
    </row>
    <row r="35" spans="3:22" x14ac:dyDescent="0.2">
      <c r="C35" s="87" t="s">
        <v>145</v>
      </c>
      <c r="D35" s="56">
        <f>207.256947981*Deflactores!$A$5</f>
        <v>773.46543174917417</v>
      </c>
      <c r="E35" s="56">
        <f>181.520900897*Deflactores!$B$5</f>
        <v>629.29061733446599</v>
      </c>
      <c r="F35" s="56">
        <f>236.859709303*Deflactores!$C$5</f>
        <v>767.47661620859219</v>
      </c>
      <c r="G35" s="56">
        <f>323.871211005*Deflactores!$D$5</f>
        <v>985.44394322853498</v>
      </c>
      <c r="H35" s="56">
        <f>145.806088325*Deflactores!$E$5</f>
        <v>420.52827250549711</v>
      </c>
      <c r="I35" s="56">
        <f>197.870351064*Deflactores!$F$5</f>
        <v>544.26503477275173</v>
      </c>
      <c r="J35" s="56">
        <f>530.988684307*Deflactores!$G$5</f>
        <v>1397.9458233891303</v>
      </c>
      <c r="K35" s="56">
        <f>437.743565461*Deflactores!$H$5</f>
        <v>1090.3667925551038</v>
      </c>
      <c r="L35" s="56">
        <f>360.00672041*Deflactores!$I$5</f>
        <v>832.81992794843688</v>
      </c>
      <c r="M35" s="56">
        <f>409.941617357*Deflactores!$J$5</f>
        <v>929.72528219949345</v>
      </c>
      <c r="N35" s="56">
        <f>733.202881918*Deflactores!$K$5</f>
        <v>1611.7520031039628</v>
      </c>
      <c r="O35" s="56">
        <f>610.517509384*Deflactores!$L$5</f>
        <v>1293.843295974375</v>
      </c>
      <c r="P35" s="56">
        <f>444.024590496*Deflactores!$M$5</f>
        <v>918.58850964307283</v>
      </c>
      <c r="Q35" s="56">
        <f>602.117920232*Deflactores!$N$5</f>
        <v>1221.9428931405196</v>
      </c>
      <c r="R35" s="56">
        <f>1135.385*Deflactores!$O$5</f>
        <v>2222.8046916798826</v>
      </c>
      <c r="S35" s="56">
        <f>884.417460096*Deflactores!$P$5</f>
        <v>1621.6839465988091</v>
      </c>
      <c r="T35" s="56">
        <f>722.56124523431*Deflactores!$Q$5</f>
        <v>1252.8618875582183</v>
      </c>
      <c r="U35" s="56">
        <f>761.182060726*Deflactores!$R$5</f>
        <v>1267.9673469290367</v>
      </c>
      <c r="V35" s="56">
        <f>1811.113463059*Deflactores!$S$5</f>
        <v>2923.948106378642</v>
      </c>
    </row>
    <row r="36" spans="3:22" x14ac:dyDescent="0.2">
      <c r="C36" s="88" t="s">
        <v>146</v>
      </c>
      <c r="D36" s="57">
        <f>154.975282934*Deflactores!$A$5</f>
        <v>578.3546717863735</v>
      </c>
      <c r="E36" s="57">
        <f>162.722035704*Deflactores!$B$5</f>
        <v>564.11933720070886</v>
      </c>
      <c r="F36" s="57">
        <f>181.496882144*Deflactores!$C$5</f>
        <v>588.08909869130935</v>
      </c>
      <c r="G36" s="57">
        <f>184.734801701*Deflactores!$D$5</f>
        <v>562.09315695233079</v>
      </c>
      <c r="H36" s="57">
        <f>194.250093345*Deflactores!$E$5</f>
        <v>560.2485954243806</v>
      </c>
      <c r="I36" s="57">
        <f>254.780148707*Deflactores!$F$5</f>
        <v>700.80194303880762</v>
      </c>
      <c r="J36" s="57">
        <f>244.662060406*Deflactores!$G$5</f>
        <v>644.1272961075</v>
      </c>
      <c r="K36" s="57">
        <f>247.475417019*Deflactores!$H$5</f>
        <v>616.43162340277638</v>
      </c>
      <c r="L36" s="57">
        <f>235.291210031*Deflactores!$I$5</f>
        <v>544.30986277631405</v>
      </c>
      <c r="M36" s="57">
        <f>228.353248499*Deflactores!$J$5</f>
        <v>517.89274231461138</v>
      </c>
      <c r="N36" s="57">
        <f>263.931311646*Deflactores!$K$5</f>
        <v>580.18296261262071</v>
      </c>
      <c r="O36" s="57">
        <f>261.334771092*Deflactores!$L$5</f>
        <v>553.83545334112478</v>
      </c>
      <c r="P36" s="57">
        <f>407.210364966*Deflactores!$M$5</f>
        <v>842.42803275261269</v>
      </c>
      <c r="Q36" s="57">
        <f>415.7333*Deflactores!$N$5</f>
        <v>843.69246339839697</v>
      </c>
      <c r="R36" s="57">
        <f>484.695097154*Deflactores!$O$5</f>
        <v>948.91383626536174</v>
      </c>
      <c r="S36" s="57">
        <f>603.315352475*Deflactores!$P$5</f>
        <v>1106.2500074784928</v>
      </c>
      <c r="T36" s="57">
        <f>710.980993914309*Deflactores!$Q$5</f>
        <v>1232.7826823380847</v>
      </c>
      <c r="U36" s="57">
        <f>657.704694332*Deflactores!$R$5</f>
        <v>1095.5960726918818</v>
      </c>
      <c r="V36" s="57">
        <f>656.025509491*Deflactores!$S$5</f>
        <v>1059.1189261949655</v>
      </c>
    </row>
    <row r="37" spans="3:22" x14ac:dyDescent="0.2">
      <c r="C37" s="90" t="s">
        <v>147</v>
      </c>
      <c r="D37" s="58">
        <f>5029.956092225*Deflactores!$A$5</f>
        <v>18771.371471265971</v>
      </c>
      <c r="E37" s="58">
        <f>6312.8725988095*Deflactores!$B$5</f>
        <v>21885.256602559763</v>
      </c>
      <c r="F37" s="58">
        <f>7426.29344861317*Deflactores!$C$5</f>
        <v>24062.794739069133</v>
      </c>
      <c r="G37" s="58">
        <f>8384.41182718299*Deflactores!$D$5</f>
        <v>25511.276000705151</v>
      </c>
      <c r="H37" s="58">
        <f>10992.547554606*Deflactores!$E$5</f>
        <v>31704.279887607285</v>
      </c>
      <c r="I37" s="58">
        <f>14076.834299443*Deflactores!$F$5</f>
        <v>38719.942974167629</v>
      </c>
      <c r="J37" s="58">
        <f>15978.101197695*Deflactores!$G$5</f>
        <v>42065.905536496059</v>
      </c>
      <c r="K37" s="58">
        <f>17613.186326123*Deflactores!$H$5</f>
        <v>43872.337588480594</v>
      </c>
      <c r="L37" s="58">
        <f>18738.88953473*Deflactores!$I$5</f>
        <v>43349.525848779296</v>
      </c>
      <c r="M37" s="58">
        <f>21984.662599293*Deflactores!$J$5</f>
        <v>49860.018533781375</v>
      </c>
      <c r="N37" s="58">
        <f>25066.00579285*Deflactores!$K$5</f>
        <v>55100.963243294776</v>
      </c>
      <c r="O37" s="58">
        <f>24186.415984357*Deflactores!$L$5</f>
        <v>51257.223083711746</v>
      </c>
      <c r="P37" s="58">
        <f>27193.25184246*Deflactores!$M$5</f>
        <v>56256.813737299315</v>
      </c>
      <c r="Q37" s="58">
        <f>28294.169204235*Deflactores!$N$5</f>
        <v>57420.411873987701</v>
      </c>
      <c r="R37" s="58">
        <f>35412.613546934*Deflactores!$O$5</f>
        <v>69329.191011658128</v>
      </c>
      <c r="S37" s="58">
        <f>34680.660184811*Deflactores!$P$5</f>
        <v>63591.089521289803</v>
      </c>
      <c r="T37" s="58">
        <f>35857.385222711*Deflactores!$Q$5</f>
        <v>62173.762610891099</v>
      </c>
      <c r="U37" s="58">
        <f>38230.2462819985*Deflactores!$R$5</f>
        <v>63683.455577493667</v>
      </c>
      <c r="V37" s="58">
        <f>48583.812756184*Deflactores!$S$5</f>
        <v>78436.028557351077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0.25044*Deflactores!$R$5</f>
        <v>0.4171797507445662</v>
      </c>
      <c r="V38" s="59">
        <f>160.90533445*Deflactores!$S$5</f>
        <v>259.77325969221897</v>
      </c>
    </row>
    <row r="39" spans="3:22" x14ac:dyDescent="0.2">
      <c r="C39" s="87" t="s">
        <v>149</v>
      </c>
      <c r="D39" s="56">
        <f>40.798965517*Deflactores!$A$5</f>
        <v>152.25829476857385</v>
      </c>
      <c r="E39" s="56">
        <f>28.159935484*Deflactores!$B$5</f>
        <v>97.623927036811921</v>
      </c>
      <c r="F39" s="56">
        <f>19.687412517*Deflactores!$C$5</f>
        <v>63.791468734435661</v>
      </c>
      <c r="G39" s="56">
        <f>20.044454475*Deflactores!$D$5</f>
        <v>60.989324109464931</v>
      </c>
      <c r="H39" s="56">
        <f>22.162*Deflactores!$E$5</f>
        <v>63.918782009247948</v>
      </c>
      <c r="I39" s="56">
        <f>46.019775166*Deflactores!$F$5</f>
        <v>126.58265574540734</v>
      </c>
      <c r="J39" s="56">
        <f>46.882230249*Deflactores!$G$5</f>
        <v>123.42789951031186</v>
      </c>
      <c r="K39" s="56">
        <f>38.492296*Deflactores!$H$5</f>
        <v>95.879699073134546</v>
      </c>
      <c r="L39" s="56">
        <f>40.112*Deflactores!$I$5</f>
        <v>92.792914842874623</v>
      </c>
      <c r="M39" s="56">
        <f>136.7834*Deflactores!$J$5</f>
        <v>310.21730846726552</v>
      </c>
      <c r="N39" s="56">
        <f>138.13016639*Deflactores!$K$5</f>
        <v>303.6425222249261</v>
      </c>
      <c r="O39" s="56">
        <f>141.4046*Deflactores!$L$5</f>
        <v>299.67263987979055</v>
      </c>
      <c r="P39" s="56">
        <f>188.1296*Deflactores!$M$5</f>
        <v>389.19846464067456</v>
      </c>
      <c r="Q39" s="56">
        <f>82.9914*Deflactores!$N$5</f>
        <v>168.42340680162431</v>
      </c>
      <c r="R39" s="56">
        <f>121.826400085*Deflactores!$O$5</f>
        <v>238.50613992558334</v>
      </c>
      <c r="S39" s="56">
        <f>79.35029*Deflactores!$P$5</f>
        <v>145.49813550378369</v>
      </c>
      <c r="T39" s="56">
        <f>78.10710018*Deflactores!$Q$5</f>
        <v>135.43130026504639</v>
      </c>
      <c r="U39" s="56">
        <f>81.005120832*Deflactores!$R$5</f>
        <v>134.9372948320046</v>
      </c>
      <c r="V39" s="56">
        <f>81.101511236*Deflactores!$S$5</f>
        <v>130.93415461802198</v>
      </c>
    </row>
    <row r="40" spans="3:22" x14ac:dyDescent="0.2">
      <c r="C40" s="88" t="s">
        <v>150</v>
      </c>
      <c r="D40" s="57">
        <f>755.4305269*Deflactores!$A$5</f>
        <v>2819.2029475353438</v>
      </c>
      <c r="E40" s="57">
        <f>1103.577093162*Deflactores!$B$5</f>
        <v>3825.8443341802963</v>
      </c>
      <c r="F40" s="57">
        <f>1024.6277267603*Deflactores!$C$5</f>
        <v>3320.0151385879331</v>
      </c>
      <c r="G40" s="57">
        <f>463.337413956*Deflactores!$D$5</f>
        <v>1409.7981936624296</v>
      </c>
      <c r="H40" s="57">
        <f>778.31883264*Deflactores!$E$5</f>
        <v>2244.7970308279264</v>
      </c>
      <c r="I40" s="57">
        <f>1204.990084524*Deflactores!$F$5</f>
        <v>3314.4630649700025</v>
      </c>
      <c r="J40" s="57">
        <f>2103.068013912*Deflactores!$G$5</f>
        <v>5536.7943484305179</v>
      </c>
      <c r="K40" s="57">
        <f>2402.465895128*Deflactores!$H$5</f>
        <v>5984.2547988912229</v>
      </c>
      <c r="L40" s="57">
        <f>1836.708768756*Deflactores!$I$5</f>
        <v>4248.9419717375495</v>
      </c>
      <c r="M40" s="57">
        <f>2949.415764808*Deflactores!$J$5</f>
        <v>6689.1144693702536</v>
      </c>
      <c r="N40" s="57">
        <f>3062.035879225*Deflactores!$K$5</f>
        <v>6731.0734636051875</v>
      </c>
      <c r="O40" s="57">
        <f>4520.3639*Deflactores!$L$5</f>
        <v>9579.8112871172907</v>
      </c>
      <c r="P40" s="57">
        <f>7125.9928*Deflactores!$M$5</f>
        <v>14742.100428643347</v>
      </c>
      <c r="Q40" s="57">
        <f>7395.17038583815*Deflactores!$N$5</f>
        <v>15007.817560148929</v>
      </c>
      <c r="R40" s="57">
        <f>6203.34130566*Deflactores!$O$5</f>
        <v>12144.617163616445</v>
      </c>
      <c r="S40" s="57">
        <f>5665.762970535*Deflactores!$P$5</f>
        <v>10388.846069991949</v>
      </c>
      <c r="T40" s="57">
        <f>4251.187426047*Deflactores!$Q$5</f>
        <v>7371.2100366438281</v>
      </c>
      <c r="U40" s="57">
        <f>4141.523138378*Deflactores!$R$5</f>
        <v>6898.896304789122</v>
      </c>
      <c r="V40" s="57">
        <f>3342.387506921*Deflactores!$S$5</f>
        <v>5396.1100842012338</v>
      </c>
    </row>
    <row r="41" spans="3:22" x14ac:dyDescent="0.2">
      <c r="C41" s="87" t="s">
        <v>151</v>
      </c>
      <c r="D41" s="56">
        <f>163.813340699*Deflactores!$A$5</f>
        <v>611.33755719321903</v>
      </c>
      <c r="E41" s="56">
        <f>171.472019614*Deflactores!$B$5</f>
        <v>594.4534901780288</v>
      </c>
      <c r="F41" s="56">
        <f>168.675695*Deflactores!$C$5</f>
        <v>546.54568316483585</v>
      </c>
      <c r="G41" s="56">
        <f>213.440121445*Deflactores!$D$5</f>
        <v>649.43492281162025</v>
      </c>
      <c r="H41" s="56">
        <f>233.407374258*Deflactores!$E$5</f>
        <v>673.1845083723515</v>
      </c>
      <c r="I41" s="56">
        <f>187.918046283*Deflactores!$F$5</f>
        <v>516.89008203944411</v>
      </c>
      <c r="J41" s="56">
        <f>214.679664155*Deflactores!$G$5</f>
        <v>565.19196875869682</v>
      </c>
      <c r="K41" s="56">
        <f>384.558452865*Deflactores!$H$5</f>
        <v>957.88904711546411</v>
      </c>
      <c r="L41" s="56">
        <f>443.669079992*Deflactores!$I$5</f>
        <v>1026.3598713131776</v>
      </c>
      <c r="M41" s="56">
        <f>721.815874974*Deflactores!$J$5</f>
        <v>1637.0391286031679</v>
      </c>
      <c r="N41" s="56">
        <f>635.328425819*Deflactores!$K$5</f>
        <v>1396.6009793414614</v>
      </c>
      <c r="O41" s="56">
        <f>1145.79693681*Deflactores!$L$5</f>
        <v>2428.2377858996829</v>
      </c>
      <c r="P41" s="56">
        <f>3079.534603837*Deflactores!$M$5</f>
        <v>6370.8748629731217</v>
      </c>
      <c r="Q41" s="56">
        <f>3596.473839854*Deflactores!$N$5</f>
        <v>7298.7125964995184</v>
      </c>
      <c r="R41" s="56">
        <f>3718.86679761*Deflactores!$O$5</f>
        <v>7280.6268934855125</v>
      </c>
      <c r="S41" s="56">
        <f>3889.412206489*Deflactores!$P$5</f>
        <v>7131.696988754632</v>
      </c>
      <c r="T41" s="56">
        <f>3243.988700619*Deflactores!$Q$5</f>
        <v>5624.8101229911699</v>
      </c>
      <c r="U41" s="56">
        <f>3847.385042274*Deflactores!$R$5</f>
        <v>6408.9248241264959</v>
      </c>
      <c r="V41" s="56">
        <f>3805.344905369*Deflactores!$S$5</f>
        <v>6143.5306274948898</v>
      </c>
    </row>
    <row r="42" spans="3:22" ht="21.75" customHeight="1" x14ac:dyDescent="0.2">
      <c r="C42" s="79" t="s">
        <v>152</v>
      </c>
      <c r="D42" s="44">
        <f t="shared" ref="D42:V42" si="0">+SUM(D13:D41)</f>
        <v>111608.60828913991</v>
      </c>
      <c r="E42" s="44">
        <f t="shared" si="0"/>
        <v>126836.00359735178</v>
      </c>
      <c r="F42" s="44">
        <f t="shared" si="0"/>
        <v>125535.64635567054</v>
      </c>
      <c r="G42" s="44">
        <f t="shared" si="0"/>
        <v>120222.47424489509</v>
      </c>
      <c r="H42" s="44">
        <f t="shared" si="0"/>
        <v>135849.37310059043</v>
      </c>
      <c r="I42" s="44">
        <f t="shared" si="0"/>
        <v>148961.80122765512</v>
      </c>
      <c r="J42" s="44">
        <f t="shared" si="0"/>
        <v>158024.39403484293</v>
      </c>
      <c r="K42" s="44">
        <f t="shared" si="0"/>
        <v>174909.29901284646</v>
      </c>
      <c r="L42" s="44">
        <f t="shared" si="0"/>
        <v>179512.47955910934</v>
      </c>
      <c r="M42" s="44">
        <f t="shared" si="0"/>
        <v>212730.07307449763</v>
      </c>
      <c r="N42" s="44">
        <f t="shared" si="0"/>
        <v>213805.34485667653</v>
      </c>
      <c r="O42" s="44">
        <f t="shared" si="0"/>
        <v>218779.02053872243</v>
      </c>
      <c r="P42" s="44">
        <f t="shared" si="0"/>
        <v>239900.09297612435</v>
      </c>
      <c r="Q42" s="44">
        <f t="shared" si="0"/>
        <v>263854.59876178607</v>
      </c>
      <c r="R42" s="44">
        <f t="shared" si="0"/>
        <v>283082.78262703307</v>
      </c>
      <c r="S42" s="44">
        <f t="shared" si="0"/>
        <v>272036.76618664712</v>
      </c>
      <c r="T42" s="44">
        <f t="shared" si="0"/>
        <v>260718.05890709982</v>
      </c>
      <c r="U42" s="44">
        <f t="shared" si="0"/>
        <v>274344.81065010937</v>
      </c>
      <c r="V42" s="44">
        <f t="shared" si="0"/>
        <v>277018.29450615199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D47" s="164" t="s">
        <v>165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</row>
    <row r="48" spans="3:22" ht="11.25" hidden="1" customHeight="1" x14ac:dyDescent="0.2">
      <c r="H48" s="27"/>
      <c r="I48" s="27"/>
      <c r="J48" s="27"/>
      <c r="L48" s="179"/>
      <c r="M48" s="160"/>
      <c r="N48" s="160"/>
      <c r="O48" s="160"/>
      <c r="P48" s="160"/>
      <c r="Q48" s="160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ht="12" thickBot="1" x14ac:dyDescent="0.25">
      <c r="C50" s="181" t="s">
        <v>120</v>
      </c>
      <c r="D50" s="184">
        <v>2000</v>
      </c>
      <c r="E50" s="155">
        <v>2001</v>
      </c>
      <c r="F50" s="155">
        <v>2002</v>
      </c>
      <c r="G50" s="155">
        <v>2003</v>
      </c>
      <c r="H50" s="155">
        <v>2004</v>
      </c>
      <c r="I50" s="155">
        <v>2005</v>
      </c>
      <c r="J50" s="155">
        <v>2006</v>
      </c>
      <c r="K50" s="155">
        <v>2007</v>
      </c>
      <c r="L50" s="155">
        <v>2008</v>
      </c>
      <c r="M50" s="155">
        <v>2009</v>
      </c>
      <c r="N50" s="155">
        <v>2010</v>
      </c>
      <c r="O50" s="155">
        <v>2011</v>
      </c>
      <c r="P50" s="155">
        <v>2012</v>
      </c>
      <c r="Q50" s="155">
        <v>2013</v>
      </c>
      <c r="R50" s="155">
        <v>2014</v>
      </c>
      <c r="S50" s="155">
        <v>2015</v>
      </c>
      <c r="T50" s="155">
        <v>2016</v>
      </c>
      <c r="U50" s="155">
        <v>2017</v>
      </c>
      <c r="V50" s="155">
        <v>2018</v>
      </c>
    </row>
    <row r="51" spans="3:22" ht="12" customHeight="1" thickBot="1" x14ac:dyDescent="0.25">
      <c r="C51" s="162"/>
      <c r="D51" s="185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3:22" x14ac:dyDescent="0.2">
      <c r="C52" s="87" t="s">
        <v>123</v>
      </c>
      <c r="D52" s="56">
        <f>401.562902397599*Deflactores!$A$5</f>
        <v>1498.5988489316351</v>
      </c>
      <c r="E52" s="56">
        <f>655.357267947299*Deflactores!$B$5</f>
        <v>2271.9707630538801</v>
      </c>
      <c r="F52" s="56">
        <f>642.00975351002*Deflactores!$C$5</f>
        <v>2080.2502656391707</v>
      </c>
      <c r="G52" s="56">
        <f>495.732007228729*Deflactores!$D$5</f>
        <v>1508.3653235870152</v>
      </c>
      <c r="H52" s="56">
        <f>564.83055554719*Deflactores!$E$5</f>
        <v>1629.0624109820078</v>
      </c>
      <c r="I52" s="56">
        <f>604.20264785228*Deflactores!$F$5</f>
        <v>1661.9284969921866</v>
      </c>
      <c r="J52" s="56">
        <f>939.17885066853*Deflactores!$G$5</f>
        <v>2472.597233255517</v>
      </c>
      <c r="K52" s="56">
        <f>1327.2030640308*Deflactores!$H$5</f>
        <v>3305.9038719907803</v>
      </c>
      <c r="L52" s="56">
        <f>1812.44610594656*Deflactores!$I$5</f>
        <v>4192.8140498204739</v>
      </c>
      <c r="M52" s="56">
        <f>1460.67791351741*Deflactores!$J$5</f>
        <v>3312.7380286566363</v>
      </c>
      <c r="N52" s="56">
        <f>1485.68058675064*Deflactores!$K$5</f>
        <v>3265.8745904054103</v>
      </c>
      <c r="O52" s="56">
        <f>1623.77477761456*Deflactores!$L$5</f>
        <v>3441.1955069210976</v>
      </c>
      <c r="P52" s="56">
        <f>2063.32092329037*Deflactores!$M$5</f>
        <v>4268.553887349949</v>
      </c>
      <c r="Q52" s="56">
        <f>3490.06262437414*Deflactores!$N$5</f>
        <v>7082.7608300150423</v>
      </c>
      <c r="R52" s="56">
        <f>3176.98374440098*Deflactores!$O$5</f>
        <v>6219.7530991207559</v>
      </c>
      <c r="S52" s="56">
        <f>3602.31536883316*Deflactores!$P$5</f>
        <v>6605.2710035697364</v>
      </c>
      <c r="T52" s="56">
        <f>2390.59160018062*Deflactores!$Q$5</f>
        <v>4145.0896022134111</v>
      </c>
      <c r="U52" s="56">
        <f>2699.23496411302*Deflactores!$R$5</f>
        <v>4496.3511001824299</v>
      </c>
      <c r="V52" s="56">
        <f>2170.62983904853*Deflactores!$S$5</f>
        <v>3504.3685207966278</v>
      </c>
    </row>
    <row r="53" spans="3:22" x14ac:dyDescent="0.2">
      <c r="C53" s="88" t="s">
        <v>124</v>
      </c>
      <c r="D53" s="57">
        <f>111.71647603154*Deflactores!$A$5</f>
        <v>416.91645664468996</v>
      </c>
      <c r="E53" s="57">
        <f>145.529671246229*Deflactores!$B$5</f>
        <v>504.51742034371364</v>
      </c>
      <c r="F53" s="57">
        <f>145.93318715294*Deflactores!$C$5</f>
        <v>472.85504570723987</v>
      </c>
      <c r="G53" s="57">
        <f>188.698885050549*Deflactores!$D$5</f>
        <v>574.15468571601525</v>
      </c>
      <c r="H53" s="57">
        <f>320.46235781308*Deflactores!$E$5</f>
        <v>924.26512008049269</v>
      </c>
      <c r="I53" s="57">
        <f>295.811797347989*Deflactores!$F$5</f>
        <v>813.66418619088063</v>
      </c>
      <c r="J53" s="57">
        <f>417.54211007788*Deflactores!$G$5</f>
        <v>1099.272481925397</v>
      </c>
      <c r="K53" s="57">
        <f>492.173980797919*Deflactores!$H$5</f>
        <v>1225.9464379711508</v>
      </c>
      <c r="L53" s="57">
        <f>1431.79979438725*Deflactores!$I$5</f>
        <v>3312.2476164893665</v>
      </c>
      <c r="M53" s="57">
        <f>1669.79983861474*Deflactores!$J$5</f>
        <v>3787.0151759214864</v>
      </c>
      <c r="N53" s="57">
        <f>1798.6087716106*Deflactores!$K$5</f>
        <v>3953.7641789683403</v>
      </c>
      <c r="O53" s="57">
        <f>1345.39371754306*Deflactores!$L$5</f>
        <v>2851.2345921830974</v>
      </c>
      <c r="P53" s="57">
        <f>328.030049500889*Deflactores!$M$5</f>
        <v>678.62150146362114</v>
      </c>
      <c r="Q53" s="57">
        <f>446.095253882899*Deflactores!$N$5</f>
        <v>905.30925393466532</v>
      </c>
      <c r="R53" s="57">
        <f>492.379107002891*Deflactores!$O$5</f>
        <v>963.95723840915366</v>
      </c>
      <c r="S53" s="57">
        <f>489.098494941389*Deflactores!$P$5</f>
        <v>896.81989935611932</v>
      </c>
      <c r="T53" s="57">
        <f>585.47431989696*Deflactores!$Q$5</f>
        <v>1015.1644118487231</v>
      </c>
      <c r="U53" s="57">
        <f>616.44551041553*Deflactores!$R$5</f>
        <v>1026.8670515203548</v>
      </c>
      <c r="V53" s="57">
        <f>580.91628927783*Deflactores!$S$5</f>
        <v>937.85901250466532</v>
      </c>
    </row>
    <row r="54" spans="3:22" x14ac:dyDescent="0.2">
      <c r="C54" s="87" t="s">
        <v>125</v>
      </c>
      <c r="D54" s="56">
        <f>30.6376890675*Deflactores!$A$5</f>
        <v>114.33726894677253</v>
      </c>
      <c r="E54" s="56">
        <f>67.4455294714*Deflactores!$B$5</f>
        <v>233.8179166573797</v>
      </c>
      <c r="F54" s="56">
        <f>58.918551371*Deflactores!$C$5</f>
        <v>190.90883194609438</v>
      </c>
      <c r="G54" s="56">
        <f>45.38866796965*Deflactores!$D$5</f>
        <v>138.10424150731961</v>
      </c>
      <c r="H54" s="56">
        <f>65.31782981817*Deflactores!$E$5</f>
        <v>188.38715483551863</v>
      </c>
      <c r="I54" s="56">
        <f>57.117453983*Deflactores!$F$5</f>
        <v>157.10809078280565</v>
      </c>
      <c r="J54" s="56">
        <f>82.4744618108*Deflactores!$G$5</f>
        <v>217.13236615418072</v>
      </c>
      <c r="K54" s="56">
        <f>79.03975975004*Deflactores!$H$5</f>
        <v>196.87857486201102</v>
      </c>
      <c r="L54" s="56">
        <f>134.279198797*Deflactores!$I$5</f>
        <v>310.63418077232376</v>
      </c>
      <c r="M54" s="56">
        <f>142.27880729255*Deflactores!$J$5</f>
        <v>322.68059318767928</v>
      </c>
      <c r="N54" s="56">
        <f>351.17318956412*Deflactores!$K$5</f>
        <v>771.9610842714593</v>
      </c>
      <c r="O54" s="56">
        <f>366.99315033341*Deflactores!$L$5</f>
        <v>777.75267691584156</v>
      </c>
      <c r="P54" s="56">
        <f>407.80303115372*Deflactores!$M$5</f>
        <v>843.6541277972259</v>
      </c>
      <c r="Q54" s="56">
        <f>424.28876876883*Deflactores!$N$5</f>
        <v>861.05499971940435</v>
      </c>
      <c r="R54" s="56">
        <f>373.12421581008*Deflactores!$O$5</f>
        <v>730.48548068014179</v>
      </c>
      <c r="S54" s="56">
        <f>351.76707124661*Deflactores!$P$5</f>
        <v>645.00650215655662</v>
      </c>
      <c r="T54" s="56">
        <f>304.86812616273*Deflactores!$Q$5</f>
        <v>528.61630556550926</v>
      </c>
      <c r="U54" s="56">
        <f>378.87878355873*Deflactores!$R$5</f>
        <v>631.13143462480207</v>
      </c>
      <c r="V54" s="56">
        <f>330.47588643464*Deflactores!$S$5</f>
        <v>533.53606058025878</v>
      </c>
    </row>
    <row r="55" spans="3:22" x14ac:dyDescent="0.2">
      <c r="C55" s="88" t="s">
        <v>126</v>
      </c>
      <c r="D55" s="57">
        <f>163.960278908499*Deflactores!$A$5</f>
        <v>611.88591818549321</v>
      </c>
      <c r="E55" s="57">
        <f>233.795782397589*Deflactores!$B$5</f>
        <v>810.51543655932142</v>
      </c>
      <c r="F55" s="57">
        <f>213.844156069889*Deflactores!$C$5</f>
        <v>692.90125272657258</v>
      </c>
      <c r="G55" s="57">
        <f>162.8509699379*Deflactores!$D$5</f>
        <v>495.50715383504166</v>
      </c>
      <c r="H55" s="57">
        <f>150.92430422829*Deflactores!$E$5</f>
        <v>435.29003257221768</v>
      </c>
      <c r="I55" s="57">
        <f>166.20342096814*Deflactores!$F$5</f>
        <v>457.1615211988817</v>
      </c>
      <c r="J55" s="57">
        <f>255.05094186147*Deflactores!$G$5</f>
        <v>671.47833741888564</v>
      </c>
      <c r="K55" s="57">
        <f>253.300905111349*Deflactores!$H$5</f>
        <v>630.94221651596854</v>
      </c>
      <c r="L55" s="57">
        <f>219.588431773639*Deflactores!$I$5</f>
        <v>507.98391129965262</v>
      </c>
      <c r="M55" s="57">
        <f>348.358090318799*Deflactores!$J$5</f>
        <v>790.05719379321181</v>
      </c>
      <c r="N55" s="57">
        <f>325.799093404139*Deflactores!$K$5</f>
        <v>716.18286609831284</v>
      </c>
      <c r="O55" s="57">
        <f>436.87325290573*Deflactores!$L$5</f>
        <v>925.84654948376146</v>
      </c>
      <c r="P55" s="57">
        <f>618.51211542444*Deflactores!$M$5</f>
        <v>1279.5645431917558</v>
      </c>
      <c r="Q55" s="57">
        <f>842.970307449705*Deflactores!$N$5</f>
        <v>1710.7306421302931</v>
      </c>
      <c r="R55" s="57">
        <f>627.170602974148*Deflactores!$O$5</f>
        <v>1227.845848566466</v>
      </c>
      <c r="S55" s="57">
        <f>608.947990546139*Deflactores!$P$5</f>
        <v>1116.5781151302524</v>
      </c>
      <c r="T55" s="57">
        <f>579.441556189679*Deflactores!$Q$5</f>
        <v>1004.7040947816961</v>
      </c>
      <c r="U55" s="57">
        <f>677.30919084806*Deflactores!$R$5</f>
        <v>1128.2529923933776</v>
      </c>
      <c r="V55" s="57">
        <f>517.57039609358*Deflactores!$S$5</f>
        <v>835.5903759996329</v>
      </c>
    </row>
    <row r="56" spans="3:22" x14ac:dyDescent="0.2">
      <c r="C56" s="87" t="s">
        <v>127</v>
      </c>
      <c r="D56" s="56">
        <f>168.793936681919*Deflactores!$A$5</f>
        <v>629.9247209038889</v>
      </c>
      <c r="E56" s="56">
        <f>203.409355607469*Deflactores!$B$5</f>
        <v>705.17278357087321</v>
      </c>
      <c r="F56" s="56">
        <f>189.84707649563*Deflactores!$C$5</f>
        <v>615.14553190458741</v>
      </c>
      <c r="G56" s="56">
        <f>223.61736213158*Deflactores!$D$5</f>
        <v>680.40124477104393</v>
      </c>
      <c r="H56" s="56">
        <f>224.132323363319*Deflactores!$E$5</f>
        <v>646.43376582827625</v>
      </c>
      <c r="I56" s="56">
        <f>249.61787514109*Deflactores!$F$5</f>
        <v>686.60251908899261</v>
      </c>
      <c r="J56" s="56">
        <f>297.62011859314*Deflactores!$G$5</f>
        <v>783.55116415872158</v>
      </c>
      <c r="K56" s="56">
        <f>286.39307326238*Deflactores!$H$5</f>
        <v>713.37084389632594</v>
      </c>
      <c r="L56" s="56">
        <f>312.0485894547*Deflactores!$I$5</f>
        <v>721.87620133897883</v>
      </c>
      <c r="M56" s="56">
        <f>335.88749799144*Deflactores!$J$5</f>
        <v>761.77456895141199</v>
      </c>
      <c r="N56" s="56">
        <f>368.035832550679*Deflactores!$K$5</f>
        <v>809.02913089467631</v>
      </c>
      <c r="O56" s="56">
        <f>375.311224208419*Deflactores!$L$5</f>
        <v>795.38081034883498</v>
      </c>
      <c r="P56" s="56">
        <f>382.08341104164*Deflactores!$M$5</f>
        <v>790.44593164540845</v>
      </c>
      <c r="Q56" s="56">
        <f>428.707244751663*Deflactores!$N$5</f>
        <v>870.02188999839575</v>
      </c>
      <c r="R56" s="56">
        <f>454.902859662509*Deflactores!$O$5</f>
        <v>890.58795978141359</v>
      </c>
      <c r="S56" s="56">
        <f>468.02706454525*Deflactores!$P$5</f>
        <v>858.18294119205996</v>
      </c>
      <c r="T56" s="56">
        <f>507.71892556345*Deflactores!$Q$5</f>
        <v>880.34294065160009</v>
      </c>
      <c r="U56" s="56">
        <f>551.0496349074*Deflactores!$R$5</f>
        <v>917.93143802329234</v>
      </c>
      <c r="V56" s="56">
        <f>579.751784429928*Deflactores!$S$5</f>
        <v>935.97898024034725</v>
      </c>
    </row>
    <row r="57" spans="3:22" x14ac:dyDescent="0.2">
      <c r="C57" s="88" t="s">
        <v>128</v>
      </c>
      <c r="D57" s="57">
        <f>49.5501893557*Deflactores!$A$5</f>
        <v>184.91712329360973</v>
      </c>
      <c r="E57" s="57">
        <f>66.92937225184*Deflactores!$B$5</f>
        <v>232.02851998882272</v>
      </c>
      <c r="F57" s="57">
        <f>60.51507642412*Deflactores!$C$5</f>
        <v>196.08191794314479</v>
      </c>
      <c r="G57" s="57">
        <f>65.70814833924*Deflactores!$D$5</f>
        <v>199.93038776350676</v>
      </c>
      <c r="H57" s="57">
        <f>95.14983942536*Deflactores!$E$5</f>
        <v>274.42748147480069</v>
      </c>
      <c r="I57" s="57">
        <f>101.110335255209*Deflactores!$F$5</f>
        <v>278.11554301918386</v>
      </c>
      <c r="J57" s="57">
        <f>121.14806983556*Deflactores!$G$5</f>
        <v>318.94924175137106</v>
      </c>
      <c r="K57" s="57">
        <f>132.78610442671*Deflactores!$H$5</f>
        <v>330.75428219524173</v>
      </c>
      <c r="L57" s="57">
        <f>175.63195114676*Deflactores!$I$5</f>
        <v>406.29738448467327</v>
      </c>
      <c r="M57" s="57">
        <f>176.85385177531*Deflactores!$J$5</f>
        <v>401.09491275845897</v>
      </c>
      <c r="N57" s="57">
        <f>201.84512557791*Deflactores!$K$5</f>
        <v>443.70295519835531</v>
      </c>
      <c r="O57" s="57">
        <f>226.43918947459*Deflactores!$L$5</f>
        <v>479.88275969869773</v>
      </c>
      <c r="P57" s="57">
        <f>333.901338332869*Deflactores!$M$5</f>
        <v>690.76789734639851</v>
      </c>
      <c r="Q57" s="57">
        <f>392.665975381419*Deflactores!$N$5</f>
        <v>796.87945147113237</v>
      </c>
      <c r="R57" s="57">
        <f>379.755159107159*Deflactores!$O$5</f>
        <v>743.46723741553149</v>
      </c>
      <c r="S57" s="57">
        <f>420.96978830496*Deflactores!$P$5</f>
        <v>771.89786328183811</v>
      </c>
      <c r="T57" s="57">
        <f>359.560593072379*Deflactores!$Q$5</f>
        <v>623.44855373765984</v>
      </c>
      <c r="U57" s="57">
        <f>390.03882353523*Deflactores!$R$5</f>
        <v>649.72168656417148</v>
      </c>
      <c r="V57" s="57">
        <f>387.771585459175*Deflactores!$S$5</f>
        <v>626.0369745668786</v>
      </c>
    </row>
    <row r="58" spans="3:22" x14ac:dyDescent="0.2">
      <c r="C58" s="87" t="s">
        <v>129</v>
      </c>
      <c r="D58" s="56">
        <f>5881.91373975177*Deflactores!$A$5</f>
        <v>21950.805483469569</v>
      </c>
      <c r="E58" s="56">
        <f>6947.40810941065*Deflactores!$B$5</f>
        <v>24085.043190295</v>
      </c>
      <c r="F58" s="56">
        <f>7730.99037241553*Deflactores!$C$5</f>
        <v>25050.078582054248</v>
      </c>
      <c r="G58" s="56">
        <f>8808.48702220741*Deflactores!$D$5</f>
        <v>26801.610918444483</v>
      </c>
      <c r="H58" s="56">
        <f>10078.3201526931*Deflactores!$E$5</f>
        <v>29067.500625367786</v>
      </c>
      <c r="I58" s="56">
        <f>10852.1433011549*Deflactores!$F$5</f>
        <v>29850.061514529541</v>
      </c>
      <c r="J58" s="56">
        <f>12144.4291571101*Deflactores!$G$5</f>
        <v>31972.911136109182</v>
      </c>
      <c r="K58" s="56">
        <f>13431.0951703976*Deflactores!$H$5</f>
        <v>33455.249413034559</v>
      </c>
      <c r="L58" s="56">
        <f>17327.3184244465*Deflactores!$I$5</f>
        <v>40084.074167706334</v>
      </c>
      <c r="M58" s="56">
        <f>18623.6404871569*Deflactores!$J$5</f>
        <v>42237.403265219371</v>
      </c>
      <c r="N58" s="56">
        <f>18833.9624423044*Deflactores!$K$5</f>
        <v>41401.4694177973</v>
      </c>
      <c r="O58" s="56">
        <f>19775.5839186463*Deflactores!$L$5</f>
        <v>41909.537865564984</v>
      </c>
      <c r="P58" s="56">
        <f>21824.7604315287*Deflactores!$M$5</f>
        <v>45150.594330193198</v>
      </c>
      <c r="Q58" s="56">
        <f>24283.2640073708*Deflactores!$N$5</f>
        <v>49280.648987541528</v>
      </c>
      <c r="R58" s="56">
        <f>24948.0287152259*Deflactores!$O$5</f>
        <v>48842.106665464635</v>
      </c>
      <c r="S58" s="56">
        <f>24916.987124885*Deflactores!$P$5</f>
        <v>45688.240950884378</v>
      </c>
      <c r="T58" s="56">
        <f>26624.7216499076*Deflactores!$Q$5</f>
        <v>46165.081841883795</v>
      </c>
      <c r="U58" s="56">
        <f>27747.0714475556*Deflactores!$R$5</f>
        <v>46220.716939717757</v>
      </c>
      <c r="V58" s="56">
        <f>29320.7494564517*Deflactores!$S$5</f>
        <v>47336.818813102531</v>
      </c>
    </row>
    <row r="59" spans="3:22" x14ac:dyDescent="0.2">
      <c r="C59" s="88" t="s">
        <v>130</v>
      </c>
      <c r="D59" s="57">
        <f>26.603475762*Deflactores!$A$5</f>
        <v>99.281925487826712</v>
      </c>
      <c r="E59" s="57">
        <f>64.91539123375*Deflactores!$B$5</f>
        <v>225.04651763035662</v>
      </c>
      <c r="F59" s="57">
        <f>18.90077657762*Deflactores!$C$5</f>
        <v>61.242598389538287</v>
      </c>
      <c r="G59" s="57">
        <f>25.20614692689*Deflactores!$D$5</f>
        <v>76.694821821779101</v>
      </c>
      <c r="H59" s="57">
        <f>74.30795957286*Deflactores!$E$5</f>
        <v>214.31613886335384</v>
      </c>
      <c r="I59" s="57">
        <f>58.92850796696*Deflactores!$F$5</f>
        <v>162.0896019301554</v>
      </c>
      <c r="J59" s="57">
        <f>78.58331069448*Deflactores!$G$5</f>
        <v>206.88804530140246</v>
      </c>
      <c r="K59" s="57">
        <f>65.84680082625*Deflactores!$H$5</f>
        <v>164.01649431744673</v>
      </c>
      <c r="L59" s="57">
        <f>135.390795605289*Deflactores!$I$5</f>
        <v>313.20568825066374</v>
      </c>
      <c r="M59" s="57">
        <f>124.95618072685*Deflactores!$J$5</f>
        <v>283.39381870484726</v>
      </c>
      <c r="N59" s="57">
        <f>136.58452152435*Deflactores!$K$5</f>
        <v>300.24483207703418</v>
      </c>
      <c r="O59" s="57">
        <f>167.797271041419*Deflactores!$L$5</f>
        <v>355.60548368021102</v>
      </c>
      <c r="P59" s="57">
        <f>310.366959062489*Deflactores!$M$5</f>
        <v>642.08048038328798</v>
      </c>
      <c r="Q59" s="57">
        <f>369.69504137496*Deflactores!$N$5</f>
        <v>750.26205541825084</v>
      </c>
      <c r="R59" s="57">
        <f>337.52356759051*Deflactores!$O$5</f>
        <v>660.78816400843561</v>
      </c>
      <c r="S59" s="57">
        <f>428.83673213947*Deflactores!$P$5</f>
        <v>786.32283463398039</v>
      </c>
      <c r="T59" s="57">
        <f>401.467906677349*Deflactores!$Q$5</f>
        <v>696.11239555302188</v>
      </c>
      <c r="U59" s="57">
        <f>583.23011535326*Deflactores!$R$5</f>
        <v>971.53727100222648</v>
      </c>
      <c r="V59" s="57">
        <f>564.946889308079*Deflactores!$S$5</f>
        <v>912.07725020541659</v>
      </c>
    </row>
    <row r="60" spans="3:22" x14ac:dyDescent="0.2">
      <c r="C60" s="87" t="s">
        <v>131</v>
      </c>
      <c r="D60" s="56">
        <f>4824.89185791948*Deflactores!$A$5</f>
        <v>18006.089061829094</v>
      </c>
      <c r="E60" s="56">
        <f>7355.61319561733*Deflactores!$B$5</f>
        <v>25500.194996112841</v>
      </c>
      <c r="F60" s="56">
        <f>8511.17258616029*Deflactores!$C$5</f>
        <v>27578.037461987624</v>
      </c>
      <c r="G60" s="56">
        <f>9920.95650570156*Deflactores!$D$5</f>
        <v>30186.525283429404</v>
      </c>
      <c r="H60" s="56">
        <f>11347.2944263595*Deflactores!$E$5</f>
        <v>32727.427074868116</v>
      </c>
      <c r="I60" s="56">
        <f>12394.2352991389*Deflactores!$F$5</f>
        <v>34091.76195318735</v>
      </c>
      <c r="J60" s="56">
        <f>13268.6244936411*Deflactores!$G$5</f>
        <v>34932.605423056404</v>
      </c>
      <c r="K60" s="56">
        <f>14282.8304844543*Deflactores!$H$5</f>
        <v>35576.820067113447</v>
      </c>
      <c r="L60" s="56">
        <f>16167.5134576142*Deflactores!$I$5</f>
        <v>37401.044562560426</v>
      </c>
      <c r="M60" s="56">
        <f>18681.8026112268*Deflactores!$J$5</f>
        <v>42369.311797860792</v>
      </c>
      <c r="N60" s="56">
        <f>20347.653712593*Deflactores!$K$5</f>
        <v>44728.918064189122</v>
      </c>
      <c r="O60" s="56">
        <f>21735.8963187225*Deflactores!$L$5</f>
        <v>46063.942969217365</v>
      </c>
      <c r="P60" s="56">
        <f>23217.9549224761*Deflactores!$M$5</f>
        <v>48032.80508715316</v>
      </c>
      <c r="Q60" s="56">
        <f>25135.9094865312*Deflactores!$N$5</f>
        <v>51011.014500042802</v>
      </c>
      <c r="R60" s="56">
        <f>26899.5731738877*Deflactores!$O$5</f>
        <v>52662.750921585095</v>
      </c>
      <c r="S60" s="56">
        <f>29024.3217353681*Deflactores!$P$5</f>
        <v>53219.524424649258</v>
      </c>
      <c r="T60" s="56">
        <f>31329.8772504467*Deflactores!$Q$5</f>
        <v>54323.435428969635</v>
      </c>
      <c r="U60" s="56">
        <f>35535.1420296253*Deflactores!$R$5</f>
        <v>59193.9853641265</v>
      </c>
      <c r="V60" s="56">
        <f>38208.6798079095*Deflactores!$S$5</f>
        <v>61685.918221196167</v>
      </c>
    </row>
    <row r="61" spans="3:22" x14ac:dyDescent="0.2">
      <c r="C61" s="88" t="s">
        <v>132</v>
      </c>
      <c r="D61" s="57">
        <f>7.42959174125*Deflactores!$A$5</f>
        <v>27.726609118999647</v>
      </c>
      <c r="E61" s="57">
        <f>7.34176456840999*Deflactores!$B$5</f>
        <v>25.452185036259859</v>
      </c>
      <c r="F61" s="57">
        <f>7.08431658021*Deflactores!$C$5</f>
        <v>22.954715823680754</v>
      </c>
      <c r="G61" s="57">
        <f>7.32479480762*Deflactores!$D$5</f>
        <v>22.287175992464221</v>
      </c>
      <c r="H61" s="57">
        <f>8.91585595388999*Deflactores!$E$5</f>
        <v>25.71476640838145</v>
      </c>
      <c r="I61" s="57">
        <f>15.05970762703*Deflactores!$F$5</f>
        <v>41.423448491491563</v>
      </c>
      <c r="J61" s="57">
        <f>10.14335852377*Deflactores!$G$5</f>
        <v>26.7046475801064</v>
      </c>
      <c r="K61" s="57">
        <f>11.96833879616*Deflactores!$H$5</f>
        <v>29.811698480681486</v>
      </c>
      <c r="L61" s="57">
        <f>12.5750975601899*Deflactores!$I$5</f>
        <v>29.090545398971422</v>
      </c>
      <c r="M61" s="57">
        <f>11.03232457438*Deflactores!$J$5</f>
        <v>25.02071183785046</v>
      </c>
      <c r="N61" s="57">
        <f>13.01217580674*Deflactores!$K$5</f>
        <v>28.603816131207775</v>
      </c>
      <c r="O61" s="57">
        <f>15.8675247722536*Deflactores!$L$5</f>
        <v>33.627357503639971</v>
      </c>
      <c r="P61" s="57">
        <f>24.18997858279*Deflactores!$M$5</f>
        <v>50.043706700660969</v>
      </c>
      <c r="Q61" s="57">
        <f>23.16104684216*Deflactores!$N$5</f>
        <v>47.003212552729444</v>
      </c>
      <c r="R61" s="57">
        <f>27.61587641765*Deflactores!$O$5</f>
        <v>54.065096567247451</v>
      </c>
      <c r="S61" s="57">
        <f>27.58369218661*Deflactores!$P$5</f>
        <v>50.577959872132055</v>
      </c>
      <c r="T61" s="57">
        <f>36.02331163942*Deflactores!$Q$5</f>
        <v>62.461465397339886</v>
      </c>
      <c r="U61" s="57">
        <f>43.6476806825499*Deflactores!$R$5</f>
        <v>72.707748553444276</v>
      </c>
      <c r="V61" s="57">
        <f>44.53824278432*Deflactores!$S$5</f>
        <v>71.904667105001977</v>
      </c>
    </row>
    <row r="62" spans="3:22" x14ac:dyDescent="0.2">
      <c r="C62" s="87" t="s">
        <v>133</v>
      </c>
      <c r="D62" s="56">
        <f>621.54403203644*Deflactores!$A$5</f>
        <v>2319.549852361326</v>
      </c>
      <c r="E62" s="56">
        <f>661.88006743621*Deflactores!$B$5</f>
        <v>2294.5837872116595</v>
      </c>
      <c r="F62" s="56">
        <f>691.7716481624*Deflactores!$C$5</f>
        <v>2241.4895521194289</v>
      </c>
      <c r="G62" s="56">
        <f>724.631717967719*Deflactores!$D$5</f>
        <v>2204.8391869308584</v>
      </c>
      <c r="H62" s="56">
        <f>787.042144125849*Deflactores!$E$5</f>
        <v>2269.956467939322</v>
      </c>
      <c r="I62" s="56">
        <f>869.795175450029*Deflactores!$F$5</f>
        <v>2392.4711249860952</v>
      </c>
      <c r="J62" s="56">
        <f>957.45615143064*Deflactores!$G$5</f>
        <v>2520.716293074212</v>
      </c>
      <c r="K62" s="56">
        <f>1092.26572364482*Deflactores!$H$5</f>
        <v>2720.7030957822017</v>
      </c>
      <c r="L62" s="56">
        <f>1260.01080119122*Deflactores!$I$5</f>
        <v>2914.8403215007752</v>
      </c>
      <c r="M62" s="56">
        <f>1456.19661795323*Deflactores!$J$5</f>
        <v>3302.5746941557672</v>
      </c>
      <c r="N62" s="56">
        <f>1536.28448403538*Deflactores!$K$5</f>
        <v>3377.1138324010094</v>
      </c>
      <c r="O62" s="56">
        <f>1679.74086024359*Deflactores!$L$5</f>
        <v>3559.8020000986317</v>
      </c>
      <c r="P62" s="56">
        <f>1962.82257856516*Deflactores!$M$5</f>
        <v>4060.6450762645009</v>
      </c>
      <c r="Q62" s="56">
        <f>2245.90387120121*Deflactores!$N$5</f>
        <v>4557.8551673626944</v>
      </c>
      <c r="R62" s="56">
        <f>2520.68938212396*Deflactores!$O$5</f>
        <v>4934.8900900159879</v>
      </c>
      <c r="S62" s="56">
        <f>2773.00677977144*Deflactores!$P$5</f>
        <v>5084.635685592275</v>
      </c>
      <c r="T62" s="56">
        <f>3150.99100117048*Deflactores!$Q$5</f>
        <v>5463.5597458942611</v>
      </c>
      <c r="U62" s="56">
        <f>3410.07057018236*Deflactores!$R$5</f>
        <v>5680.4519664991922</v>
      </c>
      <c r="V62" s="56">
        <f>3602.7946200902*Deflactores!$S$5</f>
        <v>5816.5237694667421</v>
      </c>
    </row>
    <row r="63" spans="3:22" x14ac:dyDescent="0.2">
      <c r="C63" s="88" t="s">
        <v>134</v>
      </c>
      <c r="D63" s="57">
        <f>6806.96581948345*Deflactores!$A$5</f>
        <v>25403.02174550643</v>
      </c>
      <c r="E63" s="57">
        <f>6718.53843976681*Deflactores!$B$5</f>
        <v>23291.605437465474</v>
      </c>
      <c r="F63" s="57">
        <f>6077.78524182914*Deflactores!$C$5</f>
        <v>19693.336891984734</v>
      </c>
      <c r="G63" s="57">
        <f>5156.32402788919*Deflactores!$D$5</f>
        <v>15689.163191873573</v>
      </c>
      <c r="H63" s="57">
        <f>6087.24669545592*Deflactores!$E$5</f>
        <v>17556.601144452754</v>
      </c>
      <c r="I63" s="57">
        <f>6814.3126595591*Deflactores!$F$5</f>
        <v>18743.546451826674</v>
      </c>
      <c r="J63" s="57">
        <f>6107.26892976481*Deflactores!$G$5</f>
        <v>16078.743945026796</v>
      </c>
      <c r="K63" s="57">
        <f>6361.61671797591*Deflactores!$H$5</f>
        <v>15846.025306938098</v>
      </c>
      <c r="L63" s="57">
        <f>7157.64035577201*Deflactores!$I$5</f>
        <v>16558.095133852086</v>
      </c>
      <c r="M63" s="57">
        <f>6509.19753798562*Deflactores!$J$5</f>
        <v>14762.505834155683</v>
      </c>
      <c r="N63" s="57">
        <f>7320.81183237073*Deflactores!$K$5</f>
        <v>16092.862461621273</v>
      </c>
      <c r="O63" s="57">
        <f>8177.26581419854*Deflactores!$L$5</f>
        <v>17329.725012762254</v>
      </c>
      <c r="P63" s="57">
        <f>9290.26038949927*Deflactores!$M$5</f>
        <v>19219.490604908482</v>
      </c>
      <c r="Q63" s="57">
        <f>11990.3701812185*Deflactores!$N$5</f>
        <v>24333.352548980129</v>
      </c>
      <c r="R63" s="57">
        <f>13066.1136840597*Deflactores!$O$5</f>
        <v>25580.23824425249</v>
      </c>
      <c r="S63" s="57">
        <f>16781.4199862878*Deflactores!$P$5</f>
        <v>30770.717020830125</v>
      </c>
      <c r="T63" s="57">
        <f>17624.9703852634*Deflactores!$Q$5</f>
        <v>30560.251896540933</v>
      </c>
      <c r="U63" s="57">
        <f>20425.6630397675*Deflactores!$R$5</f>
        <v>34024.808400106631</v>
      </c>
      <c r="V63" s="57">
        <f>11445.7082551185*Deflactores!$S$5</f>
        <v>18478.498261611065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54.06818210638*Deflactores!$A$5</f>
        <v>201.77789079784171</v>
      </c>
      <c r="E65" s="57">
        <f>156.03351264116*Deflactores!$B$5</f>
        <v>540.93178807291599</v>
      </c>
      <c r="F65" s="57">
        <f>116.737053168769*Deflactores!$C$5</f>
        <v>378.25326568107289</v>
      </c>
      <c r="G65" s="57">
        <f>102.91874749474*Deflactores!$D$5</f>
        <v>313.15119379904604</v>
      </c>
      <c r="H65" s="57">
        <f>230.08568841876*Deflactores!$E$5</f>
        <v>663.60423073217521</v>
      </c>
      <c r="I65" s="57">
        <f>452.764051823859*Deflactores!$F$5</f>
        <v>1245.3793157220421</v>
      </c>
      <c r="J65" s="57">
        <f>1245.57530626533*Deflactores!$G$5</f>
        <v>3279.2540567654059</v>
      </c>
      <c r="K65" s="57">
        <f>1476.65727996834*Deflactores!$H$5</f>
        <v>3678.1764236022141</v>
      </c>
      <c r="L65" s="57">
        <f>2174.34734881444*Deflactores!$I$5</f>
        <v>5030.0166627784329</v>
      </c>
      <c r="M65" s="57">
        <f>2234.54215901973*Deflactores!$J$5</f>
        <v>5067.8200295337965</v>
      </c>
      <c r="N65" s="57">
        <f>3283.93712709223*Deflactores!$K$5</f>
        <v>7218.8644823825471</v>
      </c>
      <c r="O65" s="57">
        <f>3428.9067537989*Deflactores!$L$5</f>
        <v>7266.733464205262</v>
      </c>
      <c r="P65" s="57">
        <f>5324.01164781371*Deflactores!$M$5</f>
        <v>11014.200631150885</v>
      </c>
      <c r="Q65" s="57">
        <f>5703.66861035763*Deflactores!$N$5</f>
        <v>11575.070412403194</v>
      </c>
      <c r="R65" s="57">
        <f>8200.45284064014*Deflactores!$O$5</f>
        <v>16054.470552345261</v>
      </c>
      <c r="S65" s="57">
        <f>9198.92187971639*Deflactores!$P$5</f>
        <v>16867.310530858751</v>
      </c>
      <c r="T65" s="57">
        <f>8072.71119149081*Deflactores!$Q$5</f>
        <v>13997.418554884982</v>
      </c>
      <c r="U65" s="57">
        <f>8425.60075274613*Deflactores!$R$5</f>
        <v>14035.258033476521</v>
      </c>
      <c r="V65" s="57">
        <f>8160.46466088949*Deflactores!$S$5</f>
        <v>13174.644040289126</v>
      </c>
    </row>
    <row r="66" spans="3:22" x14ac:dyDescent="0.2">
      <c r="C66" s="87" t="s">
        <v>137</v>
      </c>
      <c r="D66" s="56">
        <f>52.36382960982*Deflactores!$A$5</f>
        <v>195.41739117432408</v>
      </c>
      <c r="E66" s="56">
        <f>56.64597756318*Deflactores!$B$5</f>
        <v>196.37838956338604</v>
      </c>
      <c r="F66" s="56">
        <f>66.7935527438599*Deflactores!$C$5</f>
        <v>216.42553727375724</v>
      </c>
      <c r="G66" s="56">
        <f>55.5134419879299*Deflactores!$D$5</f>
        <v>168.91092297156848</v>
      </c>
      <c r="H66" s="56">
        <f>87.6846844124899*Deflactores!$E$5</f>
        <v>252.89677053116344</v>
      </c>
      <c r="I66" s="56">
        <f>179.8454649801*Deflactores!$F$5</f>
        <v>494.68552375214591</v>
      </c>
      <c r="J66" s="56">
        <f>82.0608690253499*Deflactores!$G$5</f>
        <v>216.04349114781701</v>
      </c>
      <c r="K66" s="56">
        <f>122.86258941415*Deflactores!$H$5</f>
        <v>306.03599484880783</v>
      </c>
      <c r="L66" s="56">
        <f>133.09034554109*Deflactores!$I$5</f>
        <v>307.8839524382509</v>
      </c>
      <c r="M66" s="56">
        <f>123.828854965*Deflactores!$J$5</f>
        <v>280.83710521763379</v>
      </c>
      <c r="N66" s="56">
        <f>152.95341866069*Deflactores!$K$5</f>
        <v>336.22750944879238</v>
      </c>
      <c r="O66" s="56">
        <f>179.75661791419*Deflactores!$L$5</f>
        <v>380.95040915364967</v>
      </c>
      <c r="P66" s="56">
        <f>252.452546651291*Deflactores!$M$5</f>
        <v>522.26839131806321</v>
      </c>
      <c r="Q66" s="56">
        <f>314.463332573849*Deflactores!$N$5</f>
        <v>638.17438657836658</v>
      </c>
      <c r="R66" s="56">
        <f>514.93637249642*Deflactores!$O$5</f>
        <v>1008.1188184639236</v>
      </c>
      <c r="S66" s="56">
        <f>330.83620690153*Deflactores!$P$5</f>
        <v>606.62728846128505</v>
      </c>
      <c r="T66" s="56">
        <f>293.586107415039*Deflactores!$Q$5</f>
        <v>509.05421114524222</v>
      </c>
      <c r="U66" s="56">
        <f>321.564264145469*Deflactores!$R$5</f>
        <v>535.65764081044006</v>
      </c>
      <c r="V66" s="56">
        <f>553.610203594419*Deflactores!$S$5</f>
        <v>893.77476314362934</v>
      </c>
    </row>
    <row r="67" spans="3:22" x14ac:dyDescent="0.2">
      <c r="C67" s="88" t="s">
        <v>138</v>
      </c>
      <c r="D67" s="57">
        <f>144.637709481219*Deflactores!$A$5</f>
        <v>539.77572043258306</v>
      </c>
      <c r="E67" s="57">
        <f>169.40609887143*Deflactores!$B$5</f>
        <v>587.29142491154118</v>
      </c>
      <c r="F67" s="57">
        <f>165.34751289257*Deflactores!$C$5</f>
        <v>535.76165430043829</v>
      </c>
      <c r="G67" s="57">
        <f>206.74813731476*Deflactores!$D$5</f>
        <v>629.07320183968534</v>
      </c>
      <c r="H67" s="57">
        <f>191.91146700714*Deflactores!$E$5</f>
        <v>553.50361992168405</v>
      </c>
      <c r="I67" s="57">
        <f>222.00826227328*Deflactores!$F$5</f>
        <v>610.65912066291696</v>
      </c>
      <c r="J67" s="57">
        <f>236.00417173566*Deflactores!$G$5</f>
        <v>621.33347834118365</v>
      </c>
      <c r="K67" s="57">
        <f>224.50955914967*Deflactores!$H$5</f>
        <v>559.22642209527999</v>
      </c>
      <c r="L67" s="57">
        <f>291.45233544477*Deflactores!$I$5</f>
        <v>674.22994973283471</v>
      </c>
      <c r="M67" s="57">
        <f>243.07101533208*Deflactores!$J$5</f>
        <v>551.27183666090548</v>
      </c>
      <c r="N67" s="57">
        <f>248.66384747855*Deflactores!$K$5</f>
        <v>546.62149339166695</v>
      </c>
      <c r="O67" s="57">
        <f>255.05853423416*Deflactores!$L$5</f>
        <v>540.53449659926662</v>
      </c>
      <c r="P67" s="57">
        <f>156.5973138412*Deflactores!$M$5</f>
        <v>323.96515016163795</v>
      </c>
      <c r="Q67" s="57">
        <f>156.48146447372*Deflactores!$N$5</f>
        <v>317.56472776662724</v>
      </c>
      <c r="R67" s="57">
        <f>97.06348776836*Deflactores!$O$5</f>
        <v>190.02644565704455</v>
      </c>
      <c r="S67" s="57">
        <f>78.46766439643*Deflactores!$P$5</f>
        <v>143.87973713791337</v>
      </c>
      <c r="T67" s="57">
        <f>91.8446310290399*Deflactores!$Q$5</f>
        <v>159.25105110753194</v>
      </c>
      <c r="U67" s="57">
        <f>91.9497718633*Deflactores!$R$5</f>
        <v>153.16875461967425</v>
      </c>
      <c r="V67" s="57">
        <f>93.36722012821*Deflactores!$S$5</f>
        <v>150.73650108625139</v>
      </c>
    </row>
    <row r="68" spans="3:22" x14ac:dyDescent="0.2">
      <c r="C68" s="87" t="s">
        <v>139</v>
      </c>
      <c r="D68" s="56">
        <f>413.40173080963*Deflactores!$A$5</f>
        <v>1542.780357046651</v>
      </c>
      <c r="E68" s="56">
        <f>533.22403580734*Deflactores!$B$5</f>
        <v>1848.563339056908</v>
      </c>
      <c r="F68" s="56">
        <f>512.80101290003*Deflactores!$C$5</f>
        <v>1661.5860389552074</v>
      </c>
      <c r="G68" s="56">
        <f>557.405157613669*Deflactores!$D$5</f>
        <v>1696.0184104979212</v>
      </c>
      <c r="H68" s="56">
        <f>697.622031276819*Deflactores!$E$5</f>
        <v>2012.0544419290566</v>
      </c>
      <c r="I68" s="56">
        <f>792.303419785259*Deflactores!$F$5</f>
        <v>2179.3211868336834</v>
      </c>
      <c r="J68" s="56">
        <f>970.124627974879*Deflactores!$G$5</f>
        <v>2554.0688755248821</v>
      </c>
      <c r="K68" s="56">
        <f>982.30386412967*Deflactores!$H$5</f>
        <v>2446.8012739777851</v>
      </c>
      <c r="L68" s="56">
        <f>1297.2355110867*Deflactores!$I$5</f>
        <v>3000.9539367625916</v>
      </c>
      <c r="M68" s="56">
        <f>1367.38956487006*Deflactores!$J$5</f>
        <v>3101.1651299807972</v>
      </c>
      <c r="N68" s="56">
        <f>2095.37806691872*Deflactores!$K$5</f>
        <v>4606.1327361149943</v>
      </c>
      <c r="O68" s="56">
        <f>5649.93438843847*Deflactores!$L$5</f>
        <v>11973.661064286214</v>
      </c>
      <c r="P68" s="56">
        <f>1643.26308366034*Deflactores!$M$5</f>
        <v>3399.547275714745</v>
      </c>
      <c r="Q68" s="56">
        <f>2148.34818906695*Deflactores!$N$5</f>
        <v>4359.8748906363289</v>
      </c>
      <c r="R68" s="56">
        <f>2486.82270968169*Deflactores!$O$5</f>
        <v>4868.5874716123071</v>
      </c>
      <c r="S68" s="56">
        <f>2490.18155755272*Deflactores!$P$5</f>
        <v>4566.0422121939155</v>
      </c>
      <c r="T68" s="56">
        <f>2636.15104992493*Deflactores!$Q$5</f>
        <v>4570.8695312416403</v>
      </c>
      <c r="U68" s="56">
        <f>2949.40497780709*Deflactores!$R$5</f>
        <v>4913.0811111896846</v>
      </c>
      <c r="V68" s="56">
        <f>3070.80131481369*Deflactores!$S$5</f>
        <v>4957.6483597825436</v>
      </c>
    </row>
    <row r="69" spans="3:22" x14ac:dyDescent="0.2">
      <c r="C69" s="88" t="s">
        <v>140</v>
      </c>
      <c r="D69" s="57">
        <f>309.757081501569*Deflactores!$A$5</f>
        <v>1155.9872762525624</v>
      </c>
      <c r="E69" s="57">
        <f>441.925348982909*Deflactores!$B$5</f>
        <v>1532.0520904367124</v>
      </c>
      <c r="F69" s="57">
        <f>332.931425775439*Deflactores!$C$5</f>
        <v>1078.7697275975661</v>
      </c>
      <c r="G69" s="57">
        <f>406.223466201749*Deflactores!$D$5</f>
        <v>1236.0174068069141</v>
      </c>
      <c r="H69" s="57">
        <f>709.127706727039*Deflactores!$E$5</f>
        <v>2045.2386654184425</v>
      </c>
      <c r="I69" s="57">
        <f>681.70120858793*Deflactores!$F$5</f>
        <v>1875.0971532704782</v>
      </c>
      <c r="J69" s="57">
        <f>624.019105144749*Deflactores!$G$5</f>
        <v>1642.8690997259816</v>
      </c>
      <c r="K69" s="57">
        <f>2377.9116898085*Deflactores!$H$5</f>
        <v>5923.0932143234013</v>
      </c>
      <c r="L69" s="57">
        <f>1504.33899665569*Deflactores!$I$5</f>
        <v>3480.0558538962623</v>
      </c>
      <c r="M69" s="57">
        <f>6162.70369877785*Deflactores!$J$5</f>
        <v>13976.67666044364</v>
      </c>
      <c r="N69" s="57">
        <f>1133.38981735684*Deflactores!$K$5</f>
        <v>2491.4568033937717</v>
      </c>
      <c r="O69" s="57">
        <f>1701.3820327694*Deflactores!$L$5</f>
        <v>3605.6651990391433</v>
      </c>
      <c r="P69" s="57">
        <f>2081.58133547163*Deflactores!$M$5</f>
        <v>4306.3306347871003</v>
      </c>
      <c r="Q69" s="57">
        <f>2711.56927480003*Deflactores!$N$5</f>
        <v>5502.8802386805255</v>
      </c>
      <c r="R69" s="57">
        <f>2343.60665189978*Deflactores!$O$5</f>
        <v>4588.2056406373276</v>
      </c>
      <c r="S69" s="57">
        <f>2577.39333589426*Deflactores!$P$5</f>
        <v>4725.9553157586706</v>
      </c>
      <c r="T69" s="57">
        <f>2531.02105345927*Deflactores!$Q$5</f>
        <v>4388.5827470006125</v>
      </c>
      <c r="U69" s="57">
        <f>3120.89471841559*Deflactores!$R$5</f>
        <v>5198.7465290235141</v>
      </c>
      <c r="V69" s="57">
        <f>3447.35700163345*Deflactores!$S$5</f>
        <v>5565.5778517112767</v>
      </c>
    </row>
    <row r="70" spans="3:22" x14ac:dyDescent="0.2">
      <c r="C70" s="87" t="s">
        <v>141</v>
      </c>
      <c r="D70" s="56">
        <f>352.64739156511*Deflactores!$A$5</f>
        <v>1316.0502923025424</v>
      </c>
      <c r="E70" s="56">
        <f>367.45480569193*Deflactores!$B$5</f>
        <v>1273.8800896961202</v>
      </c>
      <c r="F70" s="56">
        <f>390.875434072709*Deflactores!$C$5</f>
        <v>1266.5208294984084</v>
      </c>
      <c r="G70" s="56">
        <f>396.75453811597*Deflactores!$D$5</f>
        <v>1207.2062698057514</v>
      </c>
      <c r="H70" s="56">
        <f>451.44203439654*Deflactores!$E$5</f>
        <v>1302.0316301057603</v>
      </c>
      <c r="I70" s="56">
        <f>471.625958027559*Deflactores!$F$5</f>
        <v>1297.2611463279661</v>
      </c>
      <c r="J70" s="56">
        <f>528.43712089638*Deflactores!$G$5</f>
        <v>1391.2282651465398</v>
      </c>
      <c r="K70" s="56">
        <f>590.76663871212*Deflactores!$H$5</f>
        <v>1471.5289402888634</v>
      </c>
      <c r="L70" s="56">
        <f>671.67641867565*Deflactores!$I$5</f>
        <v>1553.8196230588499</v>
      </c>
      <c r="M70" s="56">
        <f>758.944049642529*Deflactores!$J$5</f>
        <v>1721.2438085129636</v>
      </c>
      <c r="N70" s="56">
        <f>858.19037791544*Deflactores!$K$5</f>
        <v>1886.5038514734731</v>
      </c>
      <c r="O70" s="56">
        <f>906.069902489629*Deflactores!$L$5</f>
        <v>1920.1946725544399</v>
      </c>
      <c r="P70" s="56">
        <f>1026.3630100729*Deflactores!$M$5</f>
        <v>2123.3176899560399</v>
      </c>
      <c r="Q70" s="56">
        <f>1162.62648058361*Deflactores!$N$5</f>
        <v>2359.4434206155593</v>
      </c>
      <c r="R70" s="56">
        <f>1298.27226840443*Deflactores!$O$5</f>
        <v>2541.6979168187449</v>
      </c>
      <c r="S70" s="56">
        <f>1456.69575508222*Deflactores!$P$5</f>
        <v>2671.023840753945</v>
      </c>
      <c r="T70" s="56">
        <f>1494.51239856958*Deflactores!$Q$5</f>
        <v>2591.3618215766087</v>
      </c>
      <c r="U70" s="56">
        <f>1697.94734207123*Deflactores!$R$5</f>
        <v>2828.4189783687689</v>
      </c>
      <c r="V70" s="56">
        <f>1803.85482749127*Deflactores!$S$5</f>
        <v>2912.2294183140584</v>
      </c>
    </row>
    <row r="71" spans="3:22" x14ac:dyDescent="0.2">
      <c r="C71" s="88" t="s">
        <v>142</v>
      </c>
      <c r="D71" s="57">
        <f>336.83319619929*Deflactores!$A$5</f>
        <v>1257.0330503449359</v>
      </c>
      <c r="E71" s="57">
        <f>1043.56592753335*Deflactores!$B$5</f>
        <v>3617.7996226413061</v>
      </c>
      <c r="F71" s="57">
        <f>836.097785681349*Deflactores!$C$5</f>
        <v>2709.1374099144482</v>
      </c>
      <c r="G71" s="57">
        <f>387.801293198419*Deflactores!$D$5</f>
        <v>1179.964203587936</v>
      </c>
      <c r="H71" s="57">
        <f>255.34552804986*Deflactores!$E$5</f>
        <v>736.45768181821632</v>
      </c>
      <c r="I71" s="57">
        <f>147.23123168022*Deflactores!$F$5</f>
        <v>404.97634435465022</v>
      </c>
      <c r="J71" s="57">
        <f>246.22332915672*Deflactores!$G$5</f>
        <v>648.23768337894535</v>
      </c>
      <c r="K71" s="57">
        <f>370.03487913985*Deflactores!$H$5</f>
        <v>921.71256446984933</v>
      </c>
      <c r="L71" s="57">
        <f>571.82257794053*Deflactores!$I$5</f>
        <v>1322.8231895709173</v>
      </c>
      <c r="M71" s="57">
        <f>1046.57592461201*Deflactores!$J$5</f>
        <v>2373.5772501617707</v>
      </c>
      <c r="N71" s="57">
        <f>931.634053139369*Deflactores!$K$5</f>
        <v>2047.950285437058</v>
      </c>
      <c r="O71" s="57">
        <f>804.37928149938*Deflactores!$L$5</f>
        <v>1704.686147066845</v>
      </c>
      <c r="P71" s="57">
        <f>899.834267707099*Deflactores!$M$5</f>
        <v>1861.5577528611586</v>
      </c>
      <c r="Q71" s="57">
        <f>482.379970939109*Deflactores!$N$5</f>
        <v>978.94574713082648</v>
      </c>
      <c r="R71" s="57">
        <f>327.581717551169*Deflactores!$O$5</f>
        <v>641.32446586954427</v>
      </c>
      <c r="S71" s="57">
        <f>290.39337988307*Deflactores!$P$5</f>
        <v>532.47058499255206</v>
      </c>
      <c r="T71" s="57">
        <f>436.670964527079*Deflactores!$Q$5</f>
        <v>757.15160820984204</v>
      </c>
      <c r="U71" s="57">
        <f>415.70359143943*Deflactores!$R$5</f>
        <v>692.47372887846348</v>
      </c>
      <c r="V71" s="57">
        <f>364.110666396392*Deflactores!$S$5</f>
        <v>587.83765635743248</v>
      </c>
    </row>
    <row r="72" spans="3:22" x14ac:dyDescent="0.2">
      <c r="C72" s="87" t="s">
        <v>143</v>
      </c>
      <c r="D72" s="56">
        <f>762.28565926158*Deflactores!$A$5</f>
        <v>2844.7857227493901</v>
      </c>
      <c r="E72" s="56">
        <f>772.33627741254*Deflactores!$B$5</f>
        <v>2677.5096994396486</v>
      </c>
      <c r="F72" s="56">
        <f>979.07513374427*Deflactores!$C$5</f>
        <v>3172.4148985540869</v>
      </c>
      <c r="G72" s="56">
        <f>803.92326195932*Deflactores!$D$5</f>
        <v>2446.0998149851243</v>
      </c>
      <c r="H72" s="56">
        <f>707.358496502559*Deflactores!$E$5</f>
        <v>2040.1359778150188</v>
      </c>
      <c r="I72" s="56">
        <f>642.02551454637*Deflactores!$F$5</f>
        <v>1765.9646183502859</v>
      </c>
      <c r="J72" s="56">
        <f>214.75170458604*Deflactores!$G$5</f>
        <v>565.38163121792411</v>
      </c>
      <c r="K72" s="56">
        <f>356.116927279849*Deflactores!$H$5</f>
        <v>887.04461335435167</v>
      </c>
      <c r="L72" s="56">
        <f>317.12580321259*Deflactores!$I$5</f>
        <v>733.62155095692242</v>
      </c>
      <c r="M72" s="56">
        <f>293.70969434575*Deflactores!$J$5</f>
        <v>666.11760528457251</v>
      </c>
      <c r="N72" s="56">
        <f>282.71764181632*Deflactores!$K$5</f>
        <v>621.47972511821604</v>
      </c>
      <c r="O72" s="56">
        <f>307.59308730923*Deflactores!$L$5</f>
        <v>651.86869792589391</v>
      </c>
      <c r="P72" s="56">
        <f>851.40714584752*Deflactores!$M$5</f>
        <v>1761.3727661567007</v>
      </c>
      <c r="Q72" s="56">
        <f>598.2181961041*Deflactores!$N$5</f>
        <v>1214.0287619991313</v>
      </c>
      <c r="R72" s="56">
        <f>653.539564976409*Deflactores!$O$5</f>
        <v>1279.4697932665936</v>
      </c>
      <c r="S72" s="56">
        <f>662.58467391706*Deflactores!$P$5</f>
        <v>1214.9273136659579</v>
      </c>
      <c r="T72" s="56">
        <f>788.16224678059*Deflactores!$Q$5</f>
        <v>1366.6086393596242</v>
      </c>
      <c r="U72" s="56">
        <f>1810.42298979981*Deflactores!$R$5</f>
        <v>3015.7794746323152</v>
      </c>
      <c r="V72" s="56">
        <f>1458.5010537872*Deflactores!$S$5</f>
        <v>2354.6737856883856</v>
      </c>
    </row>
    <row r="73" spans="3:22" x14ac:dyDescent="0.2">
      <c r="C73" s="88" t="s">
        <v>144</v>
      </c>
      <c r="D73" s="57">
        <f>693.862779051269*Deflactores!$A$5</f>
        <v>2589.4373105540994</v>
      </c>
      <c r="E73" s="57">
        <f>784.09983190526*Deflactores!$B$5</f>
        <v>2718.2911986069093</v>
      </c>
      <c r="F73" s="57">
        <f>812.050661123999*Deflactores!$C$5</f>
        <v>2631.2195325382991</v>
      </c>
      <c r="G73" s="57">
        <f>812.517173549489*Deflactores!$D$5</f>
        <v>2472.2485365676762</v>
      </c>
      <c r="H73" s="57">
        <f>1029.04818081038*Deflactores!$E$5</f>
        <v>2967.94090543416</v>
      </c>
      <c r="I73" s="57">
        <f>1073.3435872458*Deflactores!$F$5</f>
        <v>2952.354315308688</v>
      </c>
      <c r="J73" s="57">
        <f>1206.12366606426*Deflactores!$G$5</f>
        <v>3175.3888384003194</v>
      </c>
      <c r="K73" s="57">
        <f>1307.56467704721*Deflactores!$H$5</f>
        <v>3256.9870021249662</v>
      </c>
      <c r="L73" s="57">
        <f>1451.32637262575*Deflactores!$I$5</f>
        <v>3357.4193384592973</v>
      </c>
      <c r="M73" s="57">
        <f>1672.32797060951*Deflactores!$J$5</f>
        <v>3792.7488417235318</v>
      </c>
      <c r="N73" s="57">
        <f>1821.33226706957*Deflactores!$K$5</f>
        <v>4003.715754755538</v>
      </c>
      <c r="O73" s="57">
        <f>2040.10172878113*Deflactores!$L$5</f>
        <v>4323.4991696675052</v>
      </c>
      <c r="P73" s="57">
        <f>2328.11987771129*Deflactores!$M$5</f>
        <v>4816.3642611511905</v>
      </c>
      <c r="Q73" s="57">
        <f>2773.10784260678*Deflactores!$N$5</f>
        <v>5627.7670973153427</v>
      </c>
      <c r="R73" s="57">
        <f>3002.92687640084*Deflactores!$O$5</f>
        <v>5878.9925440580964</v>
      </c>
      <c r="S73" s="57">
        <f>3180.34400385011*Deflactores!$P$5</f>
        <v>5831.5366310675017</v>
      </c>
      <c r="T73" s="57">
        <f>3463.96809289669*Deflactores!$Q$5</f>
        <v>6006.2363321197317</v>
      </c>
      <c r="U73" s="57">
        <f>3755.62860572644*Deflactores!$R$5</f>
        <v>6256.0781250044683</v>
      </c>
      <c r="V73" s="57">
        <f>4164.08767681703*Deflactores!$S$5</f>
        <v>6722.7020977796992</v>
      </c>
    </row>
    <row r="74" spans="3:22" x14ac:dyDescent="0.2">
      <c r="C74" s="87" t="s">
        <v>145</v>
      </c>
      <c r="D74" s="56">
        <f>198.42565235831*Deflactores!$A$5</f>
        <v>740.50778208652105</v>
      </c>
      <c r="E74" s="56">
        <f>176.0110872857*Deflactores!$B$5</f>
        <v>610.18937890010943</v>
      </c>
      <c r="F74" s="56">
        <f>192.58197455976*Deflactores!$C$5</f>
        <v>624.00719232843278</v>
      </c>
      <c r="G74" s="56">
        <f>295.891924976569*Deflactores!$D$5</f>
        <v>900.31128241864758</v>
      </c>
      <c r="H74" s="56">
        <f>142.20019158814*Deflactores!$E$5</f>
        <v>410.12828480261777</v>
      </c>
      <c r="I74" s="56">
        <f>191.68116008835*Deflactores!$F$5</f>
        <v>527.24095701949693</v>
      </c>
      <c r="J74" s="56">
        <f>475.68494288053*Deflactores!$G$5</f>
        <v>1252.3464224417703</v>
      </c>
      <c r="K74" s="56">
        <f>419.03946525936*Deflactores!$H$5</f>
        <v>1043.777119162615</v>
      </c>
      <c r="L74" s="56">
        <f>348.54694123238*Deflactores!$I$5</f>
        <v>806.30949931493467</v>
      </c>
      <c r="M74" s="56">
        <f>402.955098376899*Deflactores!$J$5</f>
        <v>913.88023730689406</v>
      </c>
      <c r="N74" s="56">
        <f>716.36426021535*Deflactores!$K$5</f>
        <v>1574.7367609001121</v>
      </c>
      <c r="O74" s="56">
        <f>564.839845555461*Deflactores!$L$5</f>
        <v>1197.0406028297396</v>
      </c>
      <c r="P74" s="56">
        <f>410.429861251859*Deflactores!$M$5</f>
        <v>849.08845732892962</v>
      </c>
      <c r="Q74" s="56">
        <f>537.560049782133*Deflactores!$N$5</f>
        <v>1090.928637723398</v>
      </c>
      <c r="R74" s="56">
        <f>1073.65827488547*Deflactores!$O$5</f>
        <v>2101.9589396340025</v>
      </c>
      <c r="S74" s="56">
        <f>819.10191569458*Deflactores!$P$5</f>
        <v>1501.9201759834627</v>
      </c>
      <c r="T74" s="56">
        <f>684.70982323829*Deflactores!$Q$5</f>
        <v>1187.2306288635755</v>
      </c>
      <c r="U74" s="56">
        <f>732.16183776984*Deflactores!$R$5</f>
        <v>1219.625830480376</v>
      </c>
      <c r="V74" s="56">
        <f>1770.72394119793*Deflactores!$S$5</f>
        <v>2858.7413325502662</v>
      </c>
    </row>
    <row r="75" spans="3:22" x14ac:dyDescent="0.2">
      <c r="C75" s="88" t="s">
        <v>146</v>
      </c>
      <c r="D75" s="57">
        <f>143.2508931459*Deflactores!$A$5</f>
        <v>534.60023895413997</v>
      </c>
      <c r="E75" s="57">
        <f>153.719172539669*Deflactores!$B$5</f>
        <v>532.90851084152109</v>
      </c>
      <c r="F75" s="57">
        <f>171.52468133569*Deflactores!$C$5</f>
        <v>555.77701422985365</v>
      </c>
      <c r="G75" s="57">
        <f>182.30649268251*Deflactores!$D$5</f>
        <v>554.70453353275411</v>
      </c>
      <c r="H75" s="57">
        <f>181.273906226719*Deflactores!$E$5</f>
        <v>522.82317913863847</v>
      </c>
      <c r="I75" s="57">
        <f>229.0185196803*Deflactores!$F$5</f>
        <v>629.94163555653836</v>
      </c>
      <c r="J75" s="57">
        <f>233.03605428581*Deflactores!$G$5</f>
        <v>613.51924893295904</v>
      </c>
      <c r="K75" s="57">
        <f>212.8868617293*Deflactores!$H$5</f>
        <v>530.27567488385955</v>
      </c>
      <c r="L75" s="57">
        <f>216.20465437638*Deflactores!$I$5</f>
        <v>500.15606507231172</v>
      </c>
      <c r="M75" s="57">
        <f>214.900023112499*Deflactores!$J$5</f>
        <v>487.3815591622419</v>
      </c>
      <c r="N75" s="57">
        <f>224.71179654166*Deflactores!$K$5</f>
        <v>493.96926434560322</v>
      </c>
      <c r="O75" s="57">
        <f>255.712782508129*Deflactores!$L$5</f>
        <v>541.92101660920332</v>
      </c>
      <c r="P75" s="57">
        <f>392.528971326293*Deflactores!$M$5</f>
        <v>812.05548179115135</v>
      </c>
      <c r="Q75" s="57">
        <f>410.622261718789*Deflactores!$N$5</f>
        <v>833.32008168637537</v>
      </c>
      <c r="R75" s="57">
        <f>475.539221088322*Deflactores!$O$5</f>
        <v>930.98888193248899</v>
      </c>
      <c r="S75" s="57">
        <f>595.572082704371*Deflactores!$P$5</f>
        <v>1092.0518071401029</v>
      </c>
      <c r="T75" s="57">
        <f>693.598866892939*Deflactores!$Q$5</f>
        <v>1202.6435009006573</v>
      </c>
      <c r="U75" s="57">
        <f>633.48167668526*Deflactores!$R$5</f>
        <v>1055.2456795272587</v>
      </c>
      <c r="V75" s="57">
        <f>623.73979111704*Deflactores!$S$5</f>
        <v>1006.9953199007645</v>
      </c>
    </row>
    <row r="76" spans="3:22" x14ac:dyDescent="0.2">
      <c r="C76" s="90" t="s">
        <v>147</v>
      </c>
      <c r="D76" s="58">
        <f>4618.66673075931*Deflactores!$A$5</f>
        <v>17236.474298269553</v>
      </c>
      <c r="E76" s="58">
        <f>6179.43822516236*Deflactores!$B$5</f>
        <v>21422.67075734245</v>
      </c>
      <c r="F76" s="58">
        <f>7174.48003727636*Deflactores!$C$5</f>
        <v>23246.864898500553</v>
      </c>
      <c r="G76" s="58">
        <f>8335.44949941893*Deflactores!$D$5</f>
        <v>25362.298173402316</v>
      </c>
      <c r="H76" s="58">
        <f>10914.3628109887*Deflactores!$E$5</f>
        <v>31478.782478360681</v>
      </c>
      <c r="I76" s="58">
        <f>13936.8118548657*Deflactores!$F$5</f>
        <v>38334.795223344765</v>
      </c>
      <c r="J76" s="58">
        <f>15738.9955851166*Deflactores!$G$5</f>
        <v>41436.406825258702</v>
      </c>
      <c r="K76" s="58">
        <f>17048.3915029718*Deflactores!$H$5</f>
        <v>42465.501330082261</v>
      </c>
      <c r="L76" s="58">
        <f>18672.0854487718*Deflactores!$I$5</f>
        <v>43194.984916901667</v>
      </c>
      <c r="M76" s="58">
        <f>21054.915548604*Deflactores!$J$5</f>
        <v>47751.402812720786</v>
      </c>
      <c r="N76" s="58">
        <f>21943.0843924487*Deflactores!$K$5</f>
        <v>48236.049115480499</v>
      </c>
      <c r="O76" s="58">
        <f>23981.3250425867*Deflactores!$L$5</f>
        <v>50822.582740075552</v>
      </c>
      <c r="P76" s="58">
        <f>26819.6956422381*Deflactores!$M$5</f>
        <v>55484.008715743075</v>
      </c>
      <c r="Q76" s="58">
        <f>27898.0382791028*Deflactores!$N$5</f>
        <v>56616.50062595182</v>
      </c>
      <c r="R76" s="58">
        <f>34641.9495015201*Deflactores!$O$5</f>
        <v>67820.420281152605</v>
      </c>
      <c r="S76" s="58">
        <f>34274.8472402257*Deflactores!$P$5</f>
        <v>62846.98352242753</v>
      </c>
      <c r="T76" s="58">
        <f>35760.7535055644*Deflactores!$Q$5</f>
        <v>62006.211145405265</v>
      </c>
      <c r="U76" s="58">
        <f>38141.8044969005*Deflactores!$R$5</f>
        <v>63536.130382386698</v>
      </c>
      <c r="V76" s="58">
        <f>46553.4148375807*Deflactores!$S$5</f>
        <v>75158.057148940279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0.150079299*Deflactores!$R$5</f>
        <v>0.25000017788188478</v>
      </c>
      <c r="V77" s="59">
        <f>134.3385293323*Deflactores!$S$5</f>
        <v>216.8825401979104</v>
      </c>
    </row>
    <row r="78" spans="3:22" x14ac:dyDescent="0.2">
      <c r="C78" s="87" t="s">
        <v>149</v>
      </c>
      <c r="D78" s="56">
        <f>31.97698756911*Deflactores!$A$5</f>
        <v>119.33541788160952</v>
      </c>
      <c r="E78" s="56">
        <f>25.194439005*Deflactores!$B$5</f>
        <v>87.343242549508687</v>
      </c>
      <c r="F78" s="56">
        <f>18.40647352277*Deflactores!$C$5</f>
        <v>59.640949729940601</v>
      </c>
      <c r="G78" s="56">
        <f>18.58136757409*Deflactores!$D$5</f>
        <v>56.537585035637498</v>
      </c>
      <c r="H78" s="56">
        <f>20.34691229709*Deflactores!$E$5</f>
        <v>58.683776359488419</v>
      </c>
      <c r="I78" s="56">
        <f>43.90940696811*Deflactores!$F$5</f>
        <v>120.77784661442033</v>
      </c>
      <c r="J78" s="56">
        <f>35.07592224111*Deflactores!$G$5</f>
        <v>92.345167510446728</v>
      </c>
      <c r="K78" s="56">
        <f>36.93826685253*Deflactores!$H$5</f>
        <v>92.008798594495815</v>
      </c>
      <c r="L78" s="56">
        <f>37.47967777791*Deflactores!$I$5</f>
        <v>86.703444066214161</v>
      </c>
      <c r="M78" s="56">
        <f>41.92273279157*Deflactores!$J$5</f>
        <v>95.078476848749318</v>
      </c>
      <c r="N78" s="56">
        <f>109.66908352528*Deflactores!$K$5</f>
        <v>241.07838281821466</v>
      </c>
      <c r="O78" s="56">
        <f>120.72715453567*Deflactores!$L$5</f>
        <v>255.85182592984711</v>
      </c>
      <c r="P78" s="56">
        <f>142.633829439109*Deflactores!$M$5</f>
        <v>295.07779436899386</v>
      </c>
      <c r="Q78" s="56">
        <f>49.83694406615*Deflactores!$N$5</f>
        <v>101.13949040747569</v>
      </c>
      <c r="R78" s="56">
        <f>65.1505238825199*Deflactores!$O$5</f>
        <v>127.54870828086287</v>
      </c>
      <c r="S78" s="56">
        <f>66.8349346890599*Deflactores!$P$5</f>
        <v>122.54975229171023</v>
      </c>
      <c r="T78" s="56">
        <f>73.85757080003*Deflactores!$Q$5</f>
        <v>128.06296514419881</v>
      </c>
      <c r="U78" s="56">
        <f>77.42554996118*Deflactores!$R$5</f>
        <v>128.97449143134494</v>
      </c>
      <c r="V78" s="56">
        <f>74.70577058422*Deflactores!$S$5</f>
        <v>120.60856533325403</v>
      </c>
    </row>
    <row r="79" spans="3:22" x14ac:dyDescent="0.2">
      <c r="C79" s="88" t="s">
        <v>150</v>
      </c>
      <c r="D79" s="57">
        <f>540.76940650167*Deflactores!$A$5</f>
        <v>2018.1057694379581</v>
      </c>
      <c r="E79" s="57">
        <f>937.81543040784*Deflactores!$B$5</f>
        <v>3251.1873190956117</v>
      </c>
      <c r="F79" s="57">
        <f>866.420986196669*Deflactores!$C$5</f>
        <v>2807.3911289306338</v>
      </c>
      <c r="G79" s="57">
        <f>448.847284720979*Deflactores!$D$5</f>
        <v>1365.7090322734302</v>
      </c>
      <c r="H79" s="57">
        <f>751.77634544792*Deflactores!$E$5</f>
        <v>2168.2442173267164</v>
      </c>
      <c r="I79" s="57">
        <f>1163.1195614873*Deflactores!$F$5</f>
        <v>3199.2934018346095</v>
      </c>
      <c r="J79" s="57">
        <f>1678.84852985793*Deflactores!$G$5</f>
        <v>4419.9421942124718</v>
      </c>
      <c r="K79" s="57">
        <f>2330.46813377025*Deflactores!$H$5</f>
        <v>5804.9169985968365</v>
      </c>
      <c r="L79" s="57">
        <f>1801.31871208463*Deflactores!$I$5</f>
        <v>4167.0725432625068</v>
      </c>
      <c r="M79" s="57">
        <f>2879.78989731811*Deflactores!$J$5</f>
        <v>6531.2067904237429</v>
      </c>
      <c r="N79" s="57">
        <f>2948.79071172323*Deflactores!$K$5</f>
        <v>6482.1340089683536</v>
      </c>
      <c r="O79" s="57">
        <f>4351.94906129453*Deflactores!$L$5</f>
        <v>9222.8970190538948</v>
      </c>
      <c r="P79" s="57">
        <f>6816.53588490856*Deflactores!$M$5</f>
        <v>14101.902627627302</v>
      </c>
      <c r="Q79" s="57">
        <f>7319.63066334455*Deflactores!$N$5</f>
        <v>14854.516646907059</v>
      </c>
      <c r="R79" s="57">
        <f>6086.32505653574*Deflactores!$O$5</f>
        <v>11915.528116679778</v>
      </c>
      <c r="S79" s="57">
        <f>5516.92195970397*Deflactores!$P$5</f>
        <v>10115.928484405136</v>
      </c>
      <c r="T79" s="57">
        <f>4236.3281000596*Deflactores!$Q$5</f>
        <v>7345.4451851143485</v>
      </c>
      <c r="U79" s="57">
        <f>4080.65132792842*Deflactores!$R$5</f>
        <v>6797.4968210376192</v>
      </c>
      <c r="V79" s="57">
        <f>3322.07399703353*Deflactores!$S$5</f>
        <v>5363.3149832973668</v>
      </c>
    </row>
    <row r="80" spans="3:22" x14ac:dyDescent="0.2">
      <c r="C80" s="87" t="s">
        <v>151</v>
      </c>
      <c r="D80" s="56">
        <f>158.69702701501*Deflactores!$A$5</f>
        <v>592.24390648041242</v>
      </c>
      <c r="E80" s="56">
        <f>167.73073958185*Deflactores!$B$5</f>
        <v>581.48334509050142</v>
      </c>
      <c r="F80" s="56">
        <f>151.27687048185*Deflactores!$C$5</f>
        <v>490.16973384660491</v>
      </c>
      <c r="G80" s="56">
        <f>197.80711719422*Deflactores!$D$5</f>
        <v>601.86833204983986</v>
      </c>
      <c r="H80" s="56">
        <f>232.43541347651*Deflactores!$E$5</f>
        <v>670.38121673289675</v>
      </c>
      <c r="I80" s="56">
        <f>183.9221173644*Deflactores!$F$5</f>
        <v>505.89882245893307</v>
      </c>
      <c r="J80" s="56">
        <f>210.84903539402*Deflactores!$G$5</f>
        <v>555.10698646881031</v>
      </c>
      <c r="K80" s="56">
        <f>380.06764234456*Deflactores!$H$5</f>
        <v>946.70297597815772</v>
      </c>
      <c r="L80" s="56">
        <f>437.96980219007*Deflactores!$I$5</f>
        <v>1013.1754726359645</v>
      </c>
      <c r="M80" s="56">
        <f>699.936934699939*Deflactores!$J$5</f>
        <v>1587.4188825503918</v>
      </c>
      <c r="N80" s="56">
        <f>631.28187687535*Deflactores!$K$5</f>
        <v>1387.705715115924</v>
      </c>
      <c r="O80" s="56">
        <f>1129.74048121473*Deflactores!$L$5</f>
        <v>2394.2100354916533</v>
      </c>
      <c r="P80" s="56">
        <f>3068.20442008798*Deflactores!$M$5</f>
        <v>6347.4352228568659</v>
      </c>
      <c r="Q80" s="56">
        <f>3553.8750003447*Deflactores!$N$5</f>
        <v>7212.2621730104347</v>
      </c>
      <c r="R80" s="56">
        <f>3703.31563520317*Deflactores!$O$5</f>
        <v>7250.1815407998793</v>
      </c>
      <c r="S80" s="56">
        <f>3872.94695041037*Deflactores!$P$5</f>
        <v>7101.5059956274117</v>
      </c>
      <c r="T80" s="56">
        <f>3234.86632313391*Deflactores!$Q$5</f>
        <v>5608.9926692453873</v>
      </c>
      <c r="U80" s="56">
        <f>3844.84661822783*Deflactores!$R$5</f>
        <v>6404.6963497978531</v>
      </c>
      <c r="V80" s="56">
        <f>3791.48388269373*Deflactores!$S$5</f>
        <v>6121.1527302341774</v>
      </c>
    </row>
    <row r="81" spans="3:22" x14ac:dyDescent="0.2">
      <c r="C81" s="79" t="s">
        <v>154</v>
      </c>
      <c r="D81" s="44">
        <f t="shared" ref="D81:V81" si="1">+SUM(D52:D80)</f>
        <v>104147.36743944448</v>
      </c>
      <c r="E81" s="44">
        <f t="shared" si="1"/>
        <v>121658.42915017073</v>
      </c>
      <c r="F81" s="44">
        <f t="shared" si="1"/>
        <v>120329.22246010536</v>
      </c>
      <c r="G81" s="44">
        <f t="shared" si="1"/>
        <v>118767.70251524677</v>
      </c>
      <c r="H81" s="44">
        <f t="shared" si="1"/>
        <v>133842.28926009973</v>
      </c>
      <c r="I81" s="44">
        <f t="shared" si="1"/>
        <v>145479.58106363585</v>
      </c>
      <c r="J81" s="44">
        <f t="shared" si="1"/>
        <v>153765.02257928633</v>
      </c>
      <c r="K81" s="44">
        <f t="shared" si="1"/>
        <v>164530.21164948161</v>
      </c>
      <c r="L81" s="44">
        <f t="shared" si="1"/>
        <v>175981.42976238264</v>
      </c>
      <c r="M81" s="44">
        <f t="shared" si="1"/>
        <v>201253.39762173564</v>
      </c>
      <c r="N81" s="44">
        <f t="shared" si="1"/>
        <v>198064.35311919823</v>
      </c>
      <c r="O81" s="44">
        <f t="shared" si="1"/>
        <v>215325.83014486657</v>
      </c>
      <c r="P81" s="44">
        <f t="shared" si="1"/>
        <v>233725.76002737152</v>
      </c>
      <c r="Q81" s="44">
        <f t="shared" si="1"/>
        <v>255489.31087797956</v>
      </c>
      <c r="R81" s="44">
        <f t="shared" si="1"/>
        <v>270708.45616307581</v>
      </c>
      <c r="S81" s="44">
        <f t="shared" si="1"/>
        <v>266434.48839391454</v>
      </c>
      <c r="T81" s="44">
        <f t="shared" si="1"/>
        <v>257293.38927435683</v>
      </c>
      <c r="U81" s="44">
        <f t="shared" si="1"/>
        <v>271785.54532415699</v>
      </c>
      <c r="V81" s="44">
        <f t="shared" si="1"/>
        <v>269840.68800198176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D86" s="164" t="s">
        <v>166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0.75" customHeight="1" x14ac:dyDescent="0.2">
      <c r="H87" s="27"/>
      <c r="I87" s="27"/>
      <c r="J87" s="27"/>
      <c r="L87" s="179"/>
      <c r="M87" s="160"/>
      <c r="N87" s="160"/>
      <c r="O87" s="160"/>
      <c r="P87" s="160"/>
      <c r="Q87" s="160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1" t="s">
        <v>120</v>
      </c>
      <c r="D89" s="184">
        <v>2000</v>
      </c>
      <c r="E89" s="155">
        <v>2001</v>
      </c>
      <c r="F89" s="155">
        <v>2002</v>
      </c>
      <c r="G89" s="155">
        <v>2003</v>
      </c>
      <c r="H89" s="155">
        <v>2004</v>
      </c>
      <c r="I89" s="155">
        <v>2005</v>
      </c>
      <c r="J89" s="155">
        <v>2006</v>
      </c>
      <c r="K89" s="155">
        <v>2007</v>
      </c>
      <c r="L89" s="155">
        <v>2008</v>
      </c>
      <c r="M89" s="155">
        <v>2009</v>
      </c>
      <c r="N89" s="155">
        <v>2010</v>
      </c>
      <c r="O89" s="155">
        <v>2011</v>
      </c>
      <c r="P89" s="155">
        <v>2012</v>
      </c>
      <c r="Q89" s="155">
        <v>2013</v>
      </c>
      <c r="R89" s="155">
        <v>2014</v>
      </c>
      <c r="S89" s="155">
        <v>2015</v>
      </c>
      <c r="T89" s="155">
        <v>2016</v>
      </c>
      <c r="U89" s="155">
        <v>2017</v>
      </c>
      <c r="V89" s="155">
        <v>2018</v>
      </c>
    </row>
    <row r="90" spans="3:22" ht="12" customHeight="1" thickBot="1" x14ac:dyDescent="0.25">
      <c r="C90" s="162"/>
      <c r="D90" s="185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</row>
    <row r="91" spans="3:22" x14ac:dyDescent="0.2">
      <c r="C91" s="87" t="s">
        <v>123</v>
      </c>
      <c r="D91" s="60">
        <f t="shared" ref="D91:V91" si="2">+IFERROR(IF(D52&gt;0,+((D52/D13)*100)," "),"")</f>
        <v>88.112629661936779</v>
      </c>
      <c r="E91" s="60">
        <f t="shared" si="2"/>
        <v>95.164628868594349</v>
      </c>
      <c r="F91" s="60">
        <f t="shared" si="2"/>
        <v>89.060164159619276</v>
      </c>
      <c r="G91" s="60">
        <f t="shared" si="2"/>
        <v>97.795838687636262</v>
      </c>
      <c r="H91" s="60">
        <f t="shared" si="2"/>
        <v>95.202017592951066</v>
      </c>
      <c r="I91" s="60">
        <f t="shared" si="2"/>
        <v>94.592749332951726</v>
      </c>
      <c r="J91" s="60">
        <f t="shared" si="2"/>
        <v>97.584450270200435</v>
      </c>
      <c r="K91" s="60">
        <f t="shared" si="2"/>
        <v>97.824047655007462</v>
      </c>
      <c r="L91" s="60">
        <f t="shared" si="2"/>
        <v>99.524538660960218</v>
      </c>
      <c r="M91" s="60">
        <f t="shared" si="2"/>
        <v>93.10441092211741</v>
      </c>
      <c r="N91" s="60">
        <f t="shared" si="2"/>
        <v>92.205018897521029</v>
      </c>
      <c r="O91" s="60">
        <f t="shared" si="2"/>
        <v>96.427671902866621</v>
      </c>
      <c r="P91" s="60">
        <f t="shared" si="2"/>
        <v>93.542546179289261</v>
      </c>
      <c r="Q91" s="60">
        <f t="shared" si="2"/>
        <v>94.98119318632348</v>
      </c>
      <c r="R91" s="60">
        <f t="shared" si="2"/>
        <v>94.588719170442062</v>
      </c>
      <c r="S91" s="60">
        <f t="shared" si="2"/>
        <v>96.308130211765047</v>
      </c>
      <c r="T91" s="60">
        <f t="shared" si="2"/>
        <v>94.10584519180739</v>
      </c>
      <c r="U91" s="60">
        <f t="shared" si="2"/>
        <v>96.781280924303999</v>
      </c>
      <c r="V91" s="60">
        <f t="shared" si="2"/>
        <v>91.842197334092361</v>
      </c>
    </row>
    <row r="92" spans="3:22" x14ac:dyDescent="0.2">
      <c r="C92" s="88" t="s">
        <v>124</v>
      </c>
      <c r="D92" s="62">
        <f t="shared" ref="D92:V92" si="3">+IFERROR(IF(D53&gt;0,+((D53/D14)*100)," "),"")</f>
        <v>78.810057230129217</v>
      </c>
      <c r="E92" s="62">
        <f t="shared" si="3"/>
        <v>91.653526801232573</v>
      </c>
      <c r="F92" s="62">
        <f t="shared" si="3"/>
        <v>86.543649547935402</v>
      </c>
      <c r="G92" s="62">
        <f t="shared" si="3"/>
        <v>93.32063371236498</v>
      </c>
      <c r="H92" s="62">
        <f t="shared" si="3"/>
        <v>97.430444371239986</v>
      </c>
      <c r="I92" s="62">
        <f t="shared" si="3"/>
        <v>97.173746206564942</v>
      </c>
      <c r="J92" s="62">
        <f t="shared" si="3"/>
        <v>97.646980483089678</v>
      </c>
      <c r="K92" s="62">
        <f t="shared" si="3"/>
        <v>96.963780996384159</v>
      </c>
      <c r="L92" s="62">
        <f t="shared" si="3"/>
        <v>98.538304586985433</v>
      </c>
      <c r="M92" s="62">
        <f t="shared" si="3"/>
        <v>98.451670964393301</v>
      </c>
      <c r="N92" s="62">
        <f t="shared" si="3"/>
        <v>95.223353620681152</v>
      </c>
      <c r="O92" s="62">
        <f t="shared" si="3"/>
        <v>98.415506093146064</v>
      </c>
      <c r="P92" s="62">
        <f t="shared" si="3"/>
        <v>88.350793724097514</v>
      </c>
      <c r="Q92" s="62">
        <f t="shared" si="3"/>
        <v>88.961209343788568</v>
      </c>
      <c r="R92" s="62">
        <f t="shared" si="3"/>
        <v>94.588279956733388</v>
      </c>
      <c r="S92" s="62">
        <f t="shared" si="3"/>
        <v>76.01020528893055</v>
      </c>
      <c r="T92" s="62">
        <f t="shared" si="3"/>
        <v>95.477286760442212</v>
      </c>
      <c r="U92" s="62">
        <f t="shared" si="3"/>
        <v>96.477165518698214</v>
      </c>
      <c r="V92" s="62">
        <f t="shared" si="3"/>
        <v>98.204678826664932</v>
      </c>
    </row>
    <row r="93" spans="3:22" x14ac:dyDescent="0.2">
      <c r="C93" s="87" t="s">
        <v>125</v>
      </c>
      <c r="D93" s="60">
        <f t="shared" ref="D93:V93" si="4">+IFERROR(IF(D54&gt;0,+((D54/D15)*100)," "),"")</f>
        <v>79.351893112970075</v>
      </c>
      <c r="E93" s="60">
        <f t="shared" si="4"/>
        <v>99.730130729293535</v>
      </c>
      <c r="F93" s="60">
        <f t="shared" si="4"/>
        <v>89.55398552905136</v>
      </c>
      <c r="G93" s="60">
        <f t="shared" si="4"/>
        <v>99.710514381322795</v>
      </c>
      <c r="H93" s="60">
        <f t="shared" si="4"/>
        <v>99.484597485145457</v>
      </c>
      <c r="I93" s="60">
        <f t="shared" si="4"/>
        <v>99.562415884202224</v>
      </c>
      <c r="J93" s="60">
        <f t="shared" si="4"/>
        <v>99.578143328395811</v>
      </c>
      <c r="K93" s="60">
        <f t="shared" si="4"/>
        <v>98.915325951661288</v>
      </c>
      <c r="L93" s="60">
        <f t="shared" si="4"/>
        <v>99.673789805886571</v>
      </c>
      <c r="M93" s="60">
        <f t="shared" si="4"/>
        <v>76.082675096162461</v>
      </c>
      <c r="N93" s="60">
        <f t="shared" si="4"/>
        <v>98.454498192379504</v>
      </c>
      <c r="O93" s="60">
        <f t="shared" si="4"/>
        <v>96.684811844372618</v>
      </c>
      <c r="P93" s="60">
        <f t="shared" si="4"/>
        <v>95.910309967919162</v>
      </c>
      <c r="Q93" s="60">
        <f t="shared" si="4"/>
        <v>98.637334187480747</v>
      </c>
      <c r="R93" s="60">
        <f t="shared" si="4"/>
        <v>99.032864903881318</v>
      </c>
      <c r="S93" s="60">
        <f t="shared" si="4"/>
        <v>99.176953271400293</v>
      </c>
      <c r="T93" s="60">
        <f t="shared" si="4"/>
        <v>99.462226440432119</v>
      </c>
      <c r="U93" s="60">
        <f t="shared" si="4"/>
        <v>99.618059487305445</v>
      </c>
      <c r="V93" s="60">
        <f t="shared" si="4"/>
        <v>98.714923074933878</v>
      </c>
    </row>
    <row r="94" spans="3:22" x14ac:dyDescent="0.2">
      <c r="C94" s="88" t="s">
        <v>126</v>
      </c>
      <c r="D94" s="62">
        <f t="shared" ref="D94:V94" si="5">+IFERROR(IF(D55&gt;0,+((D55/D16)*100)," "),"")</f>
        <v>76.354754598687634</v>
      </c>
      <c r="E94" s="62">
        <f t="shared" si="5"/>
        <v>91.025572317199774</v>
      </c>
      <c r="F94" s="62">
        <f t="shared" si="5"/>
        <v>86.751826825854565</v>
      </c>
      <c r="G94" s="62">
        <f t="shared" si="5"/>
        <v>94.097332200555201</v>
      </c>
      <c r="H94" s="62">
        <f t="shared" si="5"/>
        <v>97.057429614156149</v>
      </c>
      <c r="I94" s="62">
        <f t="shared" si="5"/>
        <v>96.137789757505573</v>
      </c>
      <c r="J94" s="62">
        <f t="shared" si="5"/>
        <v>97.597202460700046</v>
      </c>
      <c r="K94" s="62">
        <f t="shared" si="5"/>
        <v>91.246440234412034</v>
      </c>
      <c r="L94" s="62">
        <f t="shared" si="5"/>
        <v>94.939076258439243</v>
      </c>
      <c r="M94" s="62">
        <f t="shared" si="5"/>
        <v>92.866710677761063</v>
      </c>
      <c r="N94" s="62">
        <f t="shared" si="5"/>
        <v>93.630894969980602</v>
      </c>
      <c r="O94" s="62">
        <f t="shared" si="5"/>
        <v>94.295128733059613</v>
      </c>
      <c r="P94" s="62">
        <f t="shared" si="5"/>
        <v>96.521528682237019</v>
      </c>
      <c r="Q94" s="62">
        <f t="shared" si="5"/>
        <v>96.51539360291271</v>
      </c>
      <c r="R94" s="62">
        <f t="shared" si="5"/>
        <v>92.714840687924763</v>
      </c>
      <c r="S94" s="62">
        <f t="shared" si="5"/>
        <v>96.169820470237994</v>
      </c>
      <c r="T94" s="62">
        <f t="shared" si="5"/>
        <v>99.036303991831815</v>
      </c>
      <c r="U94" s="62">
        <f t="shared" si="5"/>
        <v>99.092686428854165</v>
      </c>
      <c r="V94" s="62">
        <f t="shared" si="5"/>
        <v>98.904866993113103</v>
      </c>
    </row>
    <row r="95" spans="3:22" x14ac:dyDescent="0.2">
      <c r="C95" s="87" t="s">
        <v>127</v>
      </c>
      <c r="D95" s="60">
        <f t="shared" ref="D95:V95" si="6">+IFERROR(IF(D56&gt;0,+((D56/D17)*100)," "),"")</f>
        <v>86.959021208309764</v>
      </c>
      <c r="E95" s="60">
        <f t="shared" si="6"/>
        <v>91.272537025985102</v>
      </c>
      <c r="F95" s="60">
        <f t="shared" si="6"/>
        <v>96.629632365026197</v>
      </c>
      <c r="G95" s="60">
        <f t="shared" si="6"/>
        <v>97.066717937068034</v>
      </c>
      <c r="H95" s="60">
        <f t="shared" si="6"/>
        <v>97.366980045354538</v>
      </c>
      <c r="I95" s="60">
        <f t="shared" si="6"/>
        <v>98.836083166230196</v>
      </c>
      <c r="J95" s="60">
        <f t="shared" si="6"/>
        <v>98.629825963280226</v>
      </c>
      <c r="K95" s="60">
        <f t="shared" si="6"/>
        <v>98.631172724872542</v>
      </c>
      <c r="L95" s="60">
        <f t="shared" si="6"/>
        <v>97.148146364111838</v>
      </c>
      <c r="M95" s="60">
        <f t="shared" si="6"/>
        <v>96.03114091469709</v>
      </c>
      <c r="N95" s="60">
        <f t="shared" si="6"/>
        <v>96.932464935688913</v>
      </c>
      <c r="O95" s="60">
        <f t="shared" si="6"/>
        <v>92.945516398760432</v>
      </c>
      <c r="P95" s="60">
        <f t="shared" si="6"/>
        <v>89.430163683767745</v>
      </c>
      <c r="Q95" s="60">
        <f t="shared" si="6"/>
        <v>91.628131763743923</v>
      </c>
      <c r="R95" s="60">
        <f t="shared" si="6"/>
        <v>96.406606805279182</v>
      </c>
      <c r="S95" s="60">
        <f t="shared" si="6"/>
        <v>98.283377980229261</v>
      </c>
      <c r="T95" s="60">
        <f t="shared" si="6"/>
        <v>98.730632387700695</v>
      </c>
      <c r="U95" s="60">
        <f t="shared" si="6"/>
        <v>99.171703527289253</v>
      </c>
      <c r="V95" s="60">
        <f t="shared" si="6"/>
        <v>98.689471775469514</v>
      </c>
    </row>
    <row r="96" spans="3:22" x14ac:dyDescent="0.2">
      <c r="C96" s="88" t="s">
        <v>128</v>
      </c>
      <c r="D96" s="62">
        <f t="shared" ref="D96:V96" si="7">+IFERROR(IF(D57&gt;0,+((D57/D18)*100)," "),"")</f>
        <v>76.878335661193901</v>
      </c>
      <c r="E96" s="62">
        <f t="shared" si="7"/>
        <v>98.860392552212886</v>
      </c>
      <c r="F96" s="62">
        <f t="shared" si="7"/>
        <v>91.010285911426877</v>
      </c>
      <c r="G96" s="62">
        <f t="shared" si="7"/>
        <v>99.416377176135072</v>
      </c>
      <c r="H96" s="62">
        <f t="shared" si="7"/>
        <v>99.404615191863243</v>
      </c>
      <c r="I96" s="62">
        <f t="shared" si="7"/>
        <v>96.311630608301158</v>
      </c>
      <c r="J96" s="62">
        <f t="shared" si="7"/>
        <v>99.301781019084828</v>
      </c>
      <c r="K96" s="62">
        <f t="shared" si="7"/>
        <v>93.405749902552017</v>
      </c>
      <c r="L96" s="62">
        <f t="shared" si="7"/>
        <v>98.580938058691146</v>
      </c>
      <c r="M96" s="62">
        <f t="shared" si="7"/>
        <v>93.073043884598988</v>
      </c>
      <c r="N96" s="62">
        <f t="shared" si="7"/>
        <v>95.417734262035097</v>
      </c>
      <c r="O96" s="62">
        <f t="shared" si="7"/>
        <v>97.27485674680932</v>
      </c>
      <c r="P96" s="62">
        <f t="shared" si="7"/>
        <v>98.720893657942781</v>
      </c>
      <c r="Q96" s="62">
        <f t="shared" si="7"/>
        <v>97.046051699309771</v>
      </c>
      <c r="R96" s="62">
        <f t="shared" si="7"/>
        <v>99.510274795327447</v>
      </c>
      <c r="S96" s="62">
        <f t="shared" si="7"/>
        <v>99.277630583695824</v>
      </c>
      <c r="T96" s="62">
        <f t="shared" si="7"/>
        <v>99.470546407199052</v>
      </c>
      <c r="U96" s="62">
        <f t="shared" si="7"/>
        <v>99.827310658200787</v>
      </c>
      <c r="V96" s="62">
        <f t="shared" si="7"/>
        <v>99.316435170029607</v>
      </c>
    </row>
    <row r="97" spans="3:22" x14ac:dyDescent="0.2">
      <c r="C97" s="87" t="s">
        <v>129</v>
      </c>
      <c r="D97" s="60">
        <f t="shared" ref="D97:V97" si="8">+IFERROR(IF(D58&gt;0,+((D58/D19)*100)," "),"")</f>
        <v>98.353667128223677</v>
      </c>
      <c r="E97" s="60">
        <f t="shared" si="8"/>
        <v>98.377736559795068</v>
      </c>
      <c r="F97" s="60">
        <f t="shared" si="8"/>
        <v>97.228601269035337</v>
      </c>
      <c r="G97" s="60">
        <f t="shared" si="8"/>
        <v>98.562758575355332</v>
      </c>
      <c r="H97" s="60">
        <f t="shared" si="8"/>
        <v>99.14471740197925</v>
      </c>
      <c r="I97" s="60">
        <f t="shared" si="8"/>
        <v>99.32248395045174</v>
      </c>
      <c r="J97" s="60">
        <f t="shared" si="8"/>
        <v>99.446873892867615</v>
      </c>
      <c r="K97" s="60">
        <f t="shared" si="8"/>
        <v>98.409132602559509</v>
      </c>
      <c r="L97" s="60">
        <f t="shared" si="8"/>
        <v>99.654103044601356</v>
      </c>
      <c r="M97" s="60">
        <f t="shared" si="8"/>
        <v>97.830554675296227</v>
      </c>
      <c r="N97" s="60">
        <f t="shared" si="8"/>
        <v>97.608228062920347</v>
      </c>
      <c r="O97" s="60">
        <f t="shared" si="8"/>
        <v>98.564977948783508</v>
      </c>
      <c r="P97" s="60">
        <f t="shared" si="8"/>
        <v>99.639162053731994</v>
      </c>
      <c r="Q97" s="60">
        <f t="shared" si="8"/>
        <v>99.738860957386606</v>
      </c>
      <c r="R97" s="60">
        <f t="shared" si="8"/>
        <v>99.548624455954752</v>
      </c>
      <c r="S97" s="60">
        <f t="shared" si="8"/>
        <v>99.289243113989045</v>
      </c>
      <c r="T97" s="60">
        <f t="shared" si="8"/>
        <v>99.817970855705056</v>
      </c>
      <c r="U97" s="60">
        <f t="shared" si="8"/>
        <v>99.881789470796988</v>
      </c>
      <c r="V97" s="60">
        <f t="shared" si="8"/>
        <v>99.804786876421474</v>
      </c>
    </row>
    <row r="98" spans="3:22" x14ac:dyDescent="0.2">
      <c r="C98" s="88" t="s">
        <v>130</v>
      </c>
      <c r="D98" s="62">
        <f t="shared" ref="D98:V98" si="9">+IFERROR(IF(D59&gt;0,+((D59/D20)*100)," "),"")</f>
        <v>85.891649490864694</v>
      </c>
      <c r="E98" s="62">
        <f t="shared" si="9"/>
        <v>99.63295562035043</v>
      </c>
      <c r="F98" s="62">
        <f t="shared" si="9"/>
        <v>85.596680665463026</v>
      </c>
      <c r="G98" s="62">
        <f t="shared" si="9"/>
        <v>97.674173749385872</v>
      </c>
      <c r="H98" s="62">
        <f t="shared" si="9"/>
        <v>99.672797568018709</v>
      </c>
      <c r="I98" s="62">
        <f t="shared" si="9"/>
        <v>99.826569777142169</v>
      </c>
      <c r="J98" s="62">
        <f t="shared" si="9"/>
        <v>98.487926835232273</v>
      </c>
      <c r="K98" s="62">
        <f t="shared" si="9"/>
        <v>96.994325684656729</v>
      </c>
      <c r="L98" s="62">
        <f t="shared" si="9"/>
        <v>98.768673160197949</v>
      </c>
      <c r="M98" s="62">
        <f t="shared" si="9"/>
        <v>97.820843593109657</v>
      </c>
      <c r="N98" s="62">
        <f t="shared" si="9"/>
        <v>98.157621487863551</v>
      </c>
      <c r="O98" s="62">
        <f t="shared" si="9"/>
        <v>99.188010484918436</v>
      </c>
      <c r="P98" s="62">
        <f t="shared" si="9"/>
        <v>93.490552413030244</v>
      </c>
      <c r="Q98" s="62">
        <f t="shared" si="9"/>
        <v>95.106497090523959</v>
      </c>
      <c r="R98" s="62">
        <f t="shared" si="9"/>
        <v>95.626319562346495</v>
      </c>
      <c r="S98" s="62">
        <f t="shared" si="9"/>
        <v>98.273334537679375</v>
      </c>
      <c r="T98" s="62">
        <f t="shared" si="9"/>
        <v>98.209410454110795</v>
      </c>
      <c r="U98" s="62">
        <f t="shared" si="9"/>
        <v>98.774834821462335</v>
      </c>
      <c r="V98" s="62">
        <f t="shared" si="9"/>
        <v>99.253891851061965</v>
      </c>
    </row>
    <row r="99" spans="3:22" x14ac:dyDescent="0.2">
      <c r="C99" s="87" t="s">
        <v>131</v>
      </c>
      <c r="D99" s="60">
        <f t="shared" ref="D99:V99" si="10">+IFERROR(IF(D60&gt;0,+((D60/D21)*100)," "),"")</f>
        <v>94.855387122504695</v>
      </c>
      <c r="E99" s="60">
        <f t="shared" si="10"/>
        <v>96.841543939489711</v>
      </c>
      <c r="F99" s="60">
        <f t="shared" si="10"/>
        <v>99.630795680354808</v>
      </c>
      <c r="G99" s="60">
        <f t="shared" si="10"/>
        <v>99.662614973410541</v>
      </c>
      <c r="H99" s="60">
        <f t="shared" si="10"/>
        <v>99.950685356979747</v>
      </c>
      <c r="I99" s="60">
        <f t="shared" si="10"/>
        <v>99.813748332164792</v>
      </c>
      <c r="J99" s="60">
        <f t="shared" si="10"/>
        <v>99.474541698500829</v>
      </c>
      <c r="K99" s="60">
        <f t="shared" si="10"/>
        <v>99.785001292275581</v>
      </c>
      <c r="L99" s="60">
        <f t="shared" si="10"/>
        <v>99.651961840912065</v>
      </c>
      <c r="M99" s="60">
        <f t="shared" si="10"/>
        <v>99.385238410513693</v>
      </c>
      <c r="N99" s="60">
        <f t="shared" si="10"/>
        <v>97.604124029773601</v>
      </c>
      <c r="O99" s="60">
        <f t="shared" si="10"/>
        <v>99.893585707544105</v>
      </c>
      <c r="P99" s="60">
        <f t="shared" si="10"/>
        <v>99.398426548391839</v>
      </c>
      <c r="Q99" s="60">
        <f t="shared" si="10"/>
        <v>99.547200235847257</v>
      </c>
      <c r="R99" s="60">
        <f t="shared" si="10"/>
        <v>99.947895969910093</v>
      </c>
      <c r="S99" s="60">
        <f t="shared" si="10"/>
        <v>99.936525746486311</v>
      </c>
      <c r="T99" s="60">
        <f t="shared" si="10"/>
        <v>99.186079597932547</v>
      </c>
      <c r="U99" s="60">
        <f t="shared" si="10"/>
        <v>99.911641724660853</v>
      </c>
      <c r="V99" s="60">
        <f t="shared" si="10"/>
        <v>99.970428526934668</v>
      </c>
    </row>
    <row r="100" spans="3:22" x14ac:dyDescent="0.2">
      <c r="C100" s="88" t="s">
        <v>132</v>
      </c>
      <c r="D100" s="62">
        <f t="shared" ref="D100:V100" si="11">+IFERROR(IF(D61&gt;0,+((D61/D22)*100)," "),"")</f>
        <v>96.837791727358677</v>
      </c>
      <c r="E100" s="62">
        <f t="shared" si="11"/>
        <v>94.770962614055236</v>
      </c>
      <c r="F100" s="62">
        <f t="shared" si="11"/>
        <v>97.681755647818676</v>
      </c>
      <c r="G100" s="62">
        <f t="shared" si="11"/>
        <v>94.038785732305357</v>
      </c>
      <c r="H100" s="62">
        <f t="shared" si="11"/>
        <v>95.488074399499141</v>
      </c>
      <c r="I100" s="62">
        <f t="shared" si="11"/>
        <v>95.016246702612747</v>
      </c>
      <c r="J100" s="62">
        <f t="shared" si="11"/>
        <v>96.763401276653667</v>
      </c>
      <c r="K100" s="62">
        <f t="shared" si="11"/>
        <v>92.525032720068751</v>
      </c>
      <c r="L100" s="62">
        <f t="shared" si="11"/>
        <v>94.016193636928932</v>
      </c>
      <c r="M100" s="62">
        <f t="shared" si="11"/>
        <v>86.578819821664638</v>
      </c>
      <c r="N100" s="62">
        <f t="shared" si="11"/>
        <v>74.75282358035787</v>
      </c>
      <c r="O100" s="62">
        <f t="shared" si="11"/>
        <v>86.588548950372157</v>
      </c>
      <c r="P100" s="62">
        <f t="shared" si="11"/>
        <v>90.758360403522786</v>
      </c>
      <c r="Q100" s="62">
        <f t="shared" si="11"/>
        <v>91.408811901205127</v>
      </c>
      <c r="R100" s="62">
        <f t="shared" si="11"/>
        <v>92.903061536443573</v>
      </c>
      <c r="S100" s="62">
        <f t="shared" si="11"/>
        <v>93.704057544805295</v>
      </c>
      <c r="T100" s="62">
        <f t="shared" si="11"/>
        <v>97.2926175444573</v>
      </c>
      <c r="U100" s="62">
        <f t="shared" si="11"/>
        <v>98.326928980580803</v>
      </c>
      <c r="V100" s="62">
        <f t="shared" si="11"/>
        <v>94.717302143233127</v>
      </c>
    </row>
    <row r="101" spans="3:22" x14ac:dyDescent="0.2">
      <c r="C101" s="87" t="s">
        <v>133</v>
      </c>
      <c r="D101" s="60">
        <f t="shared" ref="D101:V101" si="12">+IFERROR(IF(D62&gt;0,+((D62/D23)*100)," "),"")</f>
        <v>96.104730579223386</v>
      </c>
      <c r="E101" s="60">
        <f t="shared" si="12"/>
        <v>98.509838701782854</v>
      </c>
      <c r="F101" s="60">
        <f t="shared" si="12"/>
        <v>98.222342937053824</v>
      </c>
      <c r="G101" s="60">
        <f t="shared" si="12"/>
        <v>98.411980048831182</v>
      </c>
      <c r="H101" s="60">
        <f t="shared" si="12"/>
        <v>99.59411200660999</v>
      </c>
      <c r="I101" s="60">
        <f t="shared" si="12"/>
        <v>99.725717934029063</v>
      </c>
      <c r="J101" s="60">
        <f t="shared" si="12"/>
        <v>99.70013156757831</v>
      </c>
      <c r="K101" s="60">
        <f t="shared" si="12"/>
        <v>99.054693624747628</v>
      </c>
      <c r="L101" s="60">
        <f t="shared" si="12"/>
        <v>98.031601784633096</v>
      </c>
      <c r="M101" s="60">
        <f t="shared" si="12"/>
        <v>98.652758681883313</v>
      </c>
      <c r="N101" s="60">
        <f t="shared" si="12"/>
        <v>94.693490559041948</v>
      </c>
      <c r="O101" s="60">
        <f t="shared" si="12"/>
        <v>97.701199197238481</v>
      </c>
      <c r="P101" s="60">
        <f t="shared" si="12"/>
        <v>96.105652325379836</v>
      </c>
      <c r="Q101" s="60">
        <f t="shared" si="12"/>
        <v>98.453934961258071</v>
      </c>
      <c r="R101" s="60">
        <f t="shared" si="12"/>
        <v>93.638062848173689</v>
      </c>
      <c r="S101" s="60">
        <f t="shared" si="12"/>
        <v>92.116521200355763</v>
      </c>
      <c r="T101" s="60">
        <f t="shared" si="12"/>
        <v>97.318091100046345</v>
      </c>
      <c r="U101" s="60">
        <f t="shared" si="12"/>
        <v>99.383798947905746</v>
      </c>
      <c r="V101" s="60">
        <f t="shared" si="12"/>
        <v>96.899832341804654</v>
      </c>
    </row>
    <row r="102" spans="3:22" x14ac:dyDescent="0.2">
      <c r="C102" s="88" t="s">
        <v>134</v>
      </c>
      <c r="D102" s="62">
        <f t="shared" ref="D102:V102" si="13">+IFERROR(IF(D63&gt;0,+((D63/D24)*100)," "),"")</f>
        <v>94.090103484460016</v>
      </c>
      <c r="E102" s="62">
        <f t="shared" si="13"/>
        <v>94.36332538210759</v>
      </c>
      <c r="F102" s="62">
        <f t="shared" si="13"/>
        <v>95.643976449876689</v>
      </c>
      <c r="G102" s="62">
        <f t="shared" si="13"/>
        <v>98.499328951191032</v>
      </c>
      <c r="H102" s="62">
        <f t="shared" si="13"/>
        <v>96.303790001636415</v>
      </c>
      <c r="I102" s="62">
        <f t="shared" si="13"/>
        <v>91.750656111667269</v>
      </c>
      <c r="J102" s="62">
        <f t="shared" si="13"/>
        <v>95.897772395153041</v>
      </c>
      <c r="K102" s="62">
        <f t="shared" si="13"/>
        <v>83.548686410379077</v>
      </c>
      <c r="L102" s="62">
        <f t="shared" si="13"/>
        <v>88.15692362181818</v>
      </c>
      <c r="M102" s="62">
        <f t="shared" si="13"/>
        <v>76.145415559425615</v>
      </c>
      <c r="N102" s="62">
        <f t="shared" si="13"/>
        <v>78.514094134904482</v>
      </c>
      <c r="O102" s="62">
        <f t="shared" si="13"/>
        <v>97.441909606471455</v>
      </c>
      <c r="P102" s="62">
        <f t="shared" si="13"/>
        <v>92.690419363207312</v>
      </c>
      <c r="Q102" s="62">
        <f t="shared" si="13"/>
        <v>84.815722584343348</v>
      </c>
      <c r="R102" s="62">
        <f t="shared" si="13"/>
        <v>75.769687355950097</v>
      </c>
      <c r="S102" s="62">
        <f t="shared" si="13"/>
        <v>93.385875884126861</v>
      </c>
      <c r="T102" s="62">
        <f t="shared" si="13"/>
        <v>95.49144704704895</v>
      </c>
      <c r="U102" s="62">
        <f t="shared" si="13"/>
        <v>97.394763690016021</v>
      </c>
      <c r="V102" s="62">
        <f t="shared" si="13"/>
        <v>89.982831380500599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59.296454906106511</v>
      </c>
      <c r="E104" s="62">
        <f t="shared" si="15"/>
        <v>95.911038955637224</v>
      </c>
      <c r="F104" s="62">
        <f t="shared" si="15"/>
        <v>91.136118519898744</v>
      </c>
      <c r="G104" s="62">
        <f t="shared" si="15"/>
        <v>98.304520609703246</v>
      </c>
      <c r="H104" s="62">
        <f t="shared" si="15"/>
        <v>99.256006550003974</v>
      </c>
      <c r="I104" s="62">
        <f t="shared" si="15"/>
        <v>99.624661182966619</v>
      </c>
      <c r="J104" s="62">
        <f t="shared" si="15"/>
        <v>99.660068265660158</v>
      </c>
      <c r="K104" s="62">
        <f t="shared" si="15"/>
        <v>95.2745862272632</v>
      </c>
      <c r="L104" s="62">
        <f t="shared" si="15"/>
        <v>99.735487271412467</v>
      </c>
      <c r="M104" s="62">
        <f t="shared" si="15"/>
        <v>98.737057953807707</v>
      </c>
      <c r="N104" s="62">
        <f t="shared" si="15"/>
        <v>99.756756045364853</v>
      </c>
      <c r="O104" s="62">
        <f t="shared" si="15"/>
        <v>98.844789475590289</v>
      </c>
      <c r="P104" s="62">
        <f t="shared" si="15"/>
        <v>95.847884629841076</v>
      </c>
      <c r="Q104" s="62">
        <f t="shared" si="15"/>
        <v>97.840598586051826</v>
      </c>
      <c r="R104" s="62">
        <f t="shared" si="15"/>
        <v>98.276144507946412</v>
      </c>
      <c r="S104" s="62">
        <f t="shared" si="15"/>
        <v>98.810625197028514</v>
      </c>
      <c r="T104" s="62">
        <f t="shared" si="15"/>
        <v>98.60756324667301</v>
      </c>
      <c r="U104" s="62">
        <f t="shared" si="15"/>
        <v>98.485190777239211</v>
      </c>
      <c r="V104" s="62">
        <f t="shared" si="15"/>
        <v>98.587500778165591</v>
      </c>
    </row>
    <row r="105" spans="3:22" x14ac:dyDescent="0.2">
      <c r="C105" s="87" t="s">
        <v>137</v>
      </c>
      <c r="D105" s="60">
        <f t="shared" ref="D105:V105" si="16">+IFERROR(IF(D66&gt;0,+((D66/D27)*100)," "),"")</f>
        <v>68.835260632756288</v>
      </c>
      <c r="E105" s="60">
        <f t="shared" si="16"/>
        <v>96.995871883680593</v>
      </c>
      <c r="F105" s="60">
        <f t="shared" si="16"/>
        <v>91.677525811660132</v>
      </c>
      <c r="G105" s="60">
        <f t="shared" si="16"/>
        <v>98.442808265805738</v>
      </c>
      <c r="H105" s="60">
        <f t="shared" si="16"/>
        <v>98.431251899628364</v>
      </c>
      <c r="I105" s="60">
        <f t="shared" si="16"/>
        <v>99.525123945231059</v>
      </c>
      <c r="J105" s="60">
        <f t="shared" si="16"/>
        <v>99.448586240867272</v>
      </c>
      <c r="K105" s="60">
        <f t="shared" si="16"/>
        <v>96.788861440641369</v>
      </c>
      <c r="L105" s="60">
        <f t="shared" si="16"/>
        <v>98.347513010073385</v>
      </c>
      <c r="M105" s="60">
        <f t="shared" si="16"/>
        <v>90.821793325683871</v>
      </c>
      <c r="N105" s="60">
        <f t="shared" si="16"/>
        <v>87.770628344177069</v>
      </c>
      <c r="O105" s="60">
        <f t="shared" si="16"/>
        <v>94.276110420362812</v>
      </c>
      <c r="P105" s="60">
        <f t="shared" si="16"/>
        <v>91.307286685509126</v>
      </c>
      <c r="Q105" s="60">
        <f t="shared" si="16"/>
        <v>84.946548621178849</v>
      </c>
      <c r="R105" s="60">
        <f t="shared" si="16"/>
        <v>97.051140029453379</v>
      </c>
      <c r="S105" s="60">
        <f t="shared" si="16"/>
        <v>97.679795210883057</v>
      </c>
      <c r="T105" s="60">
        <f t="shared" si="16"/>
        <v>98.924587477658605</v>
      </c>
      <c r="U105" s="60">
        <f t="shared" si="16"/>
        <v>97.700542097772114</v>
      </c>
      <c r="V105" s="60">
        <f t="shared" si="16"/>
        <v>97.930409743170159</v>
      </c>
    </row>
    <row r="106" spans="3:22" x14ac:dyDescent="0.2">
      <c r="C106" s="88" t="s">
        <v>138</v>
      </c>
      <c r="D106" s="62">
        <f t="shared" ref="D106:V106" si="17">+IFERROR(IF(D67&gt;0,+((D67/D28)*100)," "),"")</f>
        <v>96.565877970042905</v>
      </c>
      <c r="E106" s="62">
        <f t="shared" si="17"/>
        <v>97.382618947799031</v>
      </c>
      <c r="F106" s="62">
        <f t="shared" si="17"/>
        <v>94.52195440952363</v>
      </c>
      <c r="G106" s="62">
        <f t="shared" si="17"/>
        <v>98.560901045029198</v>
      </c>
      <c r="H106" s="62">
        <f t="shared" si="17"/>
        <v>99.045758404258535</v>
      </c>
      <c r="I106" s="62">
        <f t="shared" si="17"/>
        <v>96.524499227844842</v>
      </c>
      <c r="J106" s="62">
        <f t="shared" si="17"/>
        <v>96.039670216369856</v>
      </c>
      <c r="K106" s="62">
        <f t="shared" si="17"/>
        <v>93.69802081237053</v>
      </c>
      <c r="L106" s="62">
        <f t="shared" si="17"/>
        <v>92.763803803759075</v>
      </c>
      <c r="M106" s="62">
        <f t="shared" si="17"/>
        <v>84.696514841733674</v>
      </c>
      <c r="N106" s="62">
        <f t="shared" si="17"/>
        <v>83.610019140105578</v>
      </c>
      <c r="O106" s="62">
        <f t="shared" si="17"/>
        <v>89.437216576674615</v>
      </c>
      <c r="P106" s="62">
        <f t="shared" si="17"/>
        <v>82.14403697300429</v>
      </c>
      <c r="Q106" s="62">
        <f t="shared" si="17"/>
        <v>77.826982207887852</v>
      </c>
      <c r="R106" s="62">
        <f t="shared" si="17"/>
        <v>86.947147975225889</v>
      </c>
      <c r="S106" s="62">
        <f t="shared" si="17"/>
        <v>95.748235943248588</v>
      </c>
      <c r="T106" s="62">
        <f t="shared" si="17"/>
        <v>97.37091744884934</v>
      </c>
      <c r="U106" s="62">
        <f t="shared" si="17"/>
        <v>98.242303889304921</v>
      </c>
      <c r="V106" s="62">
        <f t="shared" si="17"/>
        <v>97.297851335725866</v>
      </c>
    </row>
    <row r="107" spans="3:22" x14ac:dyDescent="0.2">
      <c r="C107" s="87" t="s">
        <v>139</v>
      </c>
      <c r="D107" s="60">
        <f t="shared" ref="D107:V107" si="18">+IFERROR(IF(D68&gt;0,+((D68/D29)*100)," "),"")</f>
        <v>95.655070934701186</v>
      </c>
      <c r="E107" s="60">
        <f t="shared" si="18"/>
        <v>93.2750522209558</v>
      </c>
      <c r="F107" s="60">
        <f t="shared" si="18"/>
        <v>88.19586725504081</v>
      </c>
      <c r="G107" s="60">
        <f t="shared" si="18"/>
        <v>97.5562290192115</v>
      </c>
      <c r="H107" s="60">
        <f t="shared" si="18"/>
        <v>97.676283343222153</v>
      </c>
      <c r="I107" s="60">
        <f t="shared" si="18"/>
        <v>98.454537250056333</v>
      </c>
      <c r="J107" s="60">
        <f t="shared" si="18"/>
        <v>92.910328643956703</v>
      </c>
      <c r="K107" s="60">
        <f t="shared" si="18"/>
        <v>83.21772504469007</v>
      </c>
      <c r="L107" s="60">
        <f t="shared" si="18"/>
        <v>97.451061798767455</v>
      </c>
      <c r="M107" s="60">
        <f t="shared" si="18"/>
        <v>95.252013322775582</v>
      </c>
      <c r="N107" s="60">
        <f t="shared" si="18"/>
        <v>93.288521553355821</v>
      </c>
      <c r="O107" s="60">
        <f t="shared" si="18"/>
        <v>98.725433877395446</v>
      </c>
      <c r="P107" s="60">
        <f t="shared" si="18"/>
        <v>90.171012389731828</v>
      </c>
      <c r="Q107" s="60">
        <f t="shared" si="18"/>
        <v>92.372344071087596</v>
      </c>
      <c r="R107" s="60">
        <f t="shared" si="18"/>
        <v>96.193681383463641</v>
      </c>
      <c r="S107" s="60">
        <f t="shared" si="18"/>
        <v>94.988076868698627</v>
      </c>
      <c r="T107" s="60">
        <f t="shared" si="18"/>
        <v>97.620877272503733</v>
      </c>
      <c r="U107" s="60">
        <f t="shared" si="18"/>
        <v>93.875224037202926</v>
      </c>
      <c r="V107" s="60">
        <f t="shared" si="18"/>
        <v>91.370490063648163</v>
      </c>
    </row>
    <row r="108" spans="3:22" x14ac:dyDescent="0.2">
      <c r="C108" s="88" t="s">
        <v>140</v>
      </c>
      <c r="D108" s="62">
        <f t="shared" ref="D108:V108" si="19">+IFERROR(IF(D69&gt;0,+((D69/D30)*100)," "),"")</f>
        <v>87.836206812526299</v>
      </c>
      <c r="E108" s="62">
        <f t="shared" si="19"/>
        <v>74.787298206277981</v>
      </c>
      <c r="F108" s="62">
        <f t="shared" si="19"/>
        <v>82.09349114542772</v>
      </c>
      <c r="G108" s="62">
        <f t="shared" si="19"/>
        <v>98.118041680536521</v>
      </c>
      <c r="H108" s="62">
        <f t="shared" si="19"/>
        <v>96.80531056329005</v>
      </c>
      <c r="I108" s="62">
        <f t="shared" si="19"/>
        <v>91.242190875383201</v>
      </c>
      <c r="J108" s="62">
        <f t="shared" si="19"/>
        <v>77.042169110725879</v>
      </c>
      <c r="K108" s="62">
        <f t="shared" si="19"/>
        <v>61.243827411128969</v>
      </c>
      <c r="L108" s="62">
        <f t="shared" si="19"/>
        <v>98.241750939926845</v>
      </c>
      <c r="M108" s="62">
        <f t="shared" si="19"/>
        <v>89.078989498522901</v>
      </c>
      <c r="N108" s="62">
        <f t="shared" si="19"/>
        <v>97.746656595832278</v>
      </c>
      <c r="O108" s="62">
        <f t="shared" si="19"/>
        <v>98.434629451345828</v>
      </c>
      <c r="P108" s="62">
        <f t="shared" si="19"/>
        <v>98.337737270132777</v>
      </c>
      <c r="Q108" s="62">
        <f t="shared" si="19"/>
        <v>98.151326919525246</v>
      </c>
      <c r="R108" s="62">
        <f t="shared" si="19"/>
        <v>98.162265704891468</v>
      </c>
      <c r="S108" s="62">
        <f t="shared" si="19"/>
        <v>99.434977226864319</v>
      </c>
      <c r="T108" s="62">
        <f t="shared" si="19"/>
        <v>97.323537647486688</v>
      </c>
      <c r="U108" s="62">
        <f t="shared" si="19"/>
        <v>97.656599194922435</v>
      </c>
      <c r="V108" s="62">
        <f t="shared" si="19"/>
        <v>99.0343941381131</v>
      </c>
    </row>
    <row r="109" spans="3:22" x14ac:dyDescent="0.2">
      <c r="C109" s="87" t="s">
        <v>141</v>
      </c>
      <c r="D109" s="60">
        <f t="shared" ref="D109:V109" si="20">+IFERROR(IF(D70&gt;0,+((D70/D31)*100)," "),"")</f>
        <v>94.763286566646144</v>
      </c>
      <c r="E109" s="60">
        <f t="shared" si="20"/>
        <v>97.199790240930298</v>
      </c>
      <c r="F109" s="60">
        <f t="shared" si="20"/>
        <v>96.719671626171092</v>
      </c>
      <c r="G109" s="60">
        <f t="shared" si="20"/>
        <v>96.23269066518148</v>
      </c>
      <c r="H109" s="60">
        <f t="shared" si="20"/>
        <v>95.434563349109652</v>
      </c>
      <c r="I109" s="60">
        <f t="shared" si="20"/>
        <v>95.142613861800172</v>
      </c>
      <c r="J109" s="60">
        <f t="shared" si="20"/>
        <v>96.447178826713909</v>
      </c>
      <c r="K109" s="60">
        <f t="shared" si="20"/>
        <v>94.4462103348326</v>
      </c>
      <c r="L109" s="60">
        <f t="shared" si="20"/>
        <v>93.882951785043829</v>
      </c>
      <c r="M109" s="60">
        <f t="shared" si="20"/>
        <v>92.411549788740814</v>
      </c>
      <c r="N109" s="60">
        <f t="shared" si="20"/>
        <v>89.463583241625727</v>
      </c>
      <c r="O109" s="60">
        <f t="shared" si="20"/>
        <v>93.032355191219494</v>
      </c>
      <c r="P109" s="60">
        <f t="shared" si="20"/>
        <v>88.524122798892577</v>
      </c>
      <c r="Q109" s="60">
        <f t="shared" si="20"/>
        <v>89.980117431594437</v>
      </c>
      <c r="R109" s="60">
        <f t="shared" si="20"/>
        <v>94.382265180308565</v>
      </c>
      <c r="S109" s="60">
        <f t="shared" si="20"/>
        <v>95.647591292475411</v>
      </c>
      <c r="T109" s="60">
        <f t="shared" si="20"/>
        <v>96.810068990003217</v>
      </c>
      <c r="U109" s="60">
        <f t="shared" si="20"/>
        <v>96.669982322174747</v>
      </c>
      <c r="V109" s="60">
        <f t="shared" si="20"/>
        <v>96.706903215895622</v>
      </c>
    </row>
    <row r="110" spans="3:22" x14ac:dyDescent="0.2">
      <c r="C110" s="88" t="s">
        <v>142</v>
      </c>
      <c r="D110" s="62">
        <f t="shared" ref="D110:V110" si="21">+IFERROR(IF(D71&gt;0,+((D71/D32)*100)," "),"")</f>
        <v>68.988672511238789</v>
      </c>
      <c r="E110" s="62">
        <f t="shared" si="21"/>
        <v>97.070433998157327</v>
      </c>
      <c r="F110" s="62">
        <f t="shared" si="21"/>
        <v>95.651395370455134</v>
      </c>
      <c r="G110" s="62">
        <f t="shared" si="21"/>
        <v>94.884582248258397</v>
      </c>
      <c r="H110" s="62">
        <f t="shared" si="21"/>
        <v>82.498573778451942</v>
      </c>
      <c r="I110" s="62">
        <f t="shared" si="21"/>
        <v>53.560962553297777</v>
      </c>
      <c r="J110" s="62">
        <f t="shared" si="21"/>
        <v>68.654483340214</v>
      </c>
      <c r="K110" s="62">
        <f t="shared" si="21"/>
        <v>93.629763222070366</v>
      </c>
      <c r="L110" s="62">
        <f t="shared" si="21"/>
        <v>94.51876211304922</v>
      </c>
      <c r="M110" s="62">
        <f t="shared" si="21"/>
        <v>92.800508646240971</v>
      </c>
      <c r="N110" s="62">
        <f t="shared" si="21"/>
        <v>93.514519420053816</v>
      </c>
      <c r="O110" s="62">
        <f t="shared" si="21"/>
        <v>92.150412232110341</v>
      </c>
      <c r="P110" s="62">
        <f t="shared" si="21"/>
        <v>92.008534154492267</v>
      </c>
      <c r="Q110" s="62">
        <f t="shared" si="21"/>
        <v>81.563221013410242</v>
      </c>
      <c r="R110" s="62">
        <f t="shared" si="21"/>
        <v>85.309691417194188</v>
      </c>
      <c r="S110" s="62">
        <f t="shared" si="21"/>
        <v>92.93756394671361</v>
      </c>
      <c r="T110" s="62">
        <f t="shared" si="21"/>
        <v>96.149858482973926</v>
      </c>
      <c r="U110" s="62">
        <f t="shared" si="21"/>
        <v>97.59546419446059</v>
      </c>
      <c r="V110" s="62">
        <f t="shared" si="21"/>
        <v>95.280581792003474</v>
      </c>
    </row>
    <row r="111" spans="3:22" x14ac:dyDescent="0.2">
      <c r="C111" s="87" t="s">
        <v>143</v>
      </c>
      <c r="D111" s="60">
        <f t="shared" ref="D111:V111" si="22">+IFERROR(IF(D72&gt;0,+((D72/D33)*100)," "),"")</f>
        <v>96.657130309138864</v>
      </c>
      <c r="E111" s="60">
        <f t="shared" si="22"/>
        <v>93.824841280438378</v>
      </c>
      <c r="F111" s="60">
        <f t="shared" si="22"/>
        <v>84.00364088161615</v>
      </c>
      <c r="G111" s="60">
        <f t="shared" si="22"/>
        <v>99.638469249423594</v>
      </c>
      <c r="H111" s="60">
        <f t="shared" si="22"/>
        <v>91.750879459979544</v>
      </c>
      <c r="I111" s="60">
        <f t="shared" si="22"/>
        <v>95.014417287262461</v>
      </c>
      <c r="J111" s="60">
        <f t="shared" si="22"/>
        <v>98.950151384103464</v>
      </c>
      <c r="K111" s="60">
        <f t="shared" si="22"/>
        <v>98.280332745670933</v>
      </c>
      <c r="L111" s="60">
        <f t="shared" si="22"/>
        <v>89.216811977010707</v>
      </c>
      <c r="M111" s="60">
        <f t="shared" si="22"/>
        <v>90.257300557818027</v>
      </c>
      <c r="N111" s="60">
        <f t="shared" si="22"/>
        <v>84.229050239005474</v>
      </c>
      <c r="O111" s="60">
        <f t="shared" si="22"/>
        <v>91.780826295724609</v>
      </c>
      <c r="P111" s="60">
        <f t="shared" si="22"/>
        <v>96.486862219172068</v>
      </c>
      <c r="Q111" s="60">
        <f t="shared" si="22"/>
        <v>93.096366147060081</v>
      </c>
      <c r="R111" s="60">
        <f t="shared" si="22"/>
        <v>94.118168420638426</v>
      </c>
      <c r="S111" s="60">
        <f t="shared" si="22"/>
        <v>96.816251340636654</v>
      </c>
      <c r="T111" s="60">
        <f t="shared" si="22"/>
        <v>98.233898945682469</v>
      </c>
      <c r="U111" s="60">
        <f t="shared" si="22"/>
        <v>98.424576067746884</v>
      </c>
      <c r="V111" s="60">
        <f t="shared" si="22"/>
        <v>98.491227211918101</v>
      </c>
    </row>
    <row r="112" spans="3:22" x14ac:dyDescent="0.2">
      <c r="C112" s="88" t="s">
        <v>144</v>
      </c>
      <c r="D112" s="62">
        <f t="shared" ref="D112:V112" si="23">+IFERROR(IF(D73&gt;0,+((D73/D34)*100)," "),"")</f>
        <v>98.121278107808195</v>
      </c>
      <c r="E112" s="62">
        <f t="shared" si="23"/>
        <v>97.111721859196678</v>
      </c>
      <c r="F112" s="62">
        <f t="shared" si="23"/>
        <v>97.638447484734996</v>
      </c>
      <c r="G112" s="62">
        <f t="shared" si="23"/>
        <v>99.40499675246329</v>
      </c>
      <c r="H112" s="62">
        <f t="shared" si="23"/>
        <v>99.136729475697265</v>
      </c>
      <c r="I112" s="62">
        <f t="shared" si="23"/>
        <v>99.797038151368739</v>
      </c>
      <c r="J112" s="62">
        <f t="shared" si="23"/>
        <v>98.759369858124316</v>
      </c>
      <c r="K112" s="62">
        <f t="shared" si="23"/>
        <v>99.102981727312596</v>
      </c>
      <c r="L112" s="62">
        <f t="shared" si="23"/>
        <v>98.723021636275817</v>
      </c>
      <c r="M112" s="62">
        <f t="shared" si="23"/>
        <v>99.121885520097081</v>
      </c>
      <c r="N112" s="62">
        <f t="shared" si="23"/>
        <v>97.840476790662578</v>
      </c>
      <c r="O112" s="62">
        <f t="shared" si="23"/>
        <v>95.411869613271946</v>
      </c>
      <c r="P112" s="62">
        <f t="shared" si="23"/>
        <v>95.077281970420458</v>
      </c>
      <c r="Q112" s="62">
        <f t="shared" si="23"/>
        <v>97.90816767815808</v>
      </c>
      <c r="R112" s="62">
        <f t="shared" si="23"/>
        <v>99.239921669522118</v>
      </c>
      <c r="S112" s="62">
        <f t="shared" si="23"/>
        <v>98.225941012057874</v>
      </c>
      <c r="T112" s="62">
        <f t="shared" si="23"/>
        <v>99.015378878067324</v>
      </c>
      <c r="U112" s="62">
        <f t="shared" si="23"/>
        <v>98.458764750132502</v>
      </c>
      <c r="V112" s="62">
        <f t="shared" si="23"/>
        <v>99.276332714780764</v>
      </c>
    </row>
    <row r="113" spans="3:22" x14ac:dyDescent="0.2">
      <c r="C113" s="87" t="s">
        <v>145</v>
      </c>
      <c r="D113" s="60">
        <f t="shared" ref="D113:V113" si="24">+IFERROR(IF(D74&gt;0,+((D74/D35)*100)," "),"")</f>
        <v>95.738962814650918</v>
      </c>
      <c r="E113" s="60">
        <f t="shared" si="24"/>
        <v>96.964639562676922</v>
      </c>
      <c r="F113" s="60">
        <f t="shared" si="24"/>
        <v>81.306345906809241</v>
      </c>
      <c r="G113" s="60">
        <f t="shared" si="24"/>
        <v>91.360983910360872</v>
      </c>
      <c r="H113" s="60">
        <f t="shared" si="24"/>
        <v>97.526923067284756</v>
      </c>
      <c r="I113" s="60">
        <f t="shared" si="24"/>
        <v>96.87209784469016</v>
      </c>
      <c r="J113" s="60">
        <f t="shared" si="24"/>
        <v>89.584760831834387</v>
      </c>
      <c r="K113" s="60">
        <f t="shared" si="24"/>
        <v>95.727155879049363</v>
      </c>
      <c r="L113" s="60">
        <f t="shared" si="24"/>
        <v>96.816787429809963</v>
      </c>
      <c r="M113" s="60">
        <f t="shared" si="24"/>
        <v>98.295728297813511</v>
      </c>
      <c r="N113" s="60">
        <f t="shared" si="24"/>
        <v>97.703415777826521</v>
      </c>
      <c r="O113" s="60">
        <f t="shared" si="24"/>
        <v>92.518205763725447</v>
      </c>
      <c r="P113" s="60">
        <f t="shared" si="24"/>
        <v>92.434038572815567</v>
      </c>
      <c r="Q113" s="60">
        <f t="shared" si="24"/>
        <v>89.278201448481653</v>
      </c>
      <c r="R113" s="60">
        <f t="shared" si="24"/>
        <v>94.56336616085909</v>
      </c>
      <c r="S113" s="60">
        <f t="shared" si="24"/>
        <v>92.61485131757459</v>
      </c>
      <c r="T113" s="60">
        <f t="shared" si="24"/>
        <v>94.761492919019531</v>
      </c>
      <c r="U113" s="60">
        <f t="shared" si="24"/>
        <v>96.187479388507768</v>
      </c>
      <c r="V113" s="60">
        <f t="shared" si="24"/>
        <v>97.769906596969818</v>
      </c>
    </row>
    <row r="114" spans="3:22" x14ac:dyDescent="0.2">
      <c r="C114" s="88" t="s">
        <v>146</v>
      </c>
      <c r="D114" s="62">
        <f t="shared" ref="D114:V114" si="25">+IFERROR(IF(D75&gt;0,+((D75/D36)*100)," "),"")</f>
        <v>92.434671151338932</v>
      </c>
      <c r="E114" s="62">
        <f t="shared" si="25"/>
        <v>94.467336199807804</v>
      </c>
      <c r="F114" s="62">
        <f t="shared" si="25"/>
        <v>94.505580101151239</v>
      </c>
      <c r="G114" s="62">
        <f t="shared" si="25"/>
        <v>98.685516212359218</v>
      </c>
      <c r="H114" s="62">
        <f t="shared" si="25"/>
        <v>93.319855401441416</v>
      </c>
      <c r="I114" s="62">
        <f t="shared" si="25"/>
        <v>89.888682788890989</v>
      </c>
      <c r="J114" s="62">
        <f t="shared" si="25"/>
        <v>95.248136919595368</v>
      </c>
      <c r="K114" s="62">
        <f t="shared" si="25"/>
        <v>86.023437921090789</v>
      </c>
      <c r="L114" s="62">
        <f t="shared" si="25"/>
        <v>91.888113605219118</v>
      </c>
      <c r="M114" s="62">
        <f t="shared" si="25"/>
        <v>94.108590320071642</v>
      </c>
      <c r="N114" s="62">
        <f t="shared" si="25"/>
        <v>85.140256811611849</v>
      </c>
      <c r="O114" s="62">
        <f t="shared" si="25"/>
        <v>97.848740693640096</v>
      </c>
      <c r="P114" s="62">
        <f t="shared" si="25"/>
        <v>96.394641467209979</v>
      </c>
      <c r="Q114" s="62">
        <f t="shared" si="25"/>
        <v>98.770596851103591</v>
      </c>
      <c r="R114" s="62">
        <f t="shared" si="25"/>
        <v>98.111002954344102</v>
      </c>
      <c r="S114" s="62">
        <f t="shared" si="25"/>
        <v>98.716546870742889</v>
      </c>
      <c r="T114" s="62">
        <f t="shared" si="25"/>
        <v>97.555191043058315</v>
      </c>
      <c r="U114" s="62">
        <f t="shared" si="25"/>
        <v>96.317037440132296</v>
      </c>
      <c r="V114" s="62">
        <f t="shared" si="25"/>
        <v>95.078587965426848</v>
      </c>
    </row>
    <row r="115" spans="3:22" x14ac:dyDescent="0.2">
      <c r="C115" s="90" t="s">
        <v>147</v>
      </c>
      <c r="D115" s="61">
        <f t="shared" ref="D115:V115" si="26">+IFERROR(IF(D76&gt;0,+((D76/D37)*100)," "),"")</f>
        <v>91.823201755151757</v>
      </c>
      <c r="E115" s="61">
        <f t="shared" si="26"/>
        <v>97.886312901795236</v>
      </c>
      <c r="F115" s="61">
        <f t="shared" si="26"/>
        <v>96.609164274489657</v>
      </c>
      <c r="G115" s="61">
        <f t="shared" si="26"/>
        <v>99.416031454880113</v>
      </c>
      <c r="H115" s="61">
        <f t="shared" si="26"/>
        <v>99.288747733599379</v>
      </c>
      <c r="I115" s="61">
        <f t="shared" si="26"/>
        <v>99.005298765342147</v>
      </c>
      <c r="J115" s="61">
        <f t="shared" si="26"/>
        <v>98.503541756182543</v>
      </c>
      <c r="K115" s="61">
        <f t="shared" si="26"/>
        <v>96.793341007733943</v>
      </c>
      <c r="L115" s="61">
        <f t="shared" si="26"/>
        <v>99.643500294751249</v>
      </c>
      <c r="M115" s="61">
        <f t="shared" si="26"/>
        <v>95.77092872592506</v>
      </c>
      <c r="N115" s="61">
        <f t="shared" si="26"/>
        <v>87.541208494844838</v>
      </c>
      <c r="O115" s="61">
        <f t="shared" si="26"/>
        <v>99.152040790570425</v>
      </c>
      <c r="P115" s="61">
        <f t="shared" si="26"/>
        <v>98.626290807785551</v>
      </c>
      <c r="Q115" s="61">
        <f t="shared" si="26"/>
        <v>98.599955622401126</v>
      </c>
      <c r="R115" s="61">
        <f t="shared" si="26"/>
        <v>97.823758349853222</v>
      </c>
      <c r="S115" s="61">
        <f t="shared" si="26"/>
        <v>98.829858075299754</v>
      </c>
      <c r="T115" s="61">
        <f t="shared" si="26"/>
        <v>99.730510976898017</v>
      </c>
      <c r="U115" s="61">
        <f t="shared" si="26"/>
        <v>99.768660174340411</v>
      </c>
      <c r="V115" s="61">
        <f t="shared" si="26"/>
        <v>95.820834546698137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83.48917069250092</v>
      </c>
    </row>
    <row r="117" spans="3:22" x14ac:dyDescent="0.2">
      <c r="C117" s="87" t="s">
        <v>149</v>
      </c>
      <c r="D117" s="60">
        <f t="shared" ref="D117:V117" si="28">+IFERROR(IF(D78&gt;0,+((D78/D39)*100)," "),"")</f>
        <v>78.37695677795044</v>
      </c>
      <c r="E117" s="60">
        <f t="shared" si="28"/>
        <v>89.469093490342175</v>
      </c>
      <c r="F117" s="60">
        <f t="shared" si="28"/>
        <v>93.493614292259522</v>
      </c>
      <c r="G117" s="60">
        <f t="shared" si="28"/>
        <v>92.700789623709625</v>
      </c>
      <c r="H117" s="60">
        <f t="shared" si="28"/>
        <v>91.809910193529475</v>
      </c>
      <c r="I117" s="60">
        <f t="shared" si="28"/>
        <v>95.414214453943771</v>
      </c>
      <c r="J117" s="60">
        <f t="shared" si="28"/>
        <v>74.817093928372074</v>
      </c>
      <c r="K117" s="60">
        <f t="shared" si="28"/>
        <v>95.962752787025224</v>
      </c>
      <c r="L117" s="60">
        <f t="shared" si="28"/>
        <v>93.437569250872542</v>
      </c>
      <c r="M117" s="60">
        <f t="shared" si="28"/>
        <v>30.648991611240834</v>
      </c>
      <c r="N117" s="60">
        <f t="shared" si="28"/>
        <v>79.395461825216145</v>
      </c>
      <c r="O117" s="60">
        <f t="shared" si="28"/>
        <v>85.377105508356877</v>
      </c>
      <c r="P117" s="60">
        <f t="shared" si="28"/>
        <v>75.81679301880672</v>
      </c>
      <c r="Q117" s="60">
        <f t="shared" si="28"/>
        <v>60.050733047219353</v>
      </c>
      <c r="R117" s="60">
        <f t="shared" si="28"/>
        <v>53.478165518363397</v>
      </c>
      <c r="S117" s="60">
        <f t="shared" si="28"/>
        <v>84.227713205660521</v>
      </c>
      <c r="T117" s="60">
        <f t="shared" si="28"/>
        <v>94.559355845785021</v>
      </c>
      <c r="U117" s="60">
        <f t="shared" si="28"/>
        <v>95.581056068981312</v>
      </c>
      <c r="V117" s="60">
        <f t="shared" si="28"/>
        <v>92.113906936741543</v>
      </c>
    </row>
    <row r="118" spans="3:22" x14ac:dyDescent="0.2">
      <c r="C118" s="88" t="s">
        <v>150</v>
      </c>
      <c r="D118" s="62">
        <f t="shared" ref="D118:V118" si="29">+IFERROR(IF(D79&gt;0,+((D79/D40)*100)," "),"")</f>
        <v>71.584267149062981</v>
      </c>
      <c r="E118" s="62">
        <f t="shared" si="29"/>
        <v>84.979602804257652</v>
      </c>
      <c r="F118" s="62">
        <f t="shared" si="29"/>
        <v>84.559588186837971</v>
      </c>
      <c r="G118" s="62">
        <f t="shared" si="29"/>
        <v>96.872661520833503</v>
      </c>
      <c r="H118" s="62">
        <f t="shared" si="29"/>
        <v>96.589766805198607</v>
      </c>
      <c r="I118" s="62">
        <f t="shared" si="29"/>
        <v>96.525239205330067</v>
      </c>
      <c r="J118" s="62">
        <f t="shared" si="29"/>
        <v>79.828541861327508</v>
      </c>
      <c r="K118" s="62">
        <f t="shared" si="29"/>
        <v>97.003172386182243</v>
      </c>
      <c r="L118" s="62">
        <f t="shared" si="29"/>
        <v>98.073180829024992</v>
      </c>
      <c r="M118" s="62">
        <f t="shared" si="29"/>
        <v>97.639333581902704</v>
      </c>
      <c r="N118" s="62">
        <f t="shared" si="29"/>
        <v>96.301638126773597</v>
      </c>
      <c r="O118" s="62">
        <f t="shared" si="29"/>
        <v>96.274307944423015</v>
      </c>
      <c r="P118" s="62">
        <f t="shared" si="29"/>
        <v>95.657350157700975</v>
      </c>
      <c r="Q118" s="62">
        <f t="shared" si="29"/>
        <v>98.97852627387384</v>
      </c>
      <c r="R118" s="62">
        <f t="shared" si="29"/>
        <v>98.113657731237623</v>
      </c>
      <c r="S118" s="62">
        <f t="shared" si="29"/>
        <v>97.372974979626164</v>
      </c>
      <c r="T118" s="62">
        <f t="shared" si="29"/>
        <v>99.650466457998121</v>
      </c>
      <c r="U118" s="62">
        <f t="shared" si="29"/>
        <v>98.53020716254116</v>
      </c>
      <c r="V118" s="62">
        <f t="shared" si="29"/>
        <v>99.392245517750183</v>
      </c>
    </row>
    <row r="119" spans="3:22" x14ac:dyDescent="0.2">
      <c r="C119" s="87" t="s">
        <v>151</v>
      </c>
      <c r="D119" s="60">
        <f t="shared" ref="D119:V119" si="30">+IFERROR(IF(D80&gt;0,+((D80/D41)*100)," "),"")</f>
        <v>96.876741746332485</v>
      </c>
      <c r="E119" s="60">
        <f t="shared" si="30"/>
        <v>97.81813963550907</v>
      </c>
      <c r="F119" s="60">
        <f t="shared" si="30"/>
        <v>89.685043527966499</v>
      </c>
      <c r="G119" s="60">
        <f t="shared" si="30"/>
        <v>92.675695579189252</v>
      </c>
      <c r="H119" s="60">
        <f t="shared" si="30"/>
        <v>99.583577517814149</v>
      </c>
      <c r="I119" s="60">
        <f t="shared" si="30"/>
        <v>97.87357893632938</v>
      </c>
      <c r="J119" s="60">
        <f t="shared" si="30"/>
        <v>98.215653645603695</v>
      </c>
      <c r="K119" s="60">
        <f t="shared" si="30"/>
        <v>98.832216406379061</v>
      </c>
      <c r="L119" s="60">
        <f t="shared" si="30"/>
        <v>98.715421457354495</v>
      </c>
      <c r="M119" s="60">
        <f t="shared" si="30"/>
        <v>96.968902869468039</v>
      </c>
      <c r="N119" s="60">
        <f t="shared" si="30"/>
        <v>99.363077617936952</v>
      </c>
      <c r="O119" s="60">
        <f t="shared" si="30"/>
        <v>98.598664817522305</v>
      </c>
      <c r="P119" s="60">
        <f t="shared" si="30"/>
        <v>99.63208129777459</v>
      </c>
      <c r="Q119" s="60">
        <f t="shared" si="30"/>
        <v>98.815538735823822</v>
      </c>
      <c r="R119" s="60">
        <f t="shared" si="30"/>
        <v>99.581830615260955</v>
      </c>
      <c r="S119" s="60">
        <f t="shared" si="30"/>
        <v>99.576664667962959</v>
      </c>
      <c r="T119" s="60">
        <f t="shared" si="30"/>
        <v>99.718791329841878</v>
      </c>
      <c r="U119" s="60">
        <f t="shared" si="30"/>
        <v>99.934022095052129</v>
      </c>
      <c r="V119" s="60">
        <f t="shared" si="30"/>
        <v>99.63574858468904</v>
      </c>
    </row>
    <row r="120" spans="3:22" x14ac:dyDescent="0.2">
      <c r="C120" s="91" t="s">
        <v>154</v>
      </c>
      <c r="D120" s="64">
        <f t="shared" ref="D120:V120" si="31">+IFERROR(IF(D81&gt;0,+((D81/D42)*100)," "),"")</f>
        <v>93.314815976948751</v>
      </c>
      <c r="E120" s="64">
        <f t="shared" si="31"/>
        <v>95.917898467049184</v>
      </c>
      <c r="F120" s="64">
        <f t="shared" si="31"/>
        <v>95.852633059446546</v>
      </c>
      <c r="G120" s="64">
        <f t="shared" si="31"/>
        <v>98.789933630308653</v>
      </c>
      <c r="H120" s="64">
        <f t="shared" si="31"/>
        <v>98.522566726160349</v>
      </c>
      <c r="I120" s="64">
        <f t="shared" si="31"/>
        <v>97.662340187000382</v>
      </c>
      <c r="J120" s="64">
        <f t="shared" si="31"/>
        <v>97.304611429411693</v>
      </c>
      <c r="K120" s="64">
        <f t="shared" si="31"/>
        <v>94.066017403338549</v>
      </c>
      <c r="L120" s="64">
        <f t="shared" si="31"/>
        <v>98.032978094114071</v>
      </c>
      <c r="M120" s="64">
        <f t="shared" si="31"/>
        <v>94.605052643994114</v>
      </c>
      <c r="N120" s="64">
        <f t="shared" si="31"/>
        <v>92.637699610348747</v>
      </c>
      <c r="O120" s="64">
        <f t="shared" si="31"/>
        <v>98.421608074964084</v>
      </c>
      <c r="P120" s="64">
        <f t="shared" si="31"/>
        <v>97.426289889196781</v>
      </c>
      <c r="Q120" s="64">
        <f t="shared" si="31"/>
        <v>96.829584201653844</v>
      </c>
      <c r="R120" s="64">
        <f t="shared" si="31"/>
        <v>95.628725156252031</v>
      </c>
      <c r="S120" s="64">
        <f t="shared" si="31"/>
        <v>97.940617413129814</v>
      </c>
      <c r="T120" s="64">
        <f t="shared" si="31"/>
        <v>98.686447096492344</v>
      </c>
      <c r="U120" s="64">
        <f t="shared" si="31"/>
        <v>99.067135507361073</v>
      </c>
      <c r="V120" s="64">
        <f t="shared" si="31"/>
        <v>97.408977440653899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D126" s="164" t="s">
        <v>167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81" t="s">
        <v>120</v>
      </c>
      <c r="D128" s="184">
        <v>2000</v>
      </c>
      <c r="E128" s="155">
        <v>2001</v>
      </c>
      <c r="F128" s="155">
        <v>2002</v>
      </c>
      <c r="G128" s="155">
        <v>2003</v>
      </c>
      <c r="H128" s="155">
        <v>2004</v>
      </c>
      <c r="I128" s="155">
        <v>2005</v>
      </c>
      <c r="J128" s="155">
        <v>2006</v>
      </c>
      <c r="K128" s="155">
        <v>2007</v>
      </c>
      <c r="L128" s="155">
        <v>2008</v>
      </c>
      <c r="M128" s="155">
        <v>2009</v>
      </c>
      <c r="N128" s="155">
        <v>2010</v>
      </c>
      <c r="O128" s="155">
        <v>2011</v>
      </c>
      <c r="P128" s="155">
        <v>2012</v>
      </c>
      <c r="Q128" s="155">
        <v>2013</v>
      </c>
      <c r="R128" s="155">
        <v>2014</v>
      </c>
      <c r="S128" s="155">
        <v>2015</v>
      </c>
      <c r="T128" s="155">
        <v>2016</v>
      </c>
      <c r="U128" s="155">
        <v>2017</v>
      </c>
      <c r="V128" s="155">
        <v>2018</v>
      </c>
    </row>
    <row r="129" spans="3:22" ht="12" customHeight="1" thickBot="1" x14ac:dyDescent="0.25">
      <c r="C129" s="162"/>
      <c r="D129" s="185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</row>
    <row r="130" spans="3:22" x14ac:dyDescent="0.2">
      <c r="C130" s="87" t="s">
        <v>123</v>
      </c>
      <c r="D130" s="56">
        <f>393.803408312179*Deflactores!$A$5</f>
        <v>1469.6410721169118</v>
      </c>
      <c r="E130" s="56">
        <f>463.38114339604*Deflactores!$B$5</f>
        <v>1606.4343243553396</v>
      </c>
      <c r="F130" s="56">
        <f>454.51567656092*Deflactores!$C$5</f>
        <v>1472.7289604771784</v>
      </c>
      <c r="G130" s="56">
        <f>377.88421909743*Deflactores!$D$5</f>
        <v>1149.7894913094269</v>
      </c>
      <c r="H130" s="56">
        <f>447.22584668524*Deflactores!$E$5</f>
        <v>1289.871464812526</v>
      </c>
      <c r="I130" s="56">
        <f>525.91836065907*Deflactores!$F$5</f>
        <v>1446.598610213993</v>
      </c>
      <c r="J130" s="56">
        <f>784.23123482629*Deflactores!$G$5</f>
        <v>2064.6631683451487</v>
      </c>
      <c r="K130" s="56">
        <f>1266.19795046168*Deflactores!$H$5</f>
        <v>3153.947440736858</v>
      </c>
      <c r="L130" s="56">
        <f>1778.46879956156*Deflactores!$I$5</f>
        <v>4114.2128008682012</v>
      </c>
      <c r="M130" s="56">
        <f>1374.11128944067*Deflactores!$J$5</f>
        <v>3116.4096355608085</v>
      </c>
      <c r="N130" s="56">
        <f>1313.14245087745*Deflactores!$K$5</f>
        <v>2886.5952763661912</v>
      </c>
      <c r="O130" s="56">
        <f>1323.59800854374*Deflactores!$L$5</f>
        <v>2805.0438907923512</v>
      </c>
      <c r="P130" s="56">
        <f>1883.91099331148*Deflactores!$M$5</f>
        <v>3897.3944882491437</v>
      </c>
      <c r="Q130" s="56">
        <f>3236.99358431459*Deflactores!$N$5</f>
        <v>6569.1805086462482</v>
      </c>
      <c r="R130" s="56">
        <f>3069.6991900535*Deflactores!$O$5</f>
        <v>6009.7163179862819</v>
      </c>
      <c r="S130" s="56">
        <f>3297.93392064388*Deflactores!$P$5</f>
        <v>6047.1516420213193</v>
      </c>
      <c r="T130" s="56">
        <f>2047.0101928436*Deflactores!$Q$5</f>
        <v>3549.3476448841334</v>
      </c>
      <c r="U130" s="56">
        <f>2560.70588145718*Deflactores!$R$5</f>
        <v>4265.5911250457239</v>
      </c>
      <c r="V130" s="56">
        <f>1411.49295957732*Deflactores!$S$5</f>
        <v>2278.781672437075</v>
      </c>
    </row>
    <row r="131" spans="3:22" x14ac:dyDescent="0.2">
      <c r="C131" s="88" t="s">
        <v>124</v>
      </c>
      <c r="D131" s="57">
        <f>105.36411822376*Deflactores!$A$5</f>
        <v>393.20999361759658</v>
      </c>
      <c r="E131" s="57">
        <f>121.12908912543*Deflactores!$B$5</f>
        <v>419.92629441694879</v>
      </c>
      <c r="F131" s="57">
        <f>125.45739772023*Deflactores!$C$5</f>
        <v>406.50906548857341</v>
      </c>
      <c r="G131" s="57">
        <f>148.792439908709*Deflactores!$D$5</f>
        <v>452.73122069491188</v>
      </c>
      <c r="H131" s="57">
        <f>147.79874074354*Deflactores!$E$5</f>
        <v>426.27540343054272</v>
      </c>
      <c r="I131" s="57">
        <f>176.4687692983*Deflactores!$F$5</f>
        <v>485.39753602286027</v>
      </c>
      <c r="J131" s="57">
        <f>231.280849505969*Deflactores!$G$5</f>
        <v>608.8982819261505</v>
      </c>
      <c r="K131" s="57">
        <f>476.33743959263*Deflactores!$H$5</f>
        <v>1186.4995105880087</v>
      </c>
      <c r="L131" s="57">
        <f>1419.32246498877*Deflactores!$I$5</f>
        <v>3283.3832426276881</v>
      </c>
      <c r="M131" s="57">
        <f>1595.72704646408*Deflactores!$J$5</f>
        <v>3619.0221138128318</v>
      </c>
      <c r="N131" s="57">
        <f>1762.0715834062*Deflactores!$K$5</f>
        <v>3873.4468647180479</v>
      </c>
      <c r="O131" s="57">
        <f>1310.79662672547*Deflactores!$L$5</f>
        <v>2777.9144771552415</v>
      </c>
      <c r="P131" s="57">
        <f>300.4257698713*Deflactores!$M$5</f>
        <v>621.51436229281614</v>
      </c>
      <c r="Q131" s="57">
        <f>353.997346306649*Deflactores!$N$5</f>
        <v>718.40502827642649</v>
      </c>
      <c r="R131" s="57">
        <f>387.967362361911*Deflactores!$O$5</f>
        <v>759.54471238982796</v>
      </c>
      <c r="S131" s="57">
        <f>435.979370289326*Deflactores!$P$5</f>
        <v>799.41970590417054</v>
      </c>
      <c r="T131" s="57">
        <f>436.508509026007*Deflactores!$Q$5</f>
        <v>756.86992370619669</v>
      </c>
      <c r="U131" s="57">
        <f>470.6335667799*Deflactores!$R$5</f>
        <v>783.9753796568632</v>
      </c>
      <c r="V131" s="57">
        <f>438.61583760881*Deflactores!$S$5</f>
        <v>708.12236448058627</v>
      </c>
    </row>
    <row r="132" spans="3:22" x14ac:dyDescent="0.2">
      <c r="C132" s="87" t="s">
        <v>125</v>
      </c>
      <c r="D132" s="56">
        <f>26.8834639093999*Deflactores!$A$5</f>
        <v>100.32681761531848</v>
      </c>
      <c r="E132" s="56">
        <f>36.73429106495*Deflactores!$B$5</f>
        <v>127.34921756874331</v>
      </c>
      <c r="F132" s="56">
        <f>21.14463452346*Deflactores!$C$5</f>
        <v>68.513182772984692</v>
      </c>
      <c r="G132" s="56">
        <f>14.32293153221*Deflactores!$D$5</f>
        <v>43.580428417502787</v>
      </c>
      <c r="H132" s="56">
        <f>39.00130637267*Deflactores!$E$5</f>
        <v>112.48605722004272</v>
      </c>
      <c r="I132" s="56">
        <f>31.6833689300399*Deflactores!$F$5</f>
        <v>87.148730467701895</v>
      </c>
      <c r="J132" s="56">
        <f>42.7822032775999*Deflactores!$G$5</f>
        <v>112.63366650715105</v>
      </c>
      <c r="K132" s="56">
        <f>73.76148976697*Deflactores!$H$5</f>
        <v>183.73103651814318</v>
      </c>
      <c r="L132" s="56">
        <f>128.924043614*Deflactores!$I$5</f>
        <v>298.24585660832059</v>
      </c>
      <c r="M132" s="56">
        <f>137.70957373637*Deflactores!$J$5</f>
        <v>312.31782010588375</v>
      </c>
      <c r="N132" s="56">
        <f>334.97356513327*Deflactores!$K$5</f>
        <v>736.35050803142417</v>
      </c>
      <c r="O132" s="56">
        <f>360.75645416604*Deflactores!$L$5</f>
        <v>764.5355170454842</v>
      </c>
      <c r="P132" s="56">
        <f>386.601252510659*Deflactores!$M$5</f>
        <v>799.79234477355078</v>
      </c>
      <c r="Q132" s="56">
        <f>414.57717876032*Deflactores!$N$5</f>
        <v>841.34622176537698</v>
      </c>
      <c r="R132" s="56">
        <f>357.03357931108*Deflactores!$O$5</f>
        <v>698.98397035360699</v>
      </c>
      <c r="S132" s="56">
        <f>348.128329310249*Deflactores!$P$5</f>
        <v>638.33443873599504</v>
      </c>
      <c r="T132" s="56">
        <f>301.586931166029*Deflactores!$Q$5</f>
        <v>522.92698277920294</v>
      </c>
      <c r="U132" s="56">
        <f>378.87148355873*Deflactores!$R$5</f>
        <v>631.11927437811448</v>
      </c>
      <c r="V132" s="56">
        <f>269.02530627727*Deflactores!$S$5</f>
        <v>434.32730798033526</v>
      </c>
    </row>
    <row r="133" spans="3:22" x14ac:dyDescent="0.2">
      <c r="C133" s="88" t="s">
        <v>126</v>
      </c>
      <c r="D133" s="57">
        <f>161.930549002719*Deflactores!$A$5</f>
        <v>604.31113754145781</v>
      </c>
      <c r="E133" s="57">
        <f>176.599411168159*Deflactores!$B$5</f>
        <v>612.2289605535484</v>
      </c>
      <c r="F133" s="57">
        <f>154.481427837409*Deflactores!$C$5</f>
        <v>500.55319181388876</v>
      </c>
      <c r="G133" s="57">
        <f>132.749683040209*Deflactores!$D$5</f>
        <v>403.91787436599952</v>
      </c>
      <c r="H133" s="57">
        <f>124.135312269629*Deflactores!$E$5</f>
        <v>358.02625957099264</v>
      </c>
      <c r="I133" s="57">
        <f>137.49935706698*Deflactores!$F$5</f>
        <v>378.20771001253024</v>
      </c>
      <c r="J133" s="57">
        <f>225.8856260924*Deflactores!$G$5</f>
        <v>594.69415618834216</v>
      </c>
      <c r="K133" s="57">
        <f>248.077515389329*Deflactores!$H$5</f>
        <v>617.9313783293095</v>
      </c>
      <c r="L133" s="57">
        <f>212.877075007539*Deflactores!$I$5</f>
        <v>492.4582243013262</v>
      </c>
      <c r="M133" s="57">
        <f>344.193489125799*Deflactores!$J$5</f>
        <v>780.61210489403231</v>
      </c>
      <c r="N133" s="57">
        <f>318.608721126309*Deflactores!$K$5</f>
        <v>700.37674038923274</v>
      </c>
      <c r="O133" s="57">
        <f>426.4181578584*Deflactores!$L$5</f>
        <v>903.68951970518629</v>
      </c>
      <c r="P133" s="57">
        <f>613.79847621238*Deflactores!$M$5</f>
        <v>1269.8130679098019</v>
      </c>
      <c r="Q133" s="57">
        <f>827.623077298199*Deflactores!$N$5</f>
        <v>1679.5848512762375</v>
      </c>
      <c r="R133" s="57">
        <f>620.064930265388*Deflactores!$O$5</f>
        <v>1213.9346883568689</v>
      </c>
      <c r="S133" s="57">
        <f>605.107398156139*Deflactores!$P$5</f>
        <v>1109.535935045277</v>
      </c>
      <c r="T133" s="57">
        <f>570.60822934099*Deflactores!$Q$5</f>
        <v>989.38783111261648</v>
      </c>
      <c r="U133" s="57">
        <f>676.349672772529*Deflactores!$R$5</f>
        <v>1126.6546394482214</v>
      </c>
      <c r="V133" s="57">
        <f>436.644704495989*Deflactores!$S$5</f>
        <v>704.94007300619205</v>
      </c>
    </row>
    <row r="134" spans="3:22" x14ac:dyDescent="0.2">
      <c r="C134" s="87" t="s">
        <v>127</v>
      </c>
      <c r="D134" s="56">
        <f>168.145621939619*Deflactores!$A$5</f>
        <v>627.50526502099899</v>
      </c>
      <c r="E134" s="56">
        <f>180.690713609919*Deflactores!$B$5</f>
        <v>626.41255168026976</v>
      </c>
      <c r="F134" s="56">
        <f>184.05198404973*Deflactores!$C$5</f>
        <v>596.36818072872427</v>
      </c>
      <c r="G134" s="56">
        <f>210.33975556671*Deflactores!$D$5</f>
        <v>640.00142988993514</v>
      </c>
      <c r="H134" s="56">
        <f>215.22518708014*Deflactores!$E$5</f>
        <v>620.74414835642438</v>
      </c>
      <c r="I134" s="56">
        <f>236.83228545257*Deflactores!$F$5</f>
        <v>651.43429212121566</v>
      </c>
      <c r="J134" s="56">
        <f>283.22669989996*Deflactores!$G$5</f>
        <v>745.65728780863992</v>
      </c>
      <c r="K134" s="56">
        <f>281.94951835113*Deflactores!$H$5</f>
        <v>702.30248082165758</v>
      </c>
      <c r="L134" s="56">
        <f>303.85727323989*Deflactores!$I$5</f>
        <v>702.92685680437762</v>
      </c>
      <c r="M134" s="56">
        <f>330.79597615344*Deflactores!$J$5</f>
        <v>750.22727446548265</v>
      </c>
      <c r="N134" s="56">
        <f>357.085573734959*Deflactores!$K$5</f>
        <v>784.95789220208565</v>
      </c>
      <c r="O134" s="56">
        <f>360.815398523639*Deflactores!$L$5</f>
        <v>764.66043526771819</v>
      </c>
      <c r="P134" s="56">
        <f>373.405928492964*Deflactores!$M$5</f>
        <v>772.49414263989877</v>
      </c>
      <c r="Q134" s="56">
        <f>423.265552748943*Deflactores!$N$5</f>
        <v>858.97847699580439</v>
      </c>
      <c r="R134" s="56">
        <f>450.194806717395*Deflactores!$O$5</f>
        <v>881.37074960594293</v>
      </c>
      <c r="S134" s="56">
        <f>465.187670096266*Deflactores!$P$5</f>
        <v>852.97657586829155</v>
      </c>
      <c r="T134" s="56">
        <f>498.152825365204*Deflactores!$Q$5</f>
        <v>863.75610814433071</v>
      </c>
      <c r="U134" s="56">
        <f>545.5624354178*Deflactores!$R$5</f>
        <v>908.79093125377858</v>
      </c>
      <c r="V134" s="56">
        <f>542.03879845239*Deflactores!$S$5</f>
        <v>875.09333382222758</v>
      </c>
    </row>
    <row r="135" spans="3:22" x14ac:dyDescent="0.2">
      <c r="C135" s="88" t="s">
        <v>128</v>
      </c>
      <c r="D135" s="57">
        <f>48.3258850163999*Deflactores!$A$5</f>
        <v>180.34812286388251</v>
      </c>
      <c r="E135" s="57">
        <f>55.95457123238*Deflactores!$B$5</f>
        <v>193.98144510912192</v>
      </c>
      <c r="F135" s="57">
        <f>49.5770739967199*Deflactores!$C$5</f>
        <v>160.6404276374904</v>
      </c>
      <c r="G135" s="57">
        <f>56.83442919774*Deflactores!$D$5</f>
        <v>172.93029487236279</v>
      </c>
      <c r="H135" s="57">
        <f>76.69139809583*Deflactores!$E$5</f>
        <v>221.19035993465442</v>
      </c>
      <c r="I135" s="57">
        <f>88.31689792753*Deflactores!$F$5</f>
        <v>242.92573022221723</v>
      </c>
      <c r="J135" s="57">
        <f>109.65787601217*Deflactores!$G$5</f>
        <v>288.69875065794366</v>
      </c>
      <c r="K135" s="57">
        <f>126.07135567179*Deflactores!$H$5</f>
        <v>314.02864727927215</v>
      </c>
      <c r="L135" s="57">
        <f>161.60781300227*Deflactores!$I$5</f>
        <v>373.85470756538803</v>
      </c>
      <c r="M135" s="57">
        <f>166.27372079337*Deflactores!$J$5</f>
        <v>377.09975138325882</v>
      </c>
      <c r="N135" s="57">
        <f>186.91276749066*Deflactores!$K$5</f>
        <v>410.87812778464843</v>
      </c>
      <c r="O135" s="57">
        <f>209.714370750029*Deflactores!$L$5</f>
        <v>444.43857627962825</v>
      </c>
      <c r="P135" s="57">
        <f>318.277578784829*Deflactores!$M$5</f>
        <v>658.445800089974</v>
      </c>
      <c r="Q135" s="57">
        <f>378.87061234774*Deflactores!$N$5</f>
        <v>768.8830320807208</v>
      </c>
      <c r="R135" s="57">
        <f>373.315783729939*Deflactores!$O$5</f>
        <v>730.86052356959169</v>
      </c>
      <c r="S135" s="57">
        <f>416.8638696565*Deflactores!$P$5</f>
        <v>764.36917614180186</v>
      </c>
      <c r="T135" s="57">
        <f>356.126582057029*Deflactores!$Q$5</f>
        <v>617.49426051896944</v>
      </c>
      <c r="U135" s="57">
        <f>364.2497497416*Deflactores!$R$5</f>
        <v>606.76257708821004</v>
      </c>
      <c r="V135" s="57">
        <f>353.84142500815*Deflactores!$S$5</f>
        <v>571.25850241509488</v>
      </c>
    </row>
    <row r="136" spans="3:22" x14ac:dyDescent="0.2">
      <c r="C136" s="87" t="s">
        <v>129</v>
      </c>
      <c r="D136" s="56">
        <f>5725.60738338768*Deflactores!$A$5</f>
        <v>21367.483358020854</v>
      </c>
      <c r="E136" s="56">
        <f>6383.37834016359*Deflactores!$B$5</f>
        <v>22129.68355991337</v>
      </c>
      <c r="F136" s="56">
        <f>7236.32210848272*Deflactores!$C$5</f>
        <v>23447.246566148689</v>
      </c>
      <c r="G136" s="56">
        <f>7968.10955195402*Deflactores!$D$5</f>
        <v>24244.591770255556</v>
      </c>
      <c r="H136" s="56">
        <f>9084.80563148644*Deflactores!$E$5</f>
        <v>26202.044524653462</v>
      </c>
      <c r="I136" s="56">
        <f>9819.8241768088*Deflactores!$F$5</f>
        <v>27010.54967716954</v>
      </c>
      <c r="J136" s="56">
        <f>11179.4201385227*Deflactores!$G$5</f>
        <v>29432.310240201699</v>
      </c>
      <c r="K136" s="56">
        <f>13274.8979811172*Deflactores!$H$5</f>
        <v>33066.180922439082</v>
      </c>
      <c r="L136" s="56">
        <f>17009.9891571538*Deflactores!$I$5</f>
        <v>39349.981934034528</v>
      </c>
      <c r="M136" s="56">
        <f>18234.1431494603*Deflactores!$J$5</f>
        <v>41354.044496864401</v>
      </c>
      <c r="N136" s="56">
        <f>18400.8529627626*Deflactores!$K$5</f>
        <v>40449.393139279775</v>
      </c>
      <c r="O136" s="56">
        <f>19391.8761238075*Deflactores!$L$5</f>
        <v>41096.362567011776</v>
      </c>
      <c r="P136" s="56">
        <f>21558.9908643047*Deflactores!$M$5</f>
        <v>44600.775973529511</v>
      </c>
      <c r="Q136" s="56">
        <f>23887.0953746789*Deflactores!$N$5</f>
        <v>48476.661215484288</v>
      </c>
      <c r="R136" s="56">
        <f>24363.9853398935*Deflactores!$O$5</f>
        <v>47698.693325642977</v>
      </c>
      <c r="S136" s="56">
        <f>24563.6812411282*Deflactores!$P$5</f>
        <v>45040.412854110808</v>
      </c>
      <c r="T136" s="56">
        <f>26369.5199524868*Deflactores!$Q$5</f>
        <v>45722.583046871616</v>
      </c>
      <c r="U136" s="56">
        <f>27482.0874547281*Deflactores!$R$5</f>
        <v>45779.309991630085</v>
      </c>
      <c r="V136" s="56">
        <f>28105.2096440684*Deflactores!$S$5</f>
        <v>45374.393263770609</v>
      </c>
    </row>
    <row r="137" spans="3:22" x14ac:dyDescent="0.2">
      <c r="C137" s="88" t="s">
        <v>130</v>
      </c>
      <c r="D137" s="57">
        <f>26.603475762*Deflactores!$A$5</f>
        <v>99.281925487826712</v>
      </c>
      <c r="E137" s="57">
        <f>41.29602211315*Deflactores!$B$5</f>
        <v>143.16367493012712</v>
      </c>
      <c r="F137" s="57">
        <f>16.20004219035*Deflactores!$C$5</f>
        <v>52.491635657549864</v>
      </c>
      <c r="G137" s="57">
        <f>15.29404016637*Deflactores!$D$5</f>
        <v>46.535223685598204</v>
      </c>
      <c r="H137" s="57">
        <f>64.21998445681*Deflactores!$E$5</f>
        <v>185.22079176663343</v>
      </c>
      <c r="I137" s="57">
        <f>52.4251838845*Deflactores!$F$5</f>
        <v>144.20146513328012</v>
      </c>
      <c r="J137" s="57">
        <f>74.44447077347*Deflactores!$G$5</f>
        <v>195.99162857492675</v>
      </c>
      <c r="K137" s="57">
        <f>61.98720067825*Deflactores!$H$5</f>
        <v>154.4026926171567</v>
      </c>
      <c r="L137" s="57">
        <f>128.02979135131*Deflactores!$I$5</f>
        <v>296.17714215728745</v>
      </c>
      <c r="M137" s="57">
        <f>109.10136194885*Deflactores!$J$5</f>
        <v>247.43595241736341</v>
      </c>
      <c r="N137" s="57">
        <f>122.24055765635*Deflactores!$K$5</f>
        <v>268.71343324207237</v>
      </c>
      <c r="O137" s="57">
        <f>143.29676863781*Deflactores!$L$5</f>
        <v>303.68263086162756</v>
      </c>
      <c r="P137" s="57">
        <f>281.167887662789*Deflactores!$M$5</f>
        <v>581.67407034628854</v>
      </c>
      <c r="Q137" s="57">
        <f>344.95288635995*Deflactores!$N$5</f>
        <v>700.05012937239701</v>
      </c>
      <c r="R137" s="57">
        <f>314.724108423019*Deflactores!$O$5</f>
        <v>616.15242828419844</v>
      </c>
      <c r="S137" s="57">
        <f>378.48716233881*Deflactores!$P$5</f>
        <v>694.00094734896049</v>
      </c>
      <c r="T137" s="57">
        <f>287.10083077556*Deflactores!$Q$5</f>
        <v>497.80927379845701</v>
      </c>
      <c r="U137" s="57">
        <f>470.91748321387*Deflactores!$R$5</f>
        <v>784.44832402340171</v>
      </c>
      <c r="V137" s="57">
        <f>402.916937432419*Deflactores!$S$5</f>
        <v>650.4883544090934</v>
      </c>
    </row>
    <row r="138" spans="3:22" x14ac:dyDescent="0.2">
      <c r="C138" s="87" t="s">
        <v>131</v>
      </c>
      <c r="D138" s="56">
        <f>4803.05319550981*Deflactores!$A$5</f>
        <v>17924.589017492497</v>
      </c>
      <c r="E138" s="56">
        <f>7252.29680108901*Deflactores!$B$5</f>
        <v>25142.021158432355</v>
      </c>
      <c r="F138" s="56">
        <f>8446.17883693538*Deflactores!$C$5</f>
        <v>27367.44367684524</v>
      </c>
      <c r="G138" s="56">
        <f>9513.82289543656*Deflactores!$D$5</f>
        <v>28947.738578444325</v>
      </c>
      <c r="H138" s="56">
        <f>11163.1452051335*Deflactores!$E$5</f>
        <v>32196.311023576833</v>
      </c>
      <c r="I138" s="56">
        <f>12113.4045782777*Deflactores!$F$5</f>
        <v>33319.304931542203</v>
      </c>
      <c r="J138" s="56">
        <f>12972.3391963743*Deflactores!$G$5</f>
        <v>34152.568472953979</v>
      </c>
      <c r="K138" s="56">
        <f>14212.0325022367*Deflactores!$H$5</f>
        <v>35400.470772958361</v>
      </c>
      <c r="L138" s="56">
        <f>16102.5659931238*Deflactores!$I$5</f>
        <v>37250.798637607339</v>
      </c>
      <c r="M138" s="56">
        <f>18441.1636481761*Deflactores!$J$5</f>
        <v>41823.555723439902</v>
      </c>
      <c r="N138" s="56">
        <f>20047.3993184913*Deflactores!$K$5</f>
        <v>44068.888442008363</v>
      </c>
      <c r="O138" s="56">
        <f>21630.5257947183*Deflactores!$L$5</f>
        <v>45840.635784770355</v>
      </c>
      <c r="P138" s="56">
        <f>22672.737550085*Deflactores!$M$5</f>
        <v>46904.871129764004</v>
      </c>
      <c r="Q138" s="56">
        <f>25105.0376133367*Deflactores!$N$5</f>
        <v>50948.362875202569</v>
      </c>
      <c r="R138" s="56">
        <f>26828.165364997*Deflactores!$O$5</f>
        <v>52522.951987633322</v>
      </c>
      <c r="S138" s="56">
        <f>28970.7400387485*Deflactores!$P$5</f>
        <v>53121.276050821245</v>
      </c>
      <c r="T138" s="56">
        <f>31285.818301969*Deflactores!$Q$5</f>
        <v>54247.040828902616</v>
      </c>
      <c r="U138" s="56">
        <f>35498.264548768*Deflactores!$R$5</f>
        <v>59132.555327901711</v>
      </c>
      <c r="V138" s="56">
        <f>37893.7984956726*Deflactores!$S$5</f>
        <v>61177.558786280337</v>
      </c>
    </row>
    <row r="139" spans="3:22" x14ac:dyDescent="0.2">
      <c r="C139" s="88" t="s">
        <v>132</v>
      </c>
      <c r="D139" s="57">
        <f>7.40450548425*Deflactores!$A$5</f>
        <v>27.63298932583713</v>
      </c>
      <c r="E139" s="57">
        <f>7.29339134641*Deflactores!$B$5</f>
        <v>25.284486360325545</v>
      </c>
      <c r="F139" s="57">
        <f>6.98010958237*Deflactores!$C$5</f>
        <v>22.617062643564793</v>
      </c>
      <c r="G139" s="57">
        <f>6.95238889795*Deflactores!$D$5</f>
        <v>21.154055370325477</v>
      </c>
      <c r="H139" s="57">
        <f>7.62537307432*Deflactores!$E$5</f>
        <v>21.992805670817116</v>
      </c>
      <c r="I139" s="57">
        <f>8.07079730984*Deflactores!$F$5</f>
        <v>22.199651210317612</v>
      </c>
      <c r="J139" s="57">
        <f>8.64039633757*Deflactores!$G$5</f>
        <v>22.747765309343496</v>
      </c>
      <c r="K139" s="57">
        <f>11.94799093916*Deflactores!$H$5</f>
        <v>29.76101440597877</v>
      </c>
      <c r="L139" s="57">
        <f>12.52627463819*Deflactores!$I$5</f>
        <v>28.977601111887331</v>
      </c>
      <c r="M139" s="57">
        <f>10.84248966338*Deflactores!$J$5</f>
        <v>24.590176589102857</v>
      </c>
      <c r="N139" s="57">
        <f>12.5078455849*Deflactores!$K$5</f>
        <v>27.495179946977128</v>
      </c>
      <c r="O139" s="57">
        <f>14.9834368070599*Deflactores!$L$5</f>
        <v>31.753748198033591</v>
      </c>
      <c r="P139" s="57">
        <f>24.15015796679*Deflactores!$M$5</f>
        <v>49.961326667916282</v>
      </c>
      <c r="Q139" s="57">
        <f>23.15240753756*Deflactores!$N$5</f>
        <v>46.985679879306304</v>
      </c>
      <c r="R139" s="57">
        <f>27.59831932885*Deflactores!$O$5</f>
        <v>54.030724103847916</v>
      </c>
      <c r="S139" s="57">
        <f>27.55964734461*Deflactores!$P$5</f>
        <v>50.533870812350628</v>
      </c>
      <c r="T139" s="57">
        <f>35.99369851027*Deflactores!$Q$5</f>
        <v>62.410118662197256</v>
      </c>
      <c r="U139" s="57">
        <f>40.88744353051*Deflactores!$R$5</f>
        <v>68.109780788375204</v>
      </c>
      <c r="V139" s="57">
        <f>40.6103185210099*Deflactores!$S$5</f>
        <v>65.563238505434356</v>
      </c>
    </row>
    <row r="140" spans="3:22" x14ac:dyDescent="0.2">
      <c r="C140" s="87" t="s">
        <v>133</v>
      </c>
      <c r="D140" s="56">
        <f>621.37803659734*Deflactores!$A$5</f>
        <v>2318.930371397129</v>
      </c>
      <c r="E140" s="56">
        <f>653.47315880602*Deflactores!$B$5</f>
        <v>2265.4389961951774</v>
      </c>
      <c r="F140" s="56">
        <f>677.8079214239*Deflactores!$C$5</f>
        <v>2196.2440615357345</v>
      </c>
      <c r="G140" s="56">
        <f>708.459427648019*Deflactores!$D$5</f>
        <v>2155.6317087662246</v>
      </c>
      <c r="H140" s="56">
        <f>750.68621175725*Deflactores!$E$5</f>
        <v>2165.1000959597427</v>
      </c>
      <c r="I140" s="56">
        <f>843.987911636809*Deflactores!$F$5</f>
        <v>2321.4852938033901</v>
      </c>
      <c r="J140" s="56">
        <f>914.05535962166*Deflactores!$G$5</f>
        <v>2406.4540546607354</v>
      </c>
      <c r="K140" s="56">
        <f>1078.98247458147*Deflactores!$H$5</f>
        <v>2687.6161133141386</v>
      </c>
      <c r="L140" s="56">
        <f>1231.85584145262*Deflactores!$I$5</f>
        <v>2849.7081719837115</v>
      </c>
      <c r="M140" s="56">
        <f>1415.54741033962*Deflactores!$J$5</f>
        <v>3210.3845031148867</v>
      </c>
      <c r="N140" s="56">
        <f>1465.19943727986*Deflactores!$K$5</f>
        <v>3220.8522173358328</v>
      </c>
      <c r="O140" s="56">
        <f>1585.27986689963*Deflactores!$L$5</f>
        <v>3359.6149111280333</v>
      </c>
      <c r="P140" s="56">
        <f>1858.98029403109*Deflactores!$M$5</f>
        <v>3845.8183945225519</v>
      </c>
      <c r="Q140" s="56">
        <f>2144.07791018129*Deflactores!$N$5</f>
        <v>4351.2087527242575</v>
      </c>
      <c r="R140" s="56">
        <f>2429.000364476*Deflactores!$O$5</f>
        <v>4755.3855355226615</v>
      </c>
      <c r="S140" s="56">
        <f>2705.3494564265*Deflactores!$P$5</f>
        <v>4960.5779864979759</v>
      </c>
      <c r="T140" s="56">
        <f>3076.98586252312*Deflactores!$Q$5</f>
        <v>5335.2409102159472</v>
      </c>
      <c r="U140" s="56">
        <f>3384.05351805426*Deflactores!$R$5</f>
        <v>5637.1130936278096</v>
      </c>
      <c r="V140" s="56">
        <f>3423.72383001481*Deflactores!$S$5</f>
        <v>5527.4233303013762</v>
      </c>
    </row>
    <row r="141" spans="3:22" x14ac:dyDescent="0.2">
      <c r="C141" s="88" t="s">
        <v>134</v>
      </c>
      <c r="D141" s="57">
        <f>6422.74364067031*Deflactores!$A$5</f>
        <v>23969.137012963914</v>
      </c>
      <c r="E141" s="57">
        <f>6371.76234667121*Deflactores!$B$5</f>
        <v>22089.413620310545</v>
      </c>
      <c r="F141" s="57">
        <f>5045.68482714042*Deflactores!$C$5</f>
        <v>16349.108630522658</v>
      </c>
      <c r="G141" s="57">
        <f>4478.51194520436*Deflactores!$D$5</f>
        <v>13626.78225515434</v>
      </c>
      <c r="H141" s="57">
        <f>5026.01335591412*Deflactores!$E$5</f>
        <v>14495.833050818672</v>
      </c>
      <c r="I141" s="57">
        <f>6191.14512643601*Deflactores!$F$5</f>
        <v>17029.452868524819</v>
      </c>
      <c r="J141" s="57">
        <f>5375.47923871345*Deflactores!$G$5</f>
        <v>14152.1448056504</v>
      </c>
      <c r="K141" s="57">
        <f>6314.91043750468*Deflactores!$H$5</f>
        <v>15729.685556344706</v>
      </c>
      <c r="L141" s="57">
        <f>6415.45010543613*Deflactores!$I$5</f>
        <v>14841.15265537609</v>
      </c>
      <c r="M141" s="57">
        <f>6300.18514716519*Deflactores!$J$5</f>
        <v>14288.477104670803</v>
      </c>
      <c r="N141" s="57">
        <f>7288.34073588922*Deflactores!$K$5</f>
        <v>16021.483371211601</v>
      </c>
      <c r="O141" s="57">
        <f>8015.10273975544*Deflactores!$L$5</f>
        <v>16986.059837729852</v>
      </c>
      <c r="P141" s="57">
        <f>9225.06006821759*Deflactores!$M$5</f>
        <v>19084.60558449219</v>
      </c>
      <c r="Q141" s="57">
        <f>11949.9928936194*Deflactores!$N$5</f>
        <v>24251.410560595192</v>
      </c>
      <c r="R141" s="57">
        <f>11865.2409846579*Deflactores!$O$5</f>
        <v>23229.224737520759</v>
      </c>
      <c r="S141" s="57">
        <f>15262.6708485752*Deflactores!$P$5</f>
        <v>27985.910968638473</v>
      </c>
      <c r="T141" s="57">
        <f>15512.2405373538*Deflactores!$Q$5</f>
        <v>26896.95176439191</v>
      </c>
      <c r="U141" s="57">
        <f>18950.5814509122*Deflactores!$R$5</f>
        <v>31567.636344658007</v>
      </c>
      <c r="V141" s="57">
        <f>10510.2364646274*Deflactores!$S$5</f>
        <v>16968.227907948534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53.9438740912599*Deflactores!$A$5</f>
        <v>201.31398378038642</v>
      </c>
      <c r="E143" s="57">
        <f>129.14848443165*Deflactores!$B$5</f>
        <v>447.7276671402135</v>
      </c>
      <c r="F143" s="57">
        <f>73.44060329751*Deflactores!$C$5</f>
        <v>237.96341672862411</v>
      </c>
      <c r="G143" s="57">
        <f>94.96305858495*Deflactores!$D$5</f>
        <v>288.94439435541796</v>
      </c>
      <c r="H143" s="57">
        <f>132.46646337178*Deflactores!$E$5</f>
        <v>382.05464289309788</v>
      </c>
      <c r="I143" s="57">
        <f>282.42553669737*Deflactores!$F$5</f>
        <v>776.84374503176139</v>
      </c>
      <c r="J143" s="57">
        <f>978.975286020329*Deflactores!$G$5</f>
        <v>2577.37020155037</v>
      </c>
      <c r="K143" s="57">
        <f>1415.2149180058*Deflactores!$H$5</f>
        <v>3525.1308589699838</v>
      </c>
      <c r="L143" s="57">
        <f>1707.70671968937*Deflactores!$I$5</f>
        <v>3950.5156615661263</v>
      </c>
      <c r="M143" s="57">
        <f>1937.07071938023*Deflactores!$J$5</f>
        <v>4393.1709906091291</v>
      </c>
      <c r="N143" s="57">
        <f>2736.25918477859*Deflactores!$K$5</f>
        <v>6014.9398356725687</v>
      </c>
      <c r="O143" s="57">
        <f>3119.30618148277*Deflactores!$L$5</f>
        <v>6610.6103903146768</v>
      </c>
      <c r="P143" s="57">
        <f>4911.46759509363*Deflactores!$M$5</f>
        <v>10160.738380046876</v>
      </c>
      <c r="Q143" s="57">
        <f>5227.96582586098*Deflactores!$N$5</f>
        <v>10609.675400511062</v>
      </c>
      <c r="R143" s="57">
        <f>7657.18601168751*Deflactores!$O$5</f>
        <v>14990.887665280556</v>
      </c>
      <c r="S143" s="57">
        <f>8878.75118774026*Deflactores!$P$5</f>
        <v>16280.239724621204</v>
      </c>
      <c r="T143" s="57">
        <f>7027.32346001561*Deflactores!$Q$5</f>
        <v>12184.802039503635</v>
      </c>
      <c r="U143" s="57">
        <f>8225.93666496364*Deflactores!$R$5</f>
        <v>13702.660148259542</v>
      </c>
      <c r="V143" s="57">
        <f>7563.95818923557*Deflactores!$S$5</f>
        <v>12211.615492486726</v>
      </c>
    </row>
    <row r="144" spans="3:22" x14ac:dyDescent="0.2">
      <c r="C144" s="87" t="s">
        <v>137</v>
      </c>
      <c r="D144" s="56">
        <f>52.15776226782*Deflactores!$A$5</f>
        <v>194.64836525166095</v>
      </c>
      <c r="E144" s="56">
        <f>49.53838383046*Deflactores!$B$5</f>
        <v>171.738020185956</v>
      </c>
      <c r="F144" s="56">
        <f>51.5710277378599*Deflactores!$C$5</f>
        <v>167.10126842223085</v>
      </c>
      <c r="G144" s="56">
        <f>45.0607128328199*Deflactores!$D$5</f>
        <v>137.10637139025351</v>
      </c>
      <c r="H144" s="56">
        <f>70.10503070367*Deflactores!$E$5</f>
        <v>202.19421420898462</v>
      </c>
      <c r="I144" s="56">
        <f>147.21931461414*Deflactores!$F$5</f>
        <v>404.94356510121713</v>
      </c>
      <c r="J144" s="56">
        <f>80.2399237883099*Deflactores!$G$5</f>
        <v>211.2494477642698</v>
      </c>
      <c r="K144" s="56">
        <f>110.37895819415*Deflactores!$H$5</f>
        <v>274.94076465745769</v>
      </c>
      <c r="L144" s="56">
        <f>126.965699226679*Deflactores!$I$5</f>
        <v>293.71552942529058</v>
      </c>
      <c r="M144" s="56">
        <f>117.855386439*Deflactores!$J$5</f>
        <v>267.28960363228322</v>
      </c>
      <c r="N144" s="56">
        <f>146.75654274969*Deflactores!$K$5</f>
        <v>322.60532190853939</v>
      </c>
      <c r="O144" s="56">
        <f>175.73268651637*Deflactores!$L$5</f>
        <v>372.42266575152627</v>
      </c>
      <c r="P144" s="56">
        <f>236.349555700429*Deflactores!$M$5</f>
        <v>488.95487045692198</v>
      </c>
      <c r="Q144" s="56">
        <f>300.973418669879*Deflactores!$N$5</f>
        <v>610.79784807959163</v>
      </c>
      <c r="R144" s="56">
        <f>508.07313271056*Deflactores!$O$5</f>
        <v>994.68228231439412</v>
      </c>
      <c r="S144" s="56">
        <f>313.49406574337*Deflactores!$P$5</f>
        <v>574.82842289752091</v>
      </c>
      <c r="T144" s="56">
        <f>282.12197816016*Deflactores!$Q$5</f>
        <v>489.1763520541121</v>
      </c>
      <c r="U144" s="56">
        <f>304.12363144928*Deflactores!$R$5</f>
        <v>506.60525780044304</v>
      </c>
      <c r="V144" s="56">
        <f>525.612777752479*Deflactores!$S$5</f>
        <v>848.57438119972346</v>
      </c>
    </row>
    <row r="145" spans="3:22" x14ac:dyDescent="0.2">
      <c r="C145" s="88" t="s">
        <v>138</v>
      </c>
      <c r="D145" s="57">
        <f>139.684338949539*Deflactores!$A$5</f>
        <v>521.29015980736961</v>
      </c>
      <c r="E145" s="57">
        <f>163.66972713332*Deflactores!$B$5</f>
        <v>567.40476230411207</v>
      </c>
      <c r="F145" s="57">
        <f>160.163848409939*Deflactores!$C$5</f>
        <v>518.96546178463541</v>
      </c>
      <c r="G145" s="57">
        <f>170.93427034018*Deflactores!$D$5</f>
        <v>520.10223716463292</v>
      </c>
      <c r="H145" s="57">
        <f>182.28205063031*Deflactores!$E$5</f>
        <v>525.73083017947317</v>
      </c>
      <c r="I145" s="57">
        <f>210.4206509236*Deflactores!$F$5</f>
        <v>578.78607015154023</v>
      </c>
      <c r="J145" s="57">
        <f>213.248229616399*Deflactores!$G$5</f>
        <v>561.42339893069027</v>
      </c>
      <c r="K145" s="57">
        <f>219.565958508789*Deflactores!$H$5</f>
        <v>546.91250499910518</v>
      </c>
      <c r="L145" s="57">
        <f>277.047934173599*Deflactores!$I$5</f>
        <v>640.90759281923374</v>
      </c>
      <c r="M145" s="57">
        <f>235.32379884835*Deflactores!$J$5</f>
        <v>533.70157122156149</v>
      </c>
      <c r="N145" s="57">
        <f>243.1875267064*Deflactores!$K$5</f>
        <v>534.5832551470719</v>
      </c>
      <c r="O145" s="57">
        <f>250.596835109599*Deflactores!$L$5</f>
        <v>531.07901102802964</v>
      </c>
      <c r="P145" s="57">
        <f>146.34905700431*Deflactores!$M$5</f>
        <v>302.76377713920618</v>
      </c>
      <c r="Q145" s="57">
        <f>153.50597432922*Deflactores!$N$5</f>
        <v>311.52624441725192</v>
      </c>
      <c r="R145" s="57">
        <f>94.67101905836*Deflactores!$O$5</f>
        <v>185.34258011955257</v>
      </c>
      <c r="S145" s="57">
        <f>77.52076228428*Deflactores!$P$5</f>
        <v>142.14348019641486</v>
      </c>
      <c r="T145" s="57">
        <f>91.51380185266*Deflactores!$Q$5</f>
        <v>158.67742047191123</v>
      </c>
      <c r="U145" s="57">
        <f>90.8893260906499*Deflactores!$R$5</f>
        <v>151.4022776067678</v>
      </c>
      <c r="V145" s="57">
        <f>91.984617962*Deflactores!$S$5</f>
        <v>148.50436209097464</v>
      </c>
    </row>
    <row r="146" spans="3:22" x14ac:dyDescent="0.2">
      <c r="C146" s="87" t="s">
        <v>139</v>
      </c>
      <c r="D146" s="56">
        <f>406.52856989331*Deflactores!$A$5</f>
        <v>1517.1303007884148</v>
      </c>
      <c r="E146" s="56">
        <f>477.538254951469*Deflactores!$B$5</f>
        <v>1655.5137274784213</v>
      </c>
      <c r="F146" s="56">
        <f>465.481459095279*Deflactores!$C$5</f>
        <v>1508.2604643294569</v>
      </c>
      <c r="G146" s="56">
        <f>507.829281391689*Deflactores!$D$5</f>
        <v>1545.173737389747</v>
      </c>
      <c r="H146" s="56">
        <f>635.525794427449*Deflactores!$E$5</f>
        <v>1832.9588807536431</v>
      </c>
      <c r="I146" s="56">
        <f>739.419950102909*Deflactores!$F$5</f>
        <v>2033.8591541906098</v>
      </c>
      <c r="J146" s="56">
        <f>853.898149398979*Deflactores!$G$5</f>
        <v>2248.0768175124626</v>
      </c>
      <c r="K146" s="56">
        <f>974.45366554609*Deflactores!$H$5</f>
        <v>2427.2473695326462</v>
      </c>
      <c r="L146" s="56">
        <f>1169.64360324946*Deflactores!$I$5</f>
        <v>2705.7897704637057</v>
      </c>
      <c r="M146" s="56">
        <f>1297.58647593477*Deflactores!$J$5</f>
        <v>2942.8555224391894</v>
      </c>
      <c r="N146" s="56">
        <f>2013.56417317411*Deflactores!$K$5</f>
        <v>4426.2865975132672</v>
      </c>
      <c r="O146" s="56">
        <f>5589.69451416272*Deflactores!$L$5</f>
        <v>11845.997309710758</v>
      </c>
      <c r="P146" s="56">
        <f>1573.64960233017*Deflactores!$M$5</f>
        <v>3255.5324048385273</v>
      </c>
      <c r="Q146" s="56">
        <f>2059.44755585329*Deflactores!$N$5</f>
        <v>4179.4592389824675</v>
      </c>
      <c r="R146" s="56">
        <f>2372.12447060542*Deflactores!$O$5</f>
        <v>4644.0365184588354</v>
      </c>
      <c r="S146" s="56">
        <f>2355.90850861985*Deflactores!$P$5</f>
        <v>4319.8367066041965</v>
      </c>
      <c r="T146" s="56">
        <f>2269.5326915814*Deflactores!$Q$5</f>
        <v>3935.183391862794</v>
      </c>
      <c r="U146" s="56">
        <f>2631.36299517481*Deflactores!$R$5</f>
        <v>4383.2908419002651</v>
      </c>
      <c r="V146" s="56">
        <f>2696.73278095779*Deflactores!$S$5</f>
        <v>4353.7342464301864</v>
      </c>
    </row>
    <row r="147" spans="3:22" x14ac:dyDescent="0.2">
      <c r="C147" s="88" t="s">
        <v>140</v>
      </c>
      <c r="D147" s="57">
        <f>309.112771896569*Deflactores!$A$5</f>
        <v>1153.5827672039336</v>
      </c>
      <c r="E147" s="57">
        <f>429.54614996767*Deflactores!$B$5</f>
        <v>1489.136295330416</v>
      </c>
      <c r="F147" s="57">
        <f>319.09515175375*Deflactores!$C$5</f>
        <v>1033.937211344173</v>
      </c>
      <c r="G147" s="57">
        <f>380.698772969659*Deflactores!$D$5</f>
        <v>1158.353343149397</v>
      </c>
      <c r="H147" s="57">
        <f>606.52980261533*Deflactores!$E$5</f>
        <v>1749.3297642578048</v>
      </c>
      <c r="I147" s="57">
        <f>586.78128322673*Deflactores!$F$5</f>
        <v>1614.0090407789264</v>
      </c>
      <c r="J147" s="57">
        <f>533.616496252209*Deflactores!$G$5</f>
        <v>1404.8641228595823</v>
      </c>
      <c r="K147" s="57">
        <f>2328.31024334159*Deflactores!$H$5</f>
        <v>5799.541951991856</v>
      </c>
      <c r="L147" s="57">
        <f>1455.81547979564*Deflactores!$I$5</f>
        <v>3367.8041943462172</v>
      </c>
      <c r="M147" s="57">
        <f>6113.57351646796*Deflactores!$J$5</f>
        <v>13865.252080263002</v>
      </c>
      <c r="N147" s="57">
        <f>1067.61759265253*Deflactores!$K$5</f>
        <v>2346.8740180145519</v>
      </c>
      <c r="O147" s="57">
        <f>1598.90016657854*Deflactores!$L$5</f>
        <v>3388.4798218928377</v>
      </c>
      <c r="P147" s="57">
        <f>2033.79039605567*Deflactores!$M$5</f>
        <v>4207.4617686202282</v>
      </c>
      <c r="Q147" s="57">
        <f>2565.06923696795*Deflactores!$N$5</f>
        <v>5205.5718974759448</v>
      </c>
      <c r="R147" s="57">
        <f>2270.49003492363*Deflactores!$O$5</f>
        <v>4445.0612805706123</v>
      </c>
      <c r="S147" s="57">
        <f>2481.56696376745*Deflactores!$P$5</f>
        <v>4550.2463362887456</v>
      </c>
      <c r="T147" s="57">
        <f>2350.45309284813*Deflactores!$Q$5</f>
        <v>4075.4927252814828</v>
      </c>
      <c r="U147" s="57">
        <f>2910.73853743065*Deflactores!$R$5</f>
        <v>4848.6710490653322</v>
      </c>
      <c r="V147" s="57">
        <f>3224.79879246096*Deflactores!$S$5</f>
        <v>5206.2692454079488</v>
      </c>
    </row>
    <row r="148" spans="3:22" x14ac:dyDescent="0.2">
      <c r="C148" s="87" t="s">
        <v>141</v>
      </c>
      <c r="D148" s="56">
        <f>348.52733106389*Deflactores!$A$5</f>
        <v>1300.6745743570048</v>
      </c>
      <c r="E148" s="56">
        <f>342.22287886696*Deflactores!$B$5</f>
        <v>1186.4068856201159</v>
      </c>
      <c r="F148" s="56">
        <f>361.265386798259*Deflactores!$C$5</f>
        <v>1170.5778810128106</v>
      </c>
      <c r="G148" s="56">
        <f>368.78584386511*Deflactores!$D$5</f>
        <v>1122.105836630494</v>
      </c>
      <c r="H148" s="56">
        <f>384.818146240969*Deflactores!$E$5</f>
        <v>1109.8775924004781</v>
      </c>
      <c r="I148" s="56">
        <f>433.848110282999*Deflactores!$F$5</f>
        <v>1193.3488547402169</v>
      </c>
      <c r="J148" s="56">
        <f>494.884624586879*Deflactores!$G$5</f>
        <v>1302.8938552685556</v>
      </c>
      <c r="K148" s="56">
        <f>573.143308498019*Deflactores!$H$5</f>
        <v>1427.6313354903739</v>
      </c>
      <c r="L148" s="56">
        <f>648.33916652427*Deflactores!$I$5</f>
        <v>1499.8324957266377</v>
      </c>
      <c r="M148" s="56">
        <f>736.36788013875*Deflactores!$J$5</f>
        <v>1670.0422845052033</v>
      </c>
      <c r="N148" s="56">
        <f>828.58921965372*Deflactores!$K$5</f>
        <v>1821.4335587903352</v>
      </c>
      <c r="O148" s="56">
        <f>861.591006307649*Deflactores!$L$5</f>
        <v>1825.9324757249653</v>
      </c>
      <c r="P148" s="56">
        <f>1012.69507257343*Deflactores!$M$5</f>
        <v>2095.0417552302001</v>
      </c>
      <c r="Q148" s="56">
        <f>1145.42723750982*Deflactores!$N$5</f>
        <v>2324.5391400166427</v>
      </c>
      <c r="R148" s="56">
        <f>1269.35594018605*Deflactores!$O$5</f>
        <v>2485.086855346231</v>
      </c>
      <c r="S148" s="56">
        <f>1365.24767211733*Deflactores!$P$5</f>
        <v>2503.3429719532533</v>
      </c>
      <c r="T148" s="56">
        <f>1469.62255618039*Deflactores!$Q$5</f>
        <v>2548.2048779646725</v>
      </c>
      <c r="U148" s="56">
        <f>1640.14473966604*Deflactores!$R$5</f>
        <v>2732.1321421453845</v>
      </c>
      <c r="V148" s="56">
        <f>1725.79122920126*Deflactores!$S$5</f>
        <v>2786.199815501845</v>
      </c>
    </row>
    <row r="149" spans="3:22" x14ac:dyDescent="0.2">
      <c r="C149" s="88" t="s">
        <v>142</v>
      </c>
      <c r="D149" s="57">
        <f>90.85086018341*Deflactores!$A$5</f>
        <v>339.0477399241978</v>
      </c>
      <c r="E149" s="57">
        <f>270.11666876848*Deflactores!$B$5</f>
        <v>936.43147649481261</v>
      </c>
      <c r="F149" s="57">
        <f>98.0478043774*Deflactores!$C$5</f>
        <v>317.69606300574759</v>
      </c>
      <c r="G149" s="57">
        <f>92.0517962751*Deflactores!$D$5</f>
        <v>280.08628745085917</v>
      </c>
      <c r="H149" s="57">
        <f>197.501602051*Deflactores!$E$5</f>
        <v>569.62647089500524</v>
      </c>
      <c r="I149" s="57">
        <f>66.74394121854*Deflactores!$F$5</f>
        <v>183.5868450874159</v>
      </c>
      <c r="J149" s="57">
        <f>94.6162414064799*Deflactores!$G$5</f>
        <v>249.09830173046231</v>
      </c>
      <c r="K149" s="57">
        <f>251.21669781646*Deflactores!$H$5</f>
        <v>625.75070577210465</v>
      </c>
      <c r="L149" s="57">
        <f>230.71571702653*Deflactores!$I$5</f>
        <v>533.72516660738825</v>
      </c>
      <c r="M149" s="57">
        <f>405.44593803201*Deflactores!$J$5</f>
        <v>919.52932611176414</v>
      </c>
      <c r="N149" s="57">
        <f>474.437219161439*Deflactores!$K$5</f>
        <v>1042.9243490290085</v>
      </c>
      <c r="O149" s="57">
        <f>338.07461712564*Deflactores!$L$5</f>
        <v>716.46688290472855</v>
      </c>
      <c r="P149" s="57">
        <f>497.118346258096*Deflactores!$M$5</f>
        <v>1028.4277280574784</v>
      </c>
      <c r="Q149" s="57">
        <f>339.42556425911*Deflactores!$N$5</f>
        <v>688.83293796806606</v>
      </c>
      <c r="R149" s="57">
        <f>325.84543045428*Deflactores!$O$5</f>
        <v>637.92524260600987</v>
      </c>
      <c r="S149" s="57">
        <f>290.198030009343*Deflactores!$P$5</f>
        <v>532.1123879097413</v>
      </c>
      <c r="T149" s="57">
        <f>374.654490555369*Deflactores!$Q$5</f>
        <v>649.6201329856126</v>
      </c>
      <c r="U149" s="57">
        <f>415.51293292955*Deflactores!$R$5</f>
        <v>692.15613236980244</v>
      </c>
      <c r="V149" s="57">
        <f>251.050426071488*Deflactores!$S$5</f>
        <v>405.30780256994063</v>
      </c>
    </row>
    <row r="150" spans="3:22" x14ac:dyDescent="0.2">
      <c r="C150" s="87" t="s">
        <v>143</v>
      </c>
      <c r="D150" s="56">
        <f>761.44450446958*Deflactores!$A$5</f>
        <v>2841.6466040819582</v>
      </c>
      <c r="E150" s="56">
        <f>512.96438136608*Deflactores!$B$5</f>
        <v>1778.3278433794285</v>
      </c>
      <c r="F150" s="56">
        <f>593.26046287281*Deflactores!$C$5</f>
        <v>1922.2920348750108</v>
      </c>
      <c r="G150" s="56">
        <f>495.3950351705*Deflactores!$D$5</f>
        <v>1507.3400176551029</v>
      </c>
      <c r="H150" s="56">
        <f>609.11668188007*Deflactores!$E$5</f>
        <v>1756.7907412367399</v>
      </c>
      <c r="I150" s="56">
        <f>573.97672880661*Deflactores!$F$5</f>
        <v>1578.788649147529</v>
      </c>
      <c r="J150" s="56">
        <f>194.720018907709*Deflactores!$G$5</f>
        <v>512.64376286576885</v>
      </c>
      <c r="K150" s="56">
        <f>351.79594114575*Deflactores!$H$5</f>
        <v>876.28155442337504</v>
      </c>
      <c r="L150" s="56">
        <f>311.87358812064*Deflactores!$I$5</f>
        <v>721.4713627896964</v>
      </c>
      <c r="M150" s="56">
        <f>288.33534932997*Deflactores!$J$5</f>
        <v>653.92888322056672</v>
      </c>
      <c r="N150" s="56">
        <f>280.11018148782*Deflactores!$K$5</f>
        <v>615.74791539526404</v>
      </c>
      <c r="O150" s="56">
        <f>290.21996289474*Deflactores!$L$5</f>
        <v>615.05058835767431</v>
      </c>
      <c r="P150" s="56">
        <f>834.5322593546*Deflactores!$M$5</f>
        <v>1726.462364422842</v>
      </c>
      <c r="Q150" s="56">
        <f>585.73813599634*Deflactores!$N$5</f>
        <v>1188.7016288210191</v>
      </c>
      <c r="R150" s="56">
        <f>642.746154863789*Deflactores!$O$5</f>
        <v>1258.3389498632046</v>
      </c>
      <c r="S150" s="56">
        <f>655.77612519081*Deflactores!$P$5</f>
        <v>1202.4430348415701</v>
      </c>
      <c r="T150" s="56">
        <f>718.08801970011*Deflactores!$Q$5</f>
        <v>1245.1056816681082</v>
      </c>
      <c r="U150" s="56">
        <f>1131.63673761574*Deflactores!$R$5</f>
        <v>1885.066012345985</v>
      </c>
      <c r="V150" s="56">
        <f>558.64661362711*Deflactores!$S$5</f>
        <v>901.90578413066373</v>
      </c>
    </row>
    <row r="151" spans="3:22" x14ac:dyDescent="0.2">
      <c r="C151" s="88" t="s">
        <v>144</v>
      </c>
      <c r="D151" s="57">
        <f>693.18703127138*Deflactores!$A$5</f>
        <v>2586.9154768910212</v>
      </c>
      <c r="E151" s="57">
        <f>773.71666460527*Deflactores!$B$5</f>
        <v>2682.29517981343</v>
      </c>
      <c r="F151" s="57">
        <f>763.19454848389*Deflactores!$C$5</f>
        <v>2472.9151754128306</v>
      </c>
      <c r="G151" s="57">
        <f>781.96057965096*Deflactores!$D$5</f>
        <v>2379.2738930679961</v>
      </c>
      <c r="H151" s="57">
        <f>864.50179858742*Deflactores!$E$5</f>
        <v>2493.3626031275194</v>
      </c>
      <c r="I151" s="57">
        <f>1018.29315099037*Deflactores!$F$5</f>
        <v>2800.9317932294416</v>
      </c>
      <c r="J151" s="57">
        <f>1145.28599044168*Deflactores!$G$5</f>
        <v>3015.2201247255912</v>
      </c>
      <c r="K151" s="57">
        <f>1275.61400602996*Deflactores!$H$5</f>
        <v>3177.4017073865425</v>
      </c>
      <c r="L151" s="57">
        <f>1413.89589815147*Deflactores!$I$5</f>
        <v>3270.8297186343007</v>
      </c>
      <c r="M151" s="57">
        <f>1621.13184757084*Deflactores!$J$5</f>
        <v>3676.6388203831116</v>
      </c>
      <c r="N151" s="57">
        <f>1714.92936138701*Deflactores!$K$5</f>
        <v>3769.8171973448925</v>
      </c>
      <c r="O151" s="57">
        <f>1870.43706018619*Deflactores!$L$5</f>
        <v>3963.9361912907375</v>
      </c>
      <c r="P151" s="57">
        <f>2245.8668583066*Deflactores!$M$5</f>
        <v>4646.2009861303277</v>
      </c>
      <c r="Q151" s="57">
        <f>2665.00103771408*Deflactores!$N$5</f>
        <v>5408.374288199374</v>
      </c>
      <c r="R151" s="57">
        <f>2936.89060138028*Deflactores!$O$5</f>
        <v>5749.7097528139248</v>
      </c>
      <c r="S151" s="57">
        <f>3112.78532762755*Deflactores!$P$5</f>
        <v>5707.6598131316596</v>
      </c>
      <c r="T151" s="57">
        <f>3392.37363584261*Deflactores!$Q$5</f>
        <v>5882.097420442572</v>
      </c>
      <c r="U151" s="57">
        <f>3690.34656984302*Deflactores!$R$5</f>
        <v>6147.3321440990894</v>
      </c>
      <c r="V151" s="57">
        <f>4064.04925052754*Deflactores!$S$5</f>
        <v>6561.195282728916</v>
      </c>
    </row>
    <row r="152" spans="3:22" x14ac:dyDescent="0.2">
      <c r="C152" s="87" t="s">
        <v>145</v>
      </c>
      <c r="D152" s="56">
        <f>177.33679243631*Deflactores!$A$5</f>
        <v>661.80593733020953</v>
      </c>
      <c r="E152" s="56">
        <f>127.9117655087*Deflactores!$B$5</f>
        <v>443.44025114212951</v>
      </c>
      <c r="F152" s="56">
        <f>170.28563016976*Deflactores!$C$5</f>
        <v>551.76222083617949</v>
      </c>
      <c r="G152" s="56">
        <f>233.55357986727*Deflactores!$D$5</f>
        <v>710.63420544652831</v>
      </c>
      <c r="H152" s="56">
        <f>131.52460243852*Deflactores!$E$5</f>
        <v>379.33816407006412</v>
      </c>
      <c r="I152" s="56">
        <f>187.81437728384*Deflactores!$F$5</f>
        <v>516.60492859867202</v>
      </c>
      <c r="J152" s="56">
        <f>467.38311832686*Deflactores!$G$5</f>
        <v>1230.4900226647037</v>
      </c>
      <c r="K152" s="56">
        <f>325.35100926236*Deflactores!$H$5</f>
        <v>810.41039643921692</v>
      </c>
      <c r="L152" s="56">
        <f>337.40821311558*Deflactores!$I$5</f>
        <v>780.54177270942625</v>
      </c>
      <c r="M152" s="56">
        <f>376.17067802578*Deflactores!$J$5</f>
        <v>853.13462935899975</v>
      </c>
      <c r="N152" s="56">
        <f>694.00797125235*Deflactores!$K$5</f>
        <v>1525.5923911673756</v>
      </c>
      <c r="O152" s="56">
        <f>542.44112495446*Deflactores!$L$5</f>
        <v>1149.571965087885</v>
      </c>
      <c r="P152" s="56">
        <f>398.68248306786*Deflactores!$M$5</f>
        <v>824.78573435090937</v>
      </c>
      <c r="Q152" s="56">
        <f>527.42353669713*Deflactores!$N$5</f>
        <v>1070.3575175005139</v>
      </c>
      <c r="R152" s="56">
        <f>1062.96284212772*Deflactores!$O$5</f>
        <v>2081.0199118033779</v>
      </c>
      <c r="S152" s="56">
        <f>810.93330338825*Deflactores!$P$5</f>
        <v>1486.9420598326046</v>
      </c>
      <c r="T152" s="56">
        <f>679.63398142729*Deflactores!$Q$5</f>
        <v>1178.4295358154502</v>
      </c>
      <c r="U152" s="56">
        <f>719.707084555689*Deflactores!$R$5</f>
        <v>1198.8788617794312</v>
      </c>
      <c r="V152" s="56">
        <f>1747.24245680992*Deflactores!$S$5</f>
        <v>2820.8317022528272</v>
      </c>
    </row>
    <row r="153" spans="3:22" x14ac:dyDescent="0.2">
      <c r="C153" s="88" t="s">
        <v>146</v>
      </c>
      <c r="D153" s="57">
        <f>143.244116595899*Deflactores!$A$5</f>
        <v>534.57494944166103</v>
      </c>
      <c r="E153" s="57">
        <f>152.442711379869*Deflactores!$B$5</f>
        <v>528.48331777953979</v>
      </c>
      <c r="F153" s="57">
        <f>168.0850580005*Deflactores!$C$5</f>
        <v>544.63189171791669</v>
      </c>
      <c r="G153" s="57">
        <f>180.51509950736*Deflactores!$D$5</f>
        <v>549.2538559349689</v>
      </c>
      <c r="H153" s="57">
        <f>176.142750066409*Deflactores!$E$5</f>
        <v>508.02409728383009</v>
      </c>
      <c r="I153" s="57">
        <f>219.4003444181*Deflactores!$F$5</f>
        <v>603.48574428539723</v>
      </c>
      <c r="J153" s="57">
        <f>220.52892572786*Deflactores!$G$5</f>
        <v>580.59145094608471</v>
      </c>
      <c r="K153" s="57">
        <f>208.36990485992*Deflactores!$H$5</f>
        <v>519.02447632291944</v>
      </c>
      <c r="L153" s="57">
        <f>212.67738090085*Deflactores!$I$5</f>
        <v>491.99626283750956</v>
      </c>
      <c r="M153" s="57">
        <f>211.940753573229*Deflactores!$J$5</f>
        <v>480.67009686856068</v>
      </c>
      <c r="N153" s="57">
        <f>219.3036359216*Deflactores!$K$5</f>
        <v>482.08085811118184</v>
      </c>
      <c r="O153" s="57">
        <f>251.760463829558*Deflactores!$L$5</f>
        <v>533.54503893907395</v>
      </c>
      <c r="P153" s="57">
        <f>389.411244287013*Deflactores!$M$5</f>
        <v>805.60559524030293</v>
      </c>
      <c r="Q153" s="57">
        <f>410.398488583789*Deflactores!$N$5</f>
        <v>832.86595470758743</v>
      </c>
      <c r="R153" s="57">
        <f>474.505755259905*Deflactores!$O$5</f>
        <v>928.96560992158868</v>
      </c>
      <c r="S153" s="57">
        <f>595.197097293266*Deflactores!$P$5</f>
        <v>1091.3642270675298</v>
      </c>
      <c r="T153" s="57">
        <f>692.927004814836*Deflactores!$Q$5</f>
        <v>1201.4785472072467</v>
      </c>
      <c r="U153" s="57">
        <f>633.468622061237*Deflactores!$R$5</f>
        <v>1055.2239333014322</v>
      </c>
      <c r="V153" s="57">
        <f>609.30578621268*Deflactores!$S$5</f>
        <v>983.69237275338924</v>
      </c>
    </row>
    <row r="154" spans="3:22" x14ac:dyDescent="0.2">
      <c r="C154" s="90" t="s">
        <v>147</v>
      </c>
      <c r="D154" s="58">
        <f>4582.89957835662*Deflactores!$A$5</f>
        <v>17102.994305221884</v>
      </c>
      <c r="E154" s="58">
        <f>5908.73071266371*Deflactores!$B$5</f>
        <v>20484.190963470024</v>
      </c>
      <c r="F154" s="58">
        <f>6983.61162454552*Deflactores!$C$5</f>
        <v>22628.410016600912</v>
      </c>
      <c r="G154" s="58">
        <f>7790.34633583478*Deflactores!$D$5</f>
        <v>23703.711078483215</v>
      </c>
      <c r="H154" s="58">
        <f>9830.43543399968*Deflactores!$E$5</f>
        <v>28352.56112091925</v>
      </c>
      <c r="I154" s="58">
        <f>12960.4452418627*Deflactores!$F$5</f>
        <v>35649.187168780023</v>
      </c>
      <c r="J154" s="58">
        <f>14666.3931050368*Deflactores!$G$5</f>
        <v>38612.54220912038</v>
      </c>
      <c r="K154" s="58">
        <f>16435.8134706668*Deflactores!$H$5</f>
        <v>40939.642820727131</v>
      </c>
      <c r="L154" s="58">
        <f>18293.5902160627*Deflactores!$I$5</f>
        <v>42319.394672156719</v>
      </c>
      <c r="M154" s="58">
        <f>20772.9258817255*Deflactores!$J$5</f>
        <v>47111.865592015427</v>
      </c>
      <c r="N154" s="58">
        <f>21657.5762143991*Deflactores!$K$5</f>
        <v>47608.435136836219</v>
      </c>
      <c r="O154" s="58">
        <f>23701.1242536732*Deflactores!$L$5</f>
        <v>50228.765352875213</v>
      </c>
      <c r="P154" s="58">
        <f>26383.9057952277*Deflactores!$M$5</f>
        <v>54582.456066067309</v>
      </c>
      <c r="Q154" s="58">
        <f>27786.2679619603*Deflactores!$N$5</f>
        <v>56389.67305595737</v>
      </c>
      <c r="R154" s="58">
        <f>33462.1116916858*Deflactores!$O$5</f>
        <v>65510.587916693854</v>
      </c>
      <c r="S154" s="58">
        <f>30877.953514013*Deflactores!$P$5</f>
        <v>56618.377380364924</v>
      </c>
      <c r="T154" s="58">
        <f>32512.2676994041*Deflactores!$Q$5</f>
        <v>56373.603410551877</v>
      </c>
      <c r="U154" s="58">
        <f>35431.7442036581*Deflactores!$R$5</f>
        <v>59021.746587315582</v>
      </c>
      <c r="V154" s="58">
        <f>44169.9852951886*Deflactores!$S$5</f>
        <v>71310.13461989371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0.150079299*Deflactores!$R$5</f>
        <v>0.25000017788188478</v>
      </c>
      <c r="V155" s="59">
        <f>120.54937830268*Deflactores!$S$5</f>
        <v>194.62067595582837</v>
      </c>
    </row>
    <row r="156" spans="3:22" x14ac:dyDescent="0.2">
      <c r="C156" s="87" t="s">
        <v>149</v>
      </c>
      <c r="D156" s="56">
        <f>30.98173367111*Deflactores!$A$5</f>
        <v>115.62121436073556</v>
      </c>
      <c r="E156" s="56">
        <f>22.95268081052*Deflactores!$B$5</f>
        <v>79.571589857461973</v>
      </c>
      <c r="F156" s="56">
        <f>15.9431445177699*Deflactores!$C$5</f>
        <v>51.659231712430518</v>
      </c>
      <c r="G156" s="56">
        <f>17.91791950173*Deflactores!$D$5</f>
        <v>54.518909517906124</v>
      </c>
      <c r="H156" s="56">
        <f>19.46000505066*Deflactores!$E$5</f>
        <v>56.125792831513436</v>
      </c>
      <c r="I156" s="56">
        <f>37.52103815616*Deflactores!$F$5</f>
        <v>103.20590743868944</v>
      </c>
      <c r="J156" s="56">
        <f>31.28842709475*Deflactores!$G$5</f>
        <v>82.373744055593335</v>
      </c>
      <c r="K156" s="56">
        <f>36.35329778853*Deflactores!$H$5</f>
        <v>90.551710718433213</v>
      </c>
      <c r="L156" s="56">
        <f>36.99157433791*Deflactores!$I$5</f>
        <v>85.574292167968409</v>
      </c>
      <c r="M156" s="56">
        <f>41.78251954457*Deflactores!$J$5</f>
        <v>94.760480833912766</v>
      </c>
      <c r="N156" s="56">
        <f>109.15932987828*Deflactores!$K$5</f>
        <v>239.95782467270851</v>
      </c>
      <c r="O156" s="56">
        <f>120.59611987467*Deflactores!$L$5</f>
        <v>255.5741298522257</v>
      </c>
      <c r="P156" s="56">
        <f>142.38121663111*Deflactores!$M$5</f>
        <v>294.55519443245129</v>
      </c>
      <c r="Q156" s="56">
        <f>45.45397412115*Deflactores!$N$5</f>
        <v>92.244656363875663</v>
      </c>
      <c r="R156" s="56">
        <f>64.87346086602*Deflactores!$O$5</f>
        <v>127.0062870114547</v>
      </c>
      <c r="S156" s="56">
        <f>66.65550106906*Deflactores!$P$5</f>
        <v>122.22073954132605</v>
      </c>
      <c r="T156" s="56">
        <f>73.80429481003*Deflactores!$Q$5</f>
        <v>127.97058895071601</v>
      </c>
      <c r="U156" s="56">
        <f>77.4136039071799*Deflactores!$R$5</f>
        <v>128.95459184729233</v>
      </c>
      <c r="V156" s="56">
        <f>73.96503099522*Deflactores!$S$5</f>
        <v>119.41267994961935</v>
      </c>
    </row>
    <row r="157" spans="3:22" x14ac:dyDescent="0.2">
      <c r="C157" s="88" t="s">
        <v>150</v>
      </c>
      <c r="D157" s="57">
        <f>525.42086522344*Deflactores!$A$5</f>
        <v>1960.8263092213845</v>
      </c>
      <c r="E157" s="57">
        <f>787.40352863522*Deflactores!$B$5</f>
        <v>2729.7443444672977</v>
      </c>
      <c r="F157" s="57">
        <f>492.14368254742*Deflactores!$C$5</f>
        <v>1594.6518269460089</v>
      </c>
      <c r="G157" s="57">
        <f>357.356206853989*Deflactores!$D$5</f>
        <v>1087.3288444706816</v>
      </c>
      <c r="H157" s="57">
        <f>562.02190754904*Deflactores!$E$5</f>
        <v>1620.9618172118396</v>
      </c>
      <c r="I157" s="57">
        <f>904.34105468814*Deflactores!$F$5</f>
        <v>2487.493517495544</v>
      </c>
      <c r="J157" s="57">
        <f>1185.26824804579*Deflactores!$G$5</f>
        <v>3120.4823114335445</v>
      </c>
      <c r="K157" s="57">
        <f>2084.45928584942*Deflactores!$H$5</f>
        <v>5192.1384231650754</v>
      </c>
      <c r="L157" s="57">
        <f>1602.85799796059*Deflactores!$I$5</f>
        <v>3707.9643425901854</v>
      </c>
      <c r="M157" s="57">
        <f>2675.72399603092*Deflactores!$J$5</f>
        <v>6068.3964300491743</v>
      </c>
      <c r="N157" s="57">
        <f>2457.9874304287*Deflactores!$K$5</f>
        <v>5403.2332145700493</v>
      </c>
      <c r="O157" s="57">
        <f>3828.39656605024*Deflactores!$L$5</f>
        <v>8113.3549082208101</v>
      </c>
      <c r="P157" s="57">
        <f>6256.62593227124*Deflactores!$M$5</f>
        <v>12943.572976666062</v>
      </c>
      <c r="Q157" s="57">
        <f>6875.96548899567*Deflactores!$N$5</f>
        <v>13954.139015693765</v>
      </c>
      <c r="R157" s="57">
        <f>5619.70666891858*Deflactores!$O$5</f>
        <v>11002.004033466132</v>
      </c>
      <c r="S157" s="57">
        <f>4830.01687155519*Deflactores!$P$5</f>
        <v>8856.406816699704</v>
      </c>
      <c r="T157" s="57">
        <f>3821.0082432524*Deflactores!$Q$5</f>
        <v>6625.3146450780596</v>
      </c>
      <c r="U157" s="57">
        <f>3169.69529016965*Deflactores!$R$5</f>
        <v>5280.0378976569236</v>
      </c>
      <c r="V157" s="57">
        <f>2365.47909725908*Deflactores!$S$5</f>
        <v>3818.9424727851128</v>
      </c>
    </row>
    <row r="158" spans="3:22" x14ac:dyDescent="0.2">
      <c r="C158" s="87" t="s">
        <v>151</v>
      </c>
      <c r="D158" s="56">
        <f>115.50451451101*Deflactores!$A$5</f>
        <v>431.05309643673377</v>
      </c>
      <c r="E158" s="56">
        <f>39.86461104246*Deflactores!$B$5</f>
        <v>138.20130667455624</v>
      </c>
      <c r="F158" s="56">
        <f>79.27671387647*Deflactores!$C$5</f>
        <v>256.87367551488978</v>
      </c>
      <c r="G158" s="56">
        <f>53.7919817173*Deflactores!$D$5</f>
        <v>163.67303044034685</v>
      </c>
      <c r="H158" s="56">
        <f>20.60832197886*Deflactores!$E$5</f>
        <v>59.437724038586133</v>
      </c>
      <c r="I158" s="56">
        <f>49.72028344153*Deflactores!$F$5</f>
        <v>136.7613270543128</v>
      </c>
      <c r="J158" s="56">
        <f>139.004059606919*Deflactores!$G$5</f>
        <v>365.95910667142709</v>
      </c>
      <c r="K158" s="56">
        <f>338.46168632449*Deflactores!$H$5</f>
        <v>843.06752272137157</v>
      </c>
      <c r="L158" s="56">
        <f>397.84936249448*Deflactores!$I$5</f>
        <v>920.36303386124439</v>
      </c>
      <c r="M158" s="56">
        <f>657.01831289666*Deflactores!$J$5</f>
        <v>1490.0817836119409</v>
      </c>
      <c r="N158" s="56">
        <f>315.11706956662*Deflactores!$K$5</f>
        <v>692.70127083741068</v>
      </c>
      <c r="O158" s="56">
        <f>960.24870659873*Deflactores!$L$5</f>
        <v>2035.013463830709</v>
      </c>
      <c r="P158" s="56">
        <f>3011.09604453375*Deflactores!$M$5</f>
        <v>6229.2906454813256</v>
      </c>
      <c r="Q158" s="56">
        <f>3478.03563047096*Deflactores!$N$5</f>
        <v>7058.3531529936163</v>
      </c>
      <c r="R158" s="56">
        <f>3668.24190724048*Deflactores!$O$5</f>
        <v>7181.5158044459804</v>
      </c>
      <c r="S158" s="56">
        <f>3805.94999877669*Deflactores!$P$5</f>
        <v>6978.6591661181856</v>
      </c>
      <c r="T158" s="56">
        <f>3173.94806763313*Deflactores!$Q$5</f>
        <v>5503.3654147021252</v>
      </c>
      <c r="U158" s="56">
        <f>3771.11273998334*Deflactores!$R$5</f>
        <v>6281.8713979232862</v>
      </c>
      <c r="V158" s="56">
        <f>2307.52601065269*Deflactores!$S$5</f>
        <v>3725.3802408775964</v>
      </c>
    </row>
    <row r="159" spans="3:22" x14ac:dyDescent="0.2">
      <c r="C159" s="79" t="s">
        <v>152</v>
      </c>
      <c r="D159" s="44">
        <f t="shared" ref="D159:V159" si="32">+SUM(D130:D158)</f>
        <v>100545.5228675628</v>
      </c>
      <c r="E159" s="44">
        <f t="shared" si="32"/>
        <v>110699.95192096378</v>
      </c>
      <c r="F159" s="44">
        <f t="shared" si="32"/>
        <v>107618.16248251614</v>
      </c>
      <c r="G159" s="44">
        <f t="shared" si="32"/>
        <v>107112.99037377408</v>
      </c>
      <c r="H159" s="44">
        <f t="shared" si="32"/>
        <v>119893.47044207918</v>
      </c>
      <c r="I159" s="44">
        <f t="shared" si="32"/>
        <v>133800.74280755536</v>
      </c>
      <c r="J159" s="44">
        <f t="shared" si="32"/>
        <v>140852.74115688395</v>
      </c>
      <c r="K159" s="44">
        <f t="shared" si="32"/>
        <v>160302.2316696702</v>
      </c>
      <c r="L159" s="44">
        <f t="shared" si="32"/>
        <v>169172.30369974775</v>
      </c>
      <c r="M159" s="44">
        <f t="shared" si="32"/>
        <v>194925.49475244261</v>
      </c>
      <c r="N159" s="44">
        <f t="shared" si="32"/>
        <v>190296.64393752677</v>
      </c>
      <c r="O159" s="44">
        <f t="shared" si="32"/>
        <v>208264.19209172713</v>
      </c>
      <c r="P159" s="44">
        <f t="shared" si="32"/>
        <v>226679.01093245868</v>
      </c>
      <c r="Q159" s="44">
        <f t="shared" si="32"/>
        <v>250136.16930998705</v>
      </c>
      <c r="R159" s="44">
        <f t="shared" si="32"/>
        <v>261393.02039168557</v>
      </c>
      <c r="S159" s="44">
        <f t="shared" si="32"/>
        <v>253031.32342001522</v>
      </c>
      <c r="T159" s="44">
        <f t="shared" si="32"/>
        <v>242240.34087852857</v>
      </c>
      <c r="U159" s="44">
        <f t="shared" si="32"/>
        <v>259308.34606509475</v>
      </c>
      <c r="V159" s="44">
        <f t="shared" si="32"/>
        <v>251732.49931237189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D164" s="164" t="s">
        <v>168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ht="2.25" customHeight="1" x14ac:dyDescent="0.2"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1" t="s">
        <v>120</v>
      </c>
      <c r="D167" s="184">
        <v>2000</v>
      </c>
      <c r="E167" s="155">
        <v>2001</v>
      </c>
      <c r="F167" s="155">
        <v>2002</v>
      </c>
      <c r="G167" s="155">
        <v>2003</v>
      </c>
      <c r="H167" s="155">
        <v>2004</v>
      </c>
      <c r="I167" s="155">
        <v>2005</v>
      </c>
      <c r="J167" s="155">
        <v>2006</v>
      </c>
      <c r="K167" s="155">
        <v>2007</v>
      </c>
      <c r="L167" s="155">
        <v>2008</v>
      </c>
      <c r="M167" s="155">
        <v>2009</v>
      </c>
      <c r="N167" s="155">
        <v>2010</v>
      </c>
      <c r="O167" s="155">
        <v>2011</v>
      </c>
      <c r="P167" s="155">
        <v>2012</v>
      </c>
      <c r="Q167" s="155">
        <v>2013</v>
      </c>
      <c r="R167" s="155">
        <v>2014</v>
      </c>
      <c r="S167" s="155">
        <v>2015</v>
      </c>
      <c r="T167" s="155">
        <v>2016</v>
      </c>
      <c r="U167" s="155">
        <v>2017</v>
      </c>
      <c r="V167" s="155">
        <v>2018</v>
      </c>
    </row>
    <row r="168" spans="2:22" ht="12" customHeight="1" thickBot="1" x14ac:dyDescent="0.25">
      <c r="C168" s="162"/>
      <c r="D168" s="185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</row>
    <row r="169" spans="2:22" x14ac:dyDescent="0.2">
      <c r="C169" s="87" t="s">
        <v>123</v>
      </c>
      <c r="D169" s="60">
        <f t="shared" ref="D169:V169" si="33">+IFERROR(IF(D130&gt;0,+((D130/D13)*100)," "),"")</f>
        <v>86.410008666246213</v>
      </c>
      <c r="E169" s="60">
        <f t="shared" si="33"/>
        <v>67.287717238737002</v>
      </c>
      <c r="F169" s="60">
        <f t="shared" si="33"/>
        <v>63.050819004425271</v>
      </c>
      <c r="G169" s="60">
        <f t="shared" si="33"/>
        <v>74.547343311654515</v>
      </c>
      <c r="H169" s="60">
        <f t="shared" si="33"/>
        <v>75.379779840174535</v>
      </c>
      <c r="I169" s="60">
        <f t="shared" si="33"/>
        <v>82.336719039971968</v>
      </c>
      <c r="J169" s="60">
        <f t="shared" si="33"/>
        <v>81.484771383819989</v>
      </c>
      <c r="K169" s="60">
        <f t="shared" si="33"/>
        <v>93.327548740319727</v>
      </c>
      <c r="L169" s="60">
        <f t="shared" si="33"/>
        <v>97.658786221859046</v>
      </c>
      <c r="M169" s="60">
        <f t="shared" si="33"/>
        <v>87.586606849368138</v>
      </c>
      <c r="N169" s="60">
        <f t="shared" si="33"/>
        <v>81.496874616302989</v>
      </c>
      <c r="O169" s="60">
        <f t="shared" si="33"/>
        <v>78.601710199392954</v>
      </c>
      <c r="P169" s="60">
        <f t="shared" si="33"/>
        <v>85.408832479866078</v>
      </c>
      <c r="Q169" s="60">
        <f t="shared" si="33"/>
        <v>88.093981703210346</v>
      </c>
      <c r="R169" s="60">
        <f t="shared" si="33"/>
        <v>91.394523228966378</v>
      </c>
      <c r="S169" s="60">
        <f t="shared" si="33"/>
        <v>88.1704728595288</v>
      </c>
      <c r="T169" s="60">
        <f t="shared" si="33"/>
        <v>80.580733362920327</v>
      </c>
      <c r="U169" s="60">
        <f t="shared" si="33"/>
        <v>91.814309822139677</v>
      </c>
      <c r="V169" s="60">
        <f t="shared" si="33"/>
        <v>59.722119634182349</v>
      </c>
    </row>
    <row r="170" spans="2:22" x14ac:dyDescent="0.2">
      <c r="C170" s="88" t="s">
        <v>124</v>
      </c>
      <c r="D170" s="62">
        <f t="shared" ref="D170:V170" si="34">+IFERROR(IF(D131&gt;0,+((D131/D14)*100)," "),"")</f>
        <v>74.328805223611738</v>
      </c>
      <c r="E170" s="62">
        <f t="shared" si="34"/>
        <v>76.286217934091326</v>
      </c>
      <c r="F170" s="62">
        <f t="shared" si="34"/>
        <v>74.400767044967509</v>
      </c>
      <c r="G170" s="62">
        <f t="shared" si="34"/>
        <v>73.584985836933086</v>
      </c>
      <c r="H170" s="62">
        <f t="shared" si="34"/>
        <v>44.935377391662691</v>
      </c>
      <c r="I170" s="62">
        <f t="shared" si="34"/>
        <v>57.969734658706109</v>
      </c>
      <c r="J170" s="62">
        <f t="shared" si="34"/>
        <v>54.087662184801921</v>
      </c>
      <c r="K170" s="62">
        <f t="shared" si="34"/>
        <v>93.843805188885398</v>
      </c>
      <c r="L170" s="62">
        <f t="shared" si="34"/>
        <v>97.679598719363952</v>
      </c>
      <c r="M170" s="62">
        <f t="shared" si="34"/>
        <v>94.084327051915395</v>
      </c>
      <c r="N170" s="62">
        <f t="shared" si="34"/>
        <v>93.288973199764229</v>
      </c>
      <c r="O170" s="62">
        <f t="shared" si="34"/>
        <v>95.884730040183968</v>
      </c>
      <c r="P170" s="62">
        <f t="shared" si="34"/>
        <v>80.915926036923906</v>
      </c>
      <c r="Q170" s="62">
        <f t="shared" si="34"/>
        <v>70.594860083846882</v>
      </c>
      <c r="R170" s="62">
        <f t="shared" si="34"/>
        <v>74.53030594360375</v>
      </c>
      <c r="S170" s="62">
        <f t="shared" si="34"/>
        <v>67.755026400973733</v>
      </c>
      <c r="T170" s="62">
        <f t="shared" si="34"/>
        <v>71.184416930505151</v>
      </c>
      <c r="U170" s="62">
        <f t="shared" si="34"/>
        <v>73.65678191130489</v>
      </c>
      <c r="V170" s="62">
        <f t="shared" si="34"/>
        <v>74.148596373859149</v>
      </c>
    </row>
    <row r="171" spans="2:22" x14ac:dyDescent="0.2">
      <c r="C171" s="87" t="s">
        <v>125</v>
      </c>
      <c r="D171" s="60">
        <f t="shared" ref="D171:V171" si="35">+IFERROR(IF(D132&gt;0,+((D132/D15)*100)," "),"")</f>
        <v>69.628415835971552</v>
      </c>
      <c r="E171" s="60">
        <f t="shared" si="35"/>
        <v>54.318139080053953</v>
      </c>
      <c r="F171" s="60">
        <f t="shared" si="35"/>
        <v>32.139050436040577</v>
      </c>
      <c r="G171" s="60">
        <f t="shared" si="35"/>
        <v>31.464833281295778</v>
      </c>
      <c r="H171" s="60">
        <f t="shared" si="35"/>
        <v>59.402299137632617</v>
      </c>
      <c r="I171" s="60">
        <f t="shared" si="35"/>
        <v>55.22782501762277</v>
      </c>
      <c r="J171" s="60">
        <f t="shared" si="35"/>
        <v>51.654442797752701</v>
      </c>
      <c r="K171" s="60">
        <f t="shared" si="35"/>
        <v>92.309766958474015</v>
      </c>
      <c r="L171" s="60">
        <f t="shared" si="35"/>
        <v>95.69872429410033</v>
      </c>
      <c r="M171" s="60">
        <f t="shared" si="35"/>
        <v>73.639306904450535</v>
      </c>
      <c r="N171" s="60">
        <f t="shared" si="35"/>
        <v>93.912790733948555</v>
      </c>
      <c r="O171" s="60">
        <f t="shared" si="35"/>
        <v>95.041746313245213</v>
      </c>
      <c r="P171" s="60">
        <f t="shared" si="35"/>
        <v>90.923909656537759</v>
      </c>
      <c r="Q171" s="60">
        <f t="shared" si="35"/>
        <v>96.379613927901786</v>
      </c>
      <c r="R171" s="60">
        <f t="shared" si="35"/>
        <v>94.762164254867372</v>
      </c>
      <c r="S171" s="60">
        <f t="shared" si="35"/>
        <v>98.151049005517024</v>
      </c>
      <c r="T171" s="60">
        <f t="shared" si="35"/>
        <v>98.391747332416443</v>
      </c>
      <c r="U171" s="60">
        <f t="shared" si="35"/>
        <v>99.61614010869198</v>
      </c>
      <c r="V171" s="60">
        <f t="shared" si="35"/>
        <v>80.359304580074152</v>
      </c>
    </row>
    <row r="172" spans="2:22" x14ac:dyDescent="0.2">
      <c r="C172" s="88" t="s">
        <v>126</v>
      </c>
      <c r="D172" s="62">
        <f t="shared" ref="D172:V172" si="36">+IFERROR(IF(D133&gt;0,+((D133/D16)*100)," "),"")</f>
        <v>75.409528536075626</v>
      </c>
      <c r="E172" s="62">
        <f t="shared" si="36"/>
        <v>68.75685398432546</v>
      </c>
      <c r="F172" s="62">
        <f t="shared" si="36"/>
        <v>62.669685821022533</v>
      </c>
      <c r="G172" s="62">
        <f t="shared" si="36"/>
        <v>76.704431231304909</v>
      </c>
      <c r="H172" s="62">
        <f t="shared" si="36"/>
        <v>79.829782186813787</v>
      </c>
      <c r="I172" s="62">
        <f t="shared" si="36"/>
        <v>79.534369416087273</v>
      </c>
      <c r="J172" s="62">
        <f t="shared" si="36"/>
        <v>86.436870304427472</v>
      </c>
      <c r="K172" s="62">
        <f t="shared" si="36"/>
        <v>89.364821541096177</v>
      </c>
      <c r="L172" s="62">
        <f t="shared" si="36"/>
        <v>92.037420617165822</v>
      </c>
      <c r="M172" s="62">
        <f t="shared" si="36"/>
        <v>91.756494423777539</v>
      </c>
      <c r="N172" s="62">
        <f t="shared" si="36"/>
        <v>91.564465059123123</v>
      </c>
      <c r="O172" s="62">
        <f t="shared" si="36"/>
        <v>92.038491305963362</v>
      </c>
      <c r="P172" s="62">
        <f t="shared" si="36"/>
        <v>95.785944607069212</v>
      </c>
      <c r="Q172" s="62">
        <f t="shared" si="36"/>
        <v>94.75822143955574</v>
      </c>
      <c r="R172" s="62">
        <f t="shared" si="36"/>
        <v>91.664406707044492</v>
      </c>
      <c r="S172" s="62">
        <f t="shared" si="36"/>
        <v>95.563284138104919</v>
      </c>
      <c r="T172" s="62">
        <f t="shared" si="36"/>
        <v>97.526539920371945</v>
      </c>
      <c r="U172" s="62">
        <f t="shared" si="36"/>
        <v>98.952305602687673</v>
      </c>
      <c r="V172" s="62">
        <f t="shared" si="36"/>
        <v>83.440410710072015</v>
      </c>
    </row>
    <row r="173" spans="2:22" x14ac:dyDescent="0.2">
      <c r="C173" s="87" t="s">
        <v>127</v>
      </c>
      <c r="D173" s="60">
        <f t="shared" ref="D173:V173" si="37">+IFERROR(IF(D134&gt;0,+((D134/D17)*100)," "),"")</f>
        <v>86.625023337689768</v>
      </c>
      <c r="E173" s="60">
        <f t="shared" si="37"/>
        <v>81.078374192575382</v>
      </c>
      <c r="F173" s="60">
        <f t="shared" si="37"/>
        <v>93.680007525364545</v>
      </c>
      <c r="G173" s="60">
        <f t="shared" si="37"/>
        <v>91.303240186385878</v>
      </c>
      <c r="H173" s="60">
        <f t="shared" si="37"/>
        <v>93.497565104521968</v>
      </c>
      <c r="I173" s="60">
        <f t="shared" si="37"/>
        <v>93.773634793614264</v>
      </c>
      <c r="J173" s="60">
        <f t="shared" si="37"/>
        <v>93.859918648426785</v>
      </c>
      <c r="K173" s="60">
        <f t="shared" si="37"/>
        <v>97.100852780428781</v>
      </c>
      <c r="L173" s="60">
        <f t="shared" si="37"/>
        <v>94.597994838217474</v>
      </c>
      <c r="M173" s="60">
        <f t="shared" si="37"/>
        <v>94.575461099225961</v>
      </c>
      <c r="N173" s="60">
        <f t="shared" si="37"/>
        <v>94.048409947523211</v>
      </c>
      <c r="O173" s="60">
        <f t="shared" si="37"/>
        <v>89.355637074634259</v>
      </c>
      <c r="P173" s="60">
        <f t="shared" si="37"/>
        <v>87.399118466244403</v>
      </c>
      <c r="Q173" s="60">
        <f t="shared" si="37"/>
        <v>90.465072174835484</v>
      </c>
      <c r="R173" s="60">
        <f t="shared" si="37"/>
        <v>95.408839041333309</v>
      </c>
      <c r="S173" s="60">
        <f t="shared" si="37"/>
        <v>97.687119133242263</v>
      </c>
      <c r="T173" s="60">
        <f t="shared" si="37"/>
        <v>96.870415888958235</v>
      </c>
      <c r="U173" s="60">
        <f t="shared" si="37"/>
        <v>98.184179198252835</v>
      </c>
      <c r="V173" s="60">
        <f t="shared" si="37"/>
        <v>92.269699098342457</v>
      </c>
    </row>
    <row r="174" spans="2:22" x14ac:dyDescent="0.2">
      <c r="C174" s="88" t="s">
        <v>128</v>
      </c>
      <c r="D174" s="62">
        <f t="shared" ref="D174:V174" si="38">+IFERROR(IF(D135&gt;0,+((D135/D18)*100)," "),"")</f>
        <v>74.978797411753433</v>
      </c>
      <c r="E174" s="62">
        <f t="shared" si="38"/>
        <v>82.649675187589551</v>
      </c>
      <c r="F174" s="62">
        <f t="shared" si="38"/>
        <v>74.560323570789549</v>
      </c>
      <c r="G174" s="62">
        <f t="shared" si="38"/>
        <v>85.990447037732139</v>
      </c>
      <c r="H174" s="62">
        <f t="shared" si="38"/>
        <v>80.120775424137094</v>
      </c>
      <c r="I174" s="62">
        <f t="shared" si="38"/>
        <v>84.125370845599079</v>
      </c>
      <c r="J174" s="62">
        <f t="shared" si="38"/>
        <v>89.883581352628354</v>
      </c>
      <c r="K174" s="62">
        <f t="shared" si="38"/>
        <v>88.682393150967314</v>
      </c>
      <c r="L174" s="62">
        <f t="shared" si="38"/>
        <v>90.709291215838192</v>
      </c>
      <c r="M174" s="62">
        <f t="shared" si="38"/>
        <v>87.505028343506979</v>
      </c>
      <c r="N174" s="62">
        <f t="shared" si="38"/>
        <v>88.358798497322724</v>
      </c>
      <c r="O174" s="62">
        <f t="shared" si="38"/>
        <v>90.090127154184671</v>
      </c>
      <c r="P174" s="62">
        <f t="shared" si="38"/>
        <v>94.101590505160274</v>
      </c>
      <c r="Q174" s="62">
        <f t="shared" si="38"/>
        <v>93.636574947786514</v>
      </c>
      <c r="R174" s="62">
        <f t="shared" si="38"/>
        <v>97.822913878878097</v>
      </c>
      <c r="S174" s="62">
        <f t="shared" si="38"/>
        <v>98.309328614972998</v>
      </c>
      <c r="T174" s="62">
        <f t="shared" si="38"/>
        <v>98.520545326306262</v>
      </c>
      <c r="U174" s="62">
        <f t="shared" si="38"/>
        <v>93.22680392441039</v>
      </c>
      <c r="V174" s="62">
        <f t="shared" si="38"/>
        <v>90.626209513725797</v>
      </c>
    </row>
    <row r="175" spans="2:22" x14ac:dyDescent="0.2">
      <c r="C175" s="87" t="s">
        <v>129</v>
      </c>
      <c r="D175" s="60">
        <f t="shared" ref="D175:V175" si="39">+IFERROR(IF(D136&gt;0,+((D136/D19)*100)," "),"")</f>
        <v>95.740010413069626</v>
      </c>
      <c r="E175" s="60">
        <f t="shared" si="39"/>
        <v>90.390877118544211</v>
      </c>
      <c r="F175" s="60">
        <f t="shared" si="39"/>
        <v>91.007418590296368</v>
      </c>
      <c r="G175" s="60">
        <f t="shared" si="39"/>
        <v>89.159336454856415</v>
      </c>
      <c r="H175" s="60">
        <f t="shared" si="39"/>
        <v>89.371092934068713</v>
      </c>
      <c r="I175" s="60">
        <f t="shared" si="39"/>
        <v>89.874350359302198</v>
      </c>
      <c r="J175" s="60">
        <f t="shared" si="39"/>
        <v>91.544721479161453</v>
      </c>
      <c r="K175" s="60">
        <f t="shared" si="39"/>
        <v>97.264681631359437</v>
      </c>
      <c r="L175" s="60">
        <f t="shared" si="39"/>
        <v>97.829056448975876</v>
      </c>
      <c r="M175" s="60">
        <f t="shared" si="39"/>
        <v>95.784513214300077</v>
      </c>
      <c r="N175" s="60">
        <f t="shared" si="39"/>
        <v>95.363610182597313</v>
      </c>
      <c r="O175" s="60">
        <f t="shared" si="39"/>
        <v>96.652511015182498</v>
      </c>
      <c r="P175" s="60">
        <f t="shared" si="39"/>
        <v>98.425812791060281</v>
      </c>
      <c r="Q175" s="60">
        <f t="shared" si="39"/>
        <v>98.111674094873308</v>
      </c>
      <c r="R175" s="60">
        <f t="shared" si="39"/>
        <v>97.218151162829599</v>
      </c>
      <c r="S175" s="60">
        <f t="shared" si="39"/>
        <v>97.881389363047504</v>
      </c>
      <c r="T175" s="60">
        <f t="shared" si="39"/>
        <v>98.861201582003972</v>
      </c>
      <c r="U175" s="60">
        <f t="shared" si="39"/>
        <v>98.927920323389756</v>
      </c>
      <c r="V175" s="60">
        <f t="shared" si="39"/>
        <v>95.667215560418626</v>
      </c>
    </row>
    <row r="176" spans="2:22" x14ac:dyDescent="0.2">
      <c r="C176" s="88" t="s">
        <v>130</v>
      </c>
      <c r="D176" s="62">
        <f t="shared" ref="D176:V176" si="40">+IFERROR(IF(D137&gt;0,+((D137/D20)*100)," "),"")</f>
        <v>85.891649490864694</v>
      </c>
      <c r="E176" s="62">
        <f t="shared" si="40"/>
        <v>63.381652028885149</v>
      </c>
      <c r="F176" s="62">
        <f t="shared" si="40"/>
        <v>73.365759996144433</v>
      </c>
      <c r="G176" s="62">
        <f t="shared" si="40"/>
        <v>59.264620684507875</v>
      </c>
      <c r="H176" s="62">
        <f t="shared" si="40"/>
        <v>86.141317126446921</v>
      </c>
      <c r="I176" s="62">
        <f t="shared" si="40"/>
        <v>88.809753677453074</v>
      </c>
      <c r="J176" s="62">
        <f t="shared" si="40"/>
        <v>93.300747016505142</v>
      </c>
      <c r="K176" s="62">
        <f t="shared" si="40"/>
        <v>91.309018136375315</v>
      </c>
      <c r="L176" s="62">
        <f t="shared" si="40"/>
        <v>93.398761416628318</v>
      </c>
      <c r="M176" s="62">
        <f t="shared" si="40"/>
        <v>85.40903859988471</v>
      </c>
      <c r="N176" s="62">
        <f t="shared" si="40"/>
        <v>87.849210547318407</v>
      </c>
      <c r="O176" s="62">
        <f t="shared" si="40"/>
        <v>84.705319114478428</v>
      </c>
      <c r="P176" s="62">
        <f t="shared" si="40"/>
        <v>84.695037183730832</v>
      </c>
      <c r="Q176" s="62">
        <f t="shared" si="40"/>
        <v>88.741413898721859</v>
      </c>
      <c r="R176" s="62">
        <f t="shared" si="40"/>
        <v>89.166834721737487</v>
      </c>
      <c r="S176" s="62">
        <f t="shared" si="40"/>
        <v>86.735096914790148</v>
      </c>
      <c r="T176" s="62">
        <f t="shared" si="40"/>
        <v>70.232272274789054</v>
      </c>
      <c r="U176" s="62">
        <f t="shared" si="40"/>
        <v>79.75376338516908</v>
      </c>
      <c r="V176" s="62">
        <f t="shared" si="40"/>
        <v>70.787316276504569</v>
      </c>
    </row>
    <row r="177" spans="3:22" x14ac:dyDescent="0.2">
      <c r="C177" s="87" t="s">
        <v>131</v>
      </c>
      <c r="D177" s="60">
        <f t="shared" ref="D177:V177" si="41">+IFERROR(IF(D138&gt;0,+((D138/D21)*100)," "),"")</f>
        <v>94.42604801230128</v>
      </c>
      <c r="E177" s="60">
        <f t="shared" si="41"/>
        <v>95.481314833594723</v>
      </c>
      <c r="F177" s="60">
        <f t="shared" si="41"/>
        <v>98.869986416534147</v>
      </c>
      <c r="G177" s="60">
        <f t="shared" si="41"/>
        <v>95.572686727151591</v>
      </c>
      <c r="H177" s="60">
        <f t="shared" si="41"/>
        <v>98.328638710623551</v>
      </c>
      <c r="I177" s="60">
        <f t="shared" si="41"/>
        <v>97.55215120903064</v>
      </c>
      <c r="J177" s="60">
        <f t="shared" si="41"/>
        <v>97.253298330603585</v>
      </c>
      <c r="K177" s="60">
        <f t="shared" si="41"/>
        <v>99.290381072931595</v>
      </c>
      <c r="L177" s="60">
        <f t="shared" si="41"/>
        <v>99.251644113017221</v>
      </c>
      <c r="M177" s="60">
        <f t="shared" si="41"/>
        <v>98.105064263973858</v>
      </c>
      <c r="N177" s="60">
        <f t="shared" si="41"/>
        <v>96.163856393203318</v>
      </c>
      <c r="O177" s="60">
        <f t="shared" si="41"/>
        <v>99.409325048755633</v>
      </c>
      <c r="P177" s="60">
        <f t="shared" si="41"/>
        <v>97.064295522490767</v>
      </c>
      <c r="Q177" s="60">
        <f t="shared" si="41"/>
        <v>99.424936565849748</v>
      </c>
      <c r="R177" s="60">
        <f t="shared" si="41"/>
        <v>99.682573534929034</v>
      </c>
      <c r="S177" s="60">
        <f t="shared" si="41"/>
        <v>99.752033283489666</v>
      </c>
      <c r="T177" s="60">
        <f t="shared" si="41"/>
        <v>99.046595030668612</v>
      </c>
      <c r="U177" s="60">
        <f t="shared" si="41"/>
        <v>99.80795592393855</v>
      </c>
      <c r="V177" s="60">
        <f t="shared" si="41"/>
        <v>99.146562853540459</v>
      </c>
    </row>
    <row r="178" spans="3:22" x14ac:dyDescent="0.2">
      <c r="C178" s="88" t="s">
        <v>132</v>
      </c>
      <c r="D178" s="62">
        <f t="shared" ref="D178:V178" si="42">+IFERROR(IF(D139&gt;0,+((D139/D22)*100)," "),"")</f>
        <v>96.510815789085086</v>
      </c>
      <c r="E178" s="62">
        <f t="shared" si="42"/>
        <v>94.146538230657285</v>
      </c>
      <c r="F178" s="62">
        <f t="shared" si="42"/>
        <v>96.244902511097635</v>
      </c>
      <c r="G178" s="62">
        <f t="shared" si="42"/>
        <v>89.257682579972766</v>
      </c>
      <c r="H178" s="62">
        <f t="shared" si="42"/>
        <v>81.667110281982673</v>
      </c>
      <c r="I178" s="62">
        <f t="shared" si="42"/>
        <v>50.921099351367452</v>
      </c>
      <c r="J178" s="62">
        <f t="shared" si="42"/>
        <v>82.425770127552326</v>
      </c>
      <c r="K178" s="62">
        <f t="shared" si="42"/>
        <v>92.367727168582178</v>
      </c>
      <c r="L178" s="62">
        <f t="shared" si="42"/>
        <v>93.651174974712376</v>
      </c>
      <c r="M178" s="62">
        <f t="shared" si="42"/>
        <v>85.089044711757253</v>
      </c>
      <c r="N178" s="62">
        <f t="shared" si="42"/>
        <v>71.855528872740976</v>
      </c>
      <c r="O178" s="62">
        <f t="shared" si="42"/>
        <v>81.764110662147758</v>
      </c>
      <c r="P178" s="62">
        <f t="shared" si="42"/>
        <v>90.608957467672766</v>
      </c>
      <c r="Q178" s="62">
        <f t="shared" si="42"/>
        <v>91.37471549034251</v>
      </c>
      <c r="R178" s="62">
        <f t="shared" si="42"/>
        <v>92.843997421420781</v>
      </c>
      <c r="S178" s="62">
        <f t="shared" si="42"/>
        <v>93.622375250673628</v>
      </c>
      <c r="T178" s="62">
        <f t="shared" si="42"/>
        <v>97.212637700362876</v>
      </c>
      <c r="U178" s="62">
        <f t="shared" si="42"/>
        <v>92.108828999687773</v>
      </c>
      <c r="V178" s="62">
        <f t="shared" si="42"/>
        <v>86.363977764331963</v>
      </c>
    </row>
    <row r="179" spans="3:22" x14ac:dyDescent="0.2">
      <c r="C179" s="87" t="s">
        <v>133</v>
      </c>
      <c r="D179" s="60">
        <f t="shared" ref="D179:V179" si="43">+IFERROR(IF(D140&gt;0,+((D140/D23)*100)," "),"")</f>
        <v>96.079063939162808</v>
      </c>
      <c r="E179" s="60">
        <f t="shared" si="43"/>
        <v>97.258610187909483</v>
      </c>
      <c r="F179" s="60">
        <f t="shared" si="43"/>
        <v>96.23968007419785</v>
      </c>
      <c r="G179" s="60">
        <f t="shared" si="43"/>
        <v>96.215626959637333</v>
      </c>
      <c r="H179" s="60">
        <f t="shared" si="43"/>
        <v>94.99354921915652</v>
      </c>
      <c r="I179" s="60">
        <f t="shared" si="43"/>
        <v>96.766805325259241</v>
      </c>
      <c r="J179" s="60">
        <f t="shared" si="43"/>
        <v>95.180797029879798</v>
      </c>
      <c r="K179" s="60">
        <f t="shared" si="43"/>
        <v>97.850070850427912</v>
      </c>
      <c r="L179" s="60">
        <f t="shared" si="43"/>
        <v>95.841084212285779</v>
      </c>
      <c r="M179" s="60">
        <f t="shared" si="43"/>
        <v>95.898902217807915</v>
      </c>
      <c r="N179" s="60">
        <f t="shared" si="43"/>
        <v>90.311951024025788</v>
      </c>
      <c r="O179" s="60">
        <f t="shared" si="43"/>
        <v>92.206927702450344</v>
      </c>
      <c r="P179" s="60">
        <f t="shared" si="43"/>
        <v>91.021224113126507</v>
      </c>
      <c r="Q179" s="60">
        <f t="shared" si="43"/>
        <v>93.990179111253269</v>
      </c>
      <c r="R179" s="60">
        <f t="shared" si="43"/>
        <v>90.232017637727054</v>
      </c>
      <c r="S179" s="60">
        <f t="shared" si="43"/>
        <v>89.869012356984967</v>
      </c>
      <c r="T179" s="60">
        <f t="shared" si="43"/>
        <v>95.032448639601341</v>
      </c>
      <c r="U179" s="60">
        <f t="shared" si="43"/>
        <v>98.625552622880875</v>
      </c>
      <c r="V179" s="60">
        <f t="shared" si="43"/>
        <v>92.083590683492929</v>
      </c>
    </row>
    <row r="180" spans="3:22" x14ac:dyDescent="0.2">
      <c r="C180" s="88" t="s">
        <v>134</v>
      </c>
      <c r="D180" s="62">
        <f t="shared" ref="D180:V180" si="44">+IFERROR(IF(D141&gt;0,+((D141/D24)*100)," "),"")</f>
        <v>88.779146220347229</v>
      </c>
      <c r="E180" s="62">
        <f t="shared" si="44"/>
        <v>89.492780158487221</v>
      </c>
      <c r="F180" s="62">
        <f t="shared" si="44"/>
        <v>79.402173913483111</v>
      </c>
      <c r="G180" s="62">
        <f t="shared" si="44"/>
        <v>85.551338301581737</v>
      </c>
      <c r="H180" s="62">
        <f t="shared" si="44"/>
        <v>79.514460147424842</v>
      </c>
      <c r="I180" s="62">
        <f t="shared" si="44"/>
        <v>83.360076916372179</v>
      </c>
      <c r="J180" s="62">
        <f t="shared" si="44"/>
        <v>84.407038641552774</v>
      </c>
      <c r="K180" s="62">
        <f t="shared" si="44"/>
        <v>82.935281272427346</v>
      </c>
      <c r="L180" s="62">
        <f t="shared" si="44"/>
        <v>79.015753353469137</v>
      </c>
      <c r="M180" s="62">
        <f t="shared" si="44"/>
        <v>73.700362192522249</v>
      </c>
      <c r="N180" s="62">
        <f t="shared" si="44"/>
        <v>78.165848778489234</v>
      </c>
      <c r="O180" s="62">
        <f t="shared" si="44"/>
        <v>95.509542480291543</v>
      </c>
      <c r="P180" s="62">
        <f t="shared" si="44"/>
        <v>92.039905290529035</v>
      </c>
      <c r="Q180" s="62">
        <f t="shared" si="44"/>
        <v>84.530107647360168</v>
      </c>
      <c r="R180" s="62">
        <f t="shared" si="44"/>
        <v>68.805891449369611</v>
      </c>
      <c r="S180" s="62">
        <f t="shared" si="44"/>
        <v>84.934283671462879</v>
      </c>
      <c r="T180" s="62">
        <f t="shared" si="44"/>
        <v>84.044753748485178</v>
      </c>
      <c r="U180" s="62">
        <f t="shared" si="44"/>
        <v>90.361198978292919</v>
      </c>
      <c r="V180" s="62">
        <f t="shared" si="44"/>
        <v>82.628424077017911</v>
      </c>
    </row>
    <row r="181" spans="3:22" x14ac:dyDescent="0.2">
      <c r="C181" s="87" t="s">
        <v>135</v>
      </c>
      <c r="D181" s="60" t="str">
        <f t="shared" ref="D181:V181" si="45">+IFERROR(IF(D142&gt;0,+((D142/D25)*100),"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+IFERROR(IF(D143&gt;0,+((D143/D26)*100)," "),"")</f>
        <v>59.160126582758522</v>
      </c>
      <c r="E182" s="62">
        <f t="shared" si="46"/>
        <v>79.385287889224841</v>
      </c>
      <c r="F182" s="62">
        <f t="shared" si="46"/>
        <v>57.334765137667191</v>
      </c>
      <c r="G182" s="62">
        <f t="shared" si="46"/>
        <v>90.705514564309922</v>
      </c>
      <c r="H182" s="62">
        <f t="shared" si="46"/>
        <v>57.144328473640215</v>
      </c>
      <c r="I182" s="62">
        <f t="shared" si="46"/>
        <v>62.14395398563817</v>
      </c>
      <c r="J182" s="62">
        <f t="shared" si="46"/>
        <v>78.329060751624354</v>
      </c>
      <c r="K182" s="62">
        <f t="shared" si="46"/>
        <v>91.310297632869634</v>
      </c>
      <c r="L182" s="62">
        <f t="shared" si="46"/>
        <v>78.33107341278793</v>
      </c>
      <c r="M182" s="62">
        <f t="shared" si="46"/>
        <v>85.592774836691277</v>
      </c>
      <c r="N182" s="62">
        <f t="shared" si="46"/>
        <v>83.119843471102044</v>
      </c>
      <c r="O182" s="62">
        <f t="shared" si="46"/>
        <v>89.919961362896458</v>
      </c>
      <c r="P182" s="62">
        <f t="shared" si="46"/>
        <v>88.420877067586972</v>
      </c>
      <c r="Q182" s="62">
        <f t="shared" si="46"/>
        <v>89.680404093040138</v>
      </c>
      <c r="R182" s="62">
        <f t="shared" si="46"/>
        <v>91.765507787504646</v>
      </c>
      <c r="S182" s="62">
        <f t="shared" si="46"/>
        <v>95.371497584293309</v>
      </c>
      <c r="T182" s="62">
        <f t="shared" si="46"/>
        <v>85.838230317062767</v>
      </c>
      <c r="U182" s="62">
        <f t="shared" si="46"/>
        <v>96.151356507888991</v>
      </c>
      <c r="V182" s="62">
        <f t="shared" si="46"/>
        <v>91.381038317736099</v>
      </c>
    </row>
    <row r="183" spans="3:22" x14ac:dyDescent="0.2">
      <c r="C183" s="87" t="s">
        <v>137</v>
      </c>
      <c r="D183" s="60">
        <f t="shared" ref="D183:V183" si="47">+IFERROR(IF(D144&gt;0,+((D144/D27)*100)," "),"")</f>
        <v>68.564373279784519</v>
      </c>
      <c r="E183" s="60">
        <f t="shared" si="47"/>
        <v>84.825418115251381</v>
      </c>
      <c r="F183" s="60">
        <f t="shared" si="47"/>
        <v>70.783841139609265</v>
      </c>
      <c r="G183" s="60">
        <f t="shared" si="47"/>
        <v>79.906828956603064</v>
      </c>
      <c r="H183" s="60">
        <f t="shared" si="47"/>
        <v>78.697049351998388</v>
      </c>
      <c r="I183" s="60">
        <f t="shared" si="47"/>
        <v>81.47005839555365</v>
      </c>
      <c r="J183" s="60">
        <f t="shared" si="47"/>
        <v>97.241804475130337</v>
      </c>
      <c r="K183" s="60">
        <f t="shared" si="47"/>
        <v>86.954489088649524</v>
      </c>
      <c r="L183" s="60">
        <f t="shared" si="47"/>
        <v>93.821687108579539</v>
      </c>
      <c r="M183" s="60">
        <f t="shared" si="47"/>
        <v>86.440576007158299</v>
      </c>
      <c r="N183" s="60">
        <f t="shared" si="47"/>
        <v>84.214619611309487</v>
      </c>
      <c r="O183" s="60">
        <f t="shared" si="47"/>
        <v>92.165697990563217</v>
      </c>
      <c r="P183" s="60">
        <f t="shared" si="47"/>
        <v>85.483140996555377</v>
      </c>
      <c r="Q183" s="60">
        <f t="shared" si="47"/>
        <v>81.302493786677616</v>
      </c>
      <c r="R183" s="60">
        <f t="shared" si="47"/>
        <v>95.757610807029209</v>
      </c>
      <c r="S183" s="60">
        <f t="shared" si="47"/>
        <v>92.559506797736418</v>
      </c>
      <c r="T183" s="60">
        <f t="shared" si="47"/>
        <v>95.061719894056566</v>
      </c>
      <c r="U183" s="60">
        <f t="shared" si="47"/>
        <v>92.401572470428945</v>
      </c>
      <c r="V183" s="60">
        <f t="shared" si="47"/>
        <v>92.977828727405722</v>
      </c>
    </row>
    <row r="184" spans="3:22" x14ac:dyDescent="0.2">
      <c r="C184" s="88" t="s">
        <v>138</v>
      </c>
      <c r="D184" s="62">
        <f t="shared" ref="D184:V184" si="48">+IFERROR(IF(D145&gt;0,+((D145/D28)*100)," "),"")</f>
        <v>93.258811119922981</v>
      </c>
      <c r="E184" s="62">
        <f t="shared" si="48"/>
        <v>94.085081805767018</v>
      </c>
      <c r="F184" s="62">
        <f t="shared" si="48"/>
        <v>91.558679732269439</v>
      </c>
      <c r="G184" s="62">
        <f t="shared" si="48"/>
        <v>81.487726675639522</v>
      </c>
      <c r="H184" s="62">
        <f t="shared" si="48"/>
        <v>94.076004053946434</v>
      </c>
      <c r="I184" s="62">
        <f t="shared" si="48"/>
        <v>91.486450772702412</v>
      </c>
      <c r="J184" s="62">
        <f t="shared" si="48"/>
        <v>86.779354347697407</v>
      </c>
      <c r="K184" s="62">
        <f t="shared" si="48"/>
        <v>91.634832066681028</v>
      </c>
      <c r="L184" s="62">
        <f t="shared" si="48"/>
        <v>88.179153447842708</v>
      </c>
      <c r="M184" s="62">
        <f t="shared" si="48"/>
        <v>81.997047630474754</v>
      </c>
      <c r="N184" s="62">
        <f t="shared" si="48"/>
        <v>81.768676744660198</v>
      </c>
      <c r="O184" s="62">
        <f t="shared" si="48"/>
        <v>87.872705308304461</v>
      </c>
      <c r="P184" s="62">
        <f t="shared" si="48"/>
        <v>76.768253903238431</v>
      </c>
      <c r="Q184" s="62">
        <f t="shared" si="48"/>
        <v>76.347104579476223</v>
      </c>
      <c r="R184" s="62">
        <f t="shared" si="48"/>
        <v>84.804031796968417</v>
      </c>
      <c r="S184" s="62">
        <f t="shared" si="48"/>
        <v>94.592801949555977</v>
      </c>
      <c r="T184" s="62">
        <f t="shared" si="48"/>
        <v>97.020182299042133</v>
      </c>
      <c r="U184" s="62">
        <f t="shared" si="48"/>
        <v>97.109287093899482</v>
      </c>
      <c r="V184" s="62">
        <f t="shared" si="48"/>
        <v>95.857043525022846</v>
      </c>
    </row>
    <row r="185" spans="3:22" x14ac:dyDescent="0.2">
      <c r="C185" s="87" t="s">
        <v>139</v>
      </c>
      <c r="D185" s="60">
        <f t="shared" ref="D185:V185" si="49">+IFERROR(IF(D146&gt;0,+((D146/D29)*100)," "),"")</f>
        <v>94.064722743104099</v>
      </c>
      <c r="E185" s="60">
        <f t="shared" si="49"/>
        <v>83.534129515864635</v>
      </c>
      <c r="F185" s="60">
        <f t="shared" si="49"/>
        <v>80.057449075384895</v>
      </c>
      <c r="G185" s="60">
        <f t="shared" si="49"/>
        <v>88.879532242229686</v>
      </c>
      <c r="H185" s="60">
        <f t="shared" si="49"/>
        <v>88.981991372617586</v>
      </c>
      <c r="I185" s="60">
        <f t="shared" si="49"/>
        <v>91.883042787538002</v>
      </c>
      <c r="J185" s="60">
        <f t="shared" si="49"/>
        <v>81.779139918072403</v>
      </c>
      <c r="K185" s="60">
        <f t="shared" si="49"/>
        <v>82.552680661653483</v>
      </c>
      <c r="L185" s="60">
        <f t="shared" si="49"/>
        <v>87.866089147769401</v>
      </c>
      <c r="M185" s="60">
        <f t="shared" si="49"/>
        <v>90.389547696261204</v>
      </c>
      <c r="N185" s="60">
        <f t="shared" si="49"/>
        <v>89.64607759040004</v>
      </c>
      <c r="O185" s="60">
        <f t="shared" si="49"/>
        <v>97.672818516628951</v>
      </c>
      <c r="P185" s="60">
        <f t="shared" si="49"/>
        <v>86.35110178020669</v>
      </c>
      <c r="Q185" s="60">
        <f t="shared" si="49"/>
        <v>88.549891118097548</v>
      </c>
      <c r="R185" s="60">
        <f t="shared" si="49"/>
        <v>91.756997649640354</v>
      </c>
      <c r="S185" s="60">
        <f t="shared" si="49"/>
        <v>89.866225951946774</v>
      </c>
      <c r="T185" s="60">
        <f t="shared" si="49"/>
        <v>84.044414813450146</v>
      </c>
      <c r="U185" s="60">
        <f t="shared" si="49"/>
        <v>83.752415335957735</v>
      </c>
      <c r="V185" s="60">
        <f t="shared" si="49"/>
        <v>80.240227388911222</v>
      </c>
    </row>
    <row r="186" spans="3:22" x14ac:dyDescent="0.2">
      <c r="C186" s="88" t="s">
        <v>140</v>
      </c>
      <c r="D186" s="62">
        <f t="shared" ref="D186:V186" si="50">+IFERROR(IF(D147&gt;0,+((D147/D30)*100)," "),"")</f>
        <v>87.653503284194542</v>
      </c>
      <c r="E186" s="62">
        <f t="shared" si="50"/>
        <v>72.692358754539597</v>
      </c>
      <c r="F186" s="62">
        <f t="shared" si="50"/>
        <v>78.681773443382454</v>
      </c>
      <c r="G186" s="62">
        <f t="shared" si="50"/>
        <v>91.95288106624227</v>
      </c>
      <c r="H186" s="62">
        <f t="shared" si="50"/>
        <v>82.799339739617622</v>
      </c>
      <c r="I186" s="62">
        <f t="shared" si="50"/>
        <v>78.53764841810424</v>
      </c>
      <c r="J186" s="62">
        <f t="shared" si="50"/>
        <v>65.880951409331459</v>
      </c>
      <c r="K186" s="62">
        <f t="shared" si="50"/>
        <v>59.966327308925258</v>
      </c>
      <c r="L186" s="62">
        <f t="shared" si="50"/>
        <v>95.072893874669589</v>
      </c>
      <c r="M186" s="62">
        <f t="shared" si="50"/>
        <v>88.368835772503076</v>
      </c>
      <c r="N186" s="62">
        <f t="shared" si="50"/>
        <v>92.074278952005272</v>
      </c>
      <c r="O186" s="62">
        <f t="shared" si="50"/>
        <v>92.505470491344653</v>
      </c>
      <c r="P186" s="62">
        <f t="shared" si="50"/>
        <v>96.080005244919974</v>
      </c>
      <c r="Q186" s="62">
        <f t="shared" si="50"/>
        <v>92.8484297224622</v>
      </c>
      <c r="R186" s="62">
        <f t="shared" si="50"/>
        <v>95.099766809337666</v>
      </c>
      <c r="S186" s="62">
        <f t="shared" si="50"/>
        <v>95.738027678084507</v>
      </c>
      <c r="T186" s="62">
        <f t="shared" si="50"/>
        <v>90.380287338110705</v>
      </c>
      <c r="U186" s="62">
        <f t="shared" si="50"/>
        <v>91.080556173131242</v>
      </c>
      <c r="V186" s="62">
        <f t="shared" si="50"/>
        <v>92.640824398913651</v>
      </c>
    </row>
    <row r="187" spans="3:22" x14ac:dyDescent="0.2">
      <c r="C187" s="87" t="s">
        <v>141</v>
      </c>
      <c r="D187" s="60">
        <f t="shared" ref="D187:V187" si="51">+IFERROR(IF(D148&gt;0,+((D148/D31)*100)," "),"")</f>
        <v>93.656145316525937</v>
      </c>
      <c r="E187" s="60">
        <f t="shared" si="51"/>
        <v>90.525396664437608</v>
      </c>
      <c r="F187" s="60">
        <f t="shared" si="51"/>
        <v>89.392851366887456</v>
      </c>
      <c r="G187" s="60">
        <f t="shared" si="51"/>
        <v>89.448892513979658</v>
      </c>
      <c r="H187" s="60">
        <f t="shared" si="51"/>
        <v>81.350315117227296</v>
      </c>
      <c r="I187" s="60">
        <f t="shared" si="51"/>
        <v>87.521567735495736</v>
      </c>
      <c r="J187" s="60">
        <f t="shared" si="51"/>
        <v>90.323378125211633</v>
      </c>
      <c r="K187" s="60">
        <f t="shared" si="51"/>
        <v>91.628758158064912</v>
      </c>
      <c r="L187" s="60">
        <f t="shared" si="51"/>
        <v>90.621008894680983</v>
      </c>
      <c r="M187" s="60">
        <f t="shared" si="51"/>
        <v>89.662600359438088</v>
      </c>
      <c r="N187" s="60">
        <f t="shared" si="51"/>
        <v>86.377757818333862</v>
      </c>
      <c r="O187" s="60">
        <f t="shared" si="51"/>
        <v>88.465404609652524</v>
      </c>
      <c r="P187" s="60">
        <f t="shared" si="51"/>
        <v>87.345259018986184</v>
      </c>
      <c r="Q187" s="60">
        <f t="shared" si="51"/>
        <v>88.649002118671831</v>
      </c>
      <c r="R187" s="60">
        <f t="shared" si="51"/>
        <v>92.280095531948035</v>
      </c>
      <c r="S187" s="60">
        <f t="shared" si="51"/>
        <v>89.643050650828172</v>
      </c>
      <c r="T187" s="60">
        <f t="shared" si="51"/>
        <v>95.197779014253229</v>
      </c>
      <c r="U187" s="60">
        <f t="shared" si="51"/>
        <v>93.379081353556259</v>
      </c>
      <c r="V187" s="60">
        <f t="shared" si="51"/>
        <v>92.521816517418998</v>
      </c>
    </row>
    <row r="188" spans="3:22" x14ac:dyDescent="0.2">
      <c r="C188" s="88" t="s">
        <v>142</v>
      </c>
      <c r="D188" s="62">
        <f t="shared" ref="D188:V188" si="52">+IFERROR(IF(D149&gt;0,+((D149/D32)*100)," "),"")</f>
        <v>18.607667864331564</v>
      </c>
      <c r="E188" s="62">
        <f t="shared" si="52"/>
        <v>25.125717097212259</v>
      </c>
      <c r="F188" s="62">
        <f t="shared" si="52"/>
        <v>11.21688092268432</v>
      </c>
      <c r="G188" s="62">
        <f t="shared" si="52"/>
        <v>22.52260729387444</v>
      </c>
      <c r="H188" s="62">
        <f t="shared" si="52"/>
        <v>63.810009176997653</v>
      </c>
      <c r="I188" s="62">
        <f t="shared" si="52"/>
        <v>24.28064817137572</v>
      </c>
      <c r="J188" s="62">
        <f t="shared" si="52"/>
        <v>26.381859069171615</v>
      </c>
      <c r="K188" s="62">
        <f t="shared" si="52"/>
        <v>63.565250899215776</v>
      </c>
      <c r="L188" s="62">
        <f t="shared" si="52"/>
        <v>38.135891821396591</v>
      </c>
      <c r="M188" s="62">
        <f t="shared" si="52"/>
        <v>35.951132061318432</v>
      </c>
      <c r="N188" s="62">
        <f t="shared" si="52"/>
        <v>47.622527746129528</v>
      </c>
      <c r="O188" s="62">
        <f t="shared" si="52"/>
        <v>38.730131481344735</v>
      </c>
      <c r="P188" s="62">
        <f t="shared" si="52"/>
        <v>50.830616238990665</v>
      </c>
      <c r="Q188" s="62">
        <f t="shared" si="52"/>
        <v>57.391774085002197</v>
      </c>
      <c r="R188" s="62">
        <f t="shared" si="52"/>
        <v>84.857522970326841</v>
      </c>
      <c r="S188" s="62">
        <f t="shared" si="52"/>
        <v>92.875044128290739</v>
      </c>
      <c r="T188" s="62">
        <f t="shared" si="52"/>
        <v>82.494553504199288</v>
      </c>
      <c r="U188" s="62">
        <f t="shared" si="52"/>
        <v>97.550702960356432</v>
      </c>
      <c r="V188" s="62">
        <f t="shared" si="52"/>
        <v>65.694946242472284</v>
      </c>
    </row>
    <row r="189" spans="3:22" x14ac:dyDescent="0.2">
      <c r="C189" s="87" t="s">
        <v>143</v>
      </c>
      <c r="D189" s="60">
        <f t="shared" ref="D189:V189" si="53">+IFERROR(IF(D150&gt;0,+((D150/D33)*100)," "),"")</f>
        <v>96.550472644321644</v>
      </c>
      <c r="E189" s="60">
        <f t="shared" si="53"/>
        <v>62.315863014269546</v>
      </c>
      <c r="F189" s="60">
        <f t="shared" si="53"/>
        <v>50.901138385407961</v>
      </c>
      <c r="G189" s="60">
        <f t="shared" si="53"/>
        <v>61.399396327768805</v>
      </c>
      <c r="H189" s="60">
        <f t="shared" si="53"/>
        <v>79.00801578346325</v>
      </c>
      <c r="I189" s="60">
        <f t="shared" si="53"/>
        <v>84.943764988128507</v>
      </c>
      <c r="J189" s="60">
        <f t="shared" si="53"/>
        <v>89.720244063132753</v>
      </c>
      <c r="K189" s="60">
        <f t="shared" si="53"/>
        <v>97.087836903666329</v>
      </c>
      <c r="L189" s="60">
        <f t="shared" si="53"/>
        <v>87.739209455946877</v>
      </c>
      <c r="M189" s="60">
        <f t="shared" si="53"/>
        <v>88.6057586348618</v>
      </c>
      <c r="N189" s="60">
        <f t="shared" si="53"/>
        <v>83.452218961005045</v>
      </c>
      <c r="O189" s="60">
        <f t="shared" si="53"/>
        <v>86.596965604806954</v>
      </c>
      <c r="P189" s="60">
        <f t="shared" si="53"/>
        <v>94.574492965580973</v>
      </c>
      <c r="Q189" s="60">
        <f t="shared" si="53"/>
        <v>91.154184760910539</v>
      </c>
      <c r="R189" s="60">
        <f t="shared" si="53"/>
        <v>92.563777462151833</v>
      </c>
      <c r="S189" s="60">
        <f t="shared" si="53"/>
        <v>95.821392584172116</v>
      </c>
      <c r="T189" s="60">
        <f t="shared" si="53"/>
        <v>89.500082311051187</v>
      </c>
      <c r="U189" s="60">
        <f t="shared" si="53"/>
        <v>61.522012695405195</v>
      </c>
      <c r="V189" s="60">
        <f t="shared" si="53"/>
        <v>37.724889132609547</v>
      </c>
    </row>
    <row r="190" spans="3:22" x14ac:dyDescent="0.2">
      <c r="C190" s="88" t="s">
        <v>144</v>
      </c>
      <c r="D190" s="62">
        <f t="shared" ref="D190:V190" si="54">+IFERROR(IF(D151&gt;0,+((D151/D34)*100)," "),"")</f>
        <v>98.025718527667763</v>
      </c>
      <c r="E190" s="62">
        <f t="shared" si="54"/>
        <v>95.825753907381113</v>
      </c>
      <c r="F190" s="62">
        <f t="shared" si="54"/>
        <v>91.764140355033419</v>
      </c>
      <c r="G190" s="62">
        <f t="shared" si="54"/>
        <v>95.666641163029567</v>
      </c>
      <c r="H190" s="62">
        <f t="shared" si="54"/>
        <v>83.284614400000777</v>
      </c>
      <c r="I190" s="62">
        <f t="shared" si="54"/>
        <v>94.678574173464042</v>
      </c>
      <c r="J190" s="62">
        <f t="shared" si="54"/>
        <v>93.777881908613452</v>
      </c>
      <c r="K190" s="62">
        <f t="shared" si="54"/>
        <v>96.681375498893814</v>
      </c>
      <c r="L190" s="62">
        <f t="shared" si="54"/>
        <v>96.176902712869946</v>
      </c>
      <c r="M190" s="62">
        <f t="shared" si="54"/>
        <v>96.087399261362606</v>
      </c>
      <c r="N190" s="62">
        <f t="shared" si="54"/>
        <v>92.124599895425035</v>
      </c>
      <c r="O190" s="62">
        <f t="shared" si="54"/>
        <v>87.476959795009577</v>
      </c>
      <c r="P190" s="62">
        <f t="shared" si="54"/>
        <v>91.718179377066804</v>
      </c>
      <c r="Q190" s="62">
        <f t="shared" si="54"/>
        <v>94.091316772484433</v>
      </c>
      <c r="R190" s="62">
        <f t="shared" si="54"/>
        <v>97.057572571417523</v>
      </c>
      <c r="S190" s="62">
        <f t="shared" si="54"/>
        <v>96.139369704848235</v>
      </c>
      <c r="T190" s="62">
        <f t="shared" si="54"/>
        <v>96.968895740616929</v>
      </c>
      <c r="U190" s="62">
        <f t="shared" si="54"/>
        <v>96.747309947691491</v>
      </c>
      <c r="V190" s="62">
        <f t="shared" si="54"/>
        <v>96.891308944058935</v>
      </c>
    </row>
    <row r="191" spans="3:22" x14ac:dyDescent="0.2">
      <c r="C191" s="87" t="s">
        <v>145</v>
      </c>
      <c r="D191" s="60">
        <f t="shared" ref="D191:V191" si="55">+IFERROR(IF(D152&gt;0,+((D152/D35)*100)," "),"")</f>
        <v>85.563738231138615</v>
      </c>
      <c r="E191" s="60">
        <f t="shared" si="55"/>
        <v>70.466687239107912</v>
      </c>
      <c r="F191" s="60">
        <f t="shared" si="55"/>
        <v>71.893033505299158</v>
      </c>
      <c r="G191" s="60">
        <f t="shared" si="55"/>
        <v>72.113102965383462</v>
      </c>
      <c r="H191" s="60">
        <f t="shared" si="55"/>
        <v>90.205151204216705</v>
      </c>
      <c r="I191" s="60">
        <f t="shared" si="55"/>
        <v>94.917897640507306</v>
      </c>
      <c r="J191" s="60">
        <f t="shared" si="55"/>
        <v>88.021295394806316</v>
      </c>
      <c r="K191" s="60">
        <f t="shared" si="55"/>
        <v>74.324566923039455</v>
      </c>
      <c r="L191" s="60">
        <f t="shared" si="55"/>
        <v>93.722754045068029</v>
      </c>
      <c r="M191" s="60">
        <f t="shared" si="55"/>
        <v>91.76201246681174</v>
      </c>
      <c r="N191" s="60">
        <f t="shared" si="55"/>
        <v>94.654288515189791</v>
      </c>
      <c r="O191" s="60">
        <f t="shared" si="55"/>
        <v>88.849396883272377</v>
      </c>
      <c r="P191" s="60">
        <f t="shared" si="55"/>
        <v>89.788379202717067</v>
      </c>
      <c r="Q191" s="60">
        <f t="shared" si="55"/>
        <v>87.594725048859232</v>
      </c>
      <c r="R191" s="60">
        <f t="shared" si="55"/>
        <v>93.621356819732497</v>
      </c>
      <c r="S191" s="60">
        <f t="shared" si="55"/>
        <v>91.691236319579943</v>
      </c>
      <c r="T191" s="60">
        <f t="shared" si="55"/>
        <v>94.059013808151349</v>
      </c>
      <c r="U191" s="60">
        <f t="shared" si="55"/>
        <v>94.551240982905838</v>
      </c>
      <c r="V191" s="60">
        <f t="shared" si="55"/>
        <v>96.473384602795633</v>
      </c>
    </row>
    <row r="192" spans="3:22" x14ac:dyDescent="0.2">
      <c r="C192" s="88" t="s">
        <v>146</v>
      </c>
      <c r="D192" s="62">
        <f t="shared" ref="D192:V192" si="56">+IFERROR(IF(D153&gt;0,+((D153/D36)*100)," "),"")</f>
        <v>92.430298486309553</v>
      </c>
      <c r="E192" s="62">
        <f t="shared" si="56"/>
        <v>93.68289348172263</v>
      </c>
      <c r="F192" s="62">
        <f t="shared" si="56"/>
        <v>92.61043827030646</v>
      </c>
      <c r="G192" s="62">
        <f t="shared" si="56"/>
        <v>97.715805492638168</v>
      </c>
      <c r="H192" s="62">
        <f t="shared" si="56"/>
        <v>90.67833483794972</v>
      </c>
      <c r="I192" s="62">
        <f t="shared" si="56"/>
        <v>86.113594615415991</v>
      </c>
      <c r="J192" s="62">
        <f t="shared" si="56"/>
        <v>90.136135272427325</v>
      </c>
      <c r="K192" s="62">
        <f t="shared" si="56"/>
        <v>84.198223552815506</v>
      </c>
      <c r="L192" s="62">
        <f t="shared" si="56"/>
        <v>90.389003853067621</v>
      </c>
      <c r="M192" s="62">
        <f t="shared" si="56"/>
        <v>92.812672894450685</v>
      </c>
      <c r="N192" s="62">
        <f t="shared" si="56"/>
        <v>83.091177986393205</v>
      </c>
      <c r="O192" s="62">
        <f t="shared" si="56"/>
        <v>96.336382172783487</v>
      </c>
      <c r="P192" s="62">
        <f t="shared" si="56"/>
        <v>95.629010896991005</v>
      </c>
      <c r="Q192" s="62">
        <f t="shared" si="56"/>
        <v>98.7167707238725</v>
      </c>
      <c r="R192" s="62">
        <f t="shared" si="56"/>
        <v>97.897783172570939</v>
      </c>
      <c r="S192" s="62">
        <f t="shared" si="56"/>
        <v>98.654392740308978</v>
      </c>
      <c r="T192" s="62">
        <f t="shared" si="56"/>
        <v>97.460693147354505</v>
      </c>
      <c r="U192" s="62">
        <f t="shared" si="56"/>
        <v>96.31505256392029</v>
      </c>
      <c r="V192" s="62">
        <f t="shared" si="56"/>
        <v>92.878367898442065</v>
      </c>
    </row>
    <row r="193" spans="3:22" x14ac:dyDescent="0.2">
      <c r="C193" s="90" t="s">
        <v>147</v>
      </c>
      <c r="D193" s="61">
        <f t="shared" ref="D193:V193" si="57">+IFERROR(IF(D154&gt;0,+((D154/D37)*100)," "),"")</f>
        <v>91.112118959459437</v>
      </c>
      <c r="E193" s="61">
        <f t="shared" si="57"/>
        <v>93.598130172593613</v>
      </c>
      <c r="F193" s="61">
        <f t="shared" si="57"/>
        <v>94.038993649647409</v>
      </c>
      <c r="G193" s="61">
        <f t="shared" si="57"/>
        <v>92.91464322610922</v>
      </c>
      <c r="H193" s="61">
        <f t="shared" si="57"/>
        <v>89.428182003912454</v>
      </c>
      <c r="I193" s="61">
        <f t="shared" si="57"/>
        <v>92.069317334903388</v>
      </c>
      <c r="J193" s="61">
        <f t="shared" si="57"/>
        <v>91.790588403286449</v>
      </c>
      <c r="K193" s="61">
        <f t="shared" si="57"/>
        <v>93.315389767324618</v>
      </c>
      <c r="L193" s="61">
        <f t="shared" si="57"/>
        <v>97.623662182105306</v>
      </c>
      <c r="M193" s="61">
        <f t="shared" si="57"/>
        <v>94.48826329676551</v>
      </c>
      <c r="N193" s="61">
        <f t="shared" si="57"/>
        <v>86.402183073686416</v>
      </c>
      <c r="O193" s="61">
        <f t="shared" si="57"/>
        <v>97.99353599558664</v>
      </c>
      <c r="P193" s="61">
        <f t="shared" si="57"/>
        <v>97.023724665512162</v>
      </c>
      <c r="Q193" s="61">
        <f t="shared" si="57"/>
        <v>98.204926115311835</v>
      </c>
      <c r="R193" s="61">
        <f t="shared" si="57"/>
        <v>94.492070310870716</v>
      </c>
      <c r="S193" s="61">
        <f t="shared" si="57"/>
        <v>89.035079924852568</v>
      </c>
      <c r="T193" s="61">
        <f t="shared" si="57"/>
        <v>90.671050043023783</v>
      </c>
      <c r="U193" s="61">
        <f t="shared" si="57"/>
        <v>92.679874312873224</v>
      </c>
      <c r="V193" s="61">
        <f t="shared" si="57"/>
        <v>90.915024551189461</v>
      </c>
    </row>
    <row r="194" spans="3:22" ht="22.5" customHeight="1" x14ac:dyDescent="0.2">
      <c r="C194" s="89" t="s">
        <v>148</v>
      </c>
      <c r="D194" s="63" t="str">
        <f t="shared" ref="D194:V194" si="58">+IFERROR(IF(D155&gt;0,+((D155/D38)*100),"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74.919441741777504</v>
      </c>
    </row>
    <row r="195" spans="3:22" x14ac:dyDescent="0.2">
      <c r="C195" s="87" t="s">
        <v>149</v>
      </c>
      <c r="D195" s="60">
        <f t="shared" ref="D195:V195" si="59">+IFERROR(IF(D156&gt;0,+((D156/D39)*100)," "),"")</f>
        <v>75.937547137563115</v>
      </c>
      <c r="E195" s="60">
        <f t="shared" si="59"/>
        <v>81.508286208827883</v>
      </c>
      <c r="F195" s="60">
        <f t="shared" si="59"/>
        <v>80.981411366288285</v>
      </c>
      <c r="G195" s="60">
        <f t="shared" si="59"/>
        <v>89.390906218364435</v>
      </c>
      <c r="H195" s="60">
        <f t="shared" si="59"/>
        <v>87.807982360166065</v>
      </c>
      <c r="I195" s="60">
        <f t="shared" si="59"/>
        <v>81.53242387824838</v>
      </c>
      <c r="J195" s="60">
        <f t="shared" si="59"/>
        <v>66.738350391121557</v>
      </c>
      <c r="K195" s="60">
        <f t="shared" si="59"/>
        <v>94.443048522047107</v>
      </c>
      <c r="L195" s="60">
        <f t="shared" si="59"/>
        <v>92.220717834837444</v>
      </c>
      <c r="M195" s="60">
        <f t="shared" si="59"/>
        <v>30.546484108868476</v>
      </c>
      <c r="N195" s="60">
        <f t="shared" si="59"/>
        <v>79.026423214518502</v>
      </c>
      <c r="O195" s="60">
        <f t="shared" si="59"/>
        <v>85.284439031453005</v>
      </c>
      <c r="P195" s="60">
        <f t="shared" si="59"/>
        <v>75.682517068611205</v>
      </c>
      <c r="Q195" s="60">
        <f t="shared" si="59"/>
        <v>54.769499154309962</v>
      </c>
      <c r="R195" s="60">
        <f t="shared" si="59"/>
        <v>53.250741071522157</v>
      </c>
      <c r="S195" s="60">
        <f t="shared" si="59"/>
        <v>84.001584706319278</v>
      </c>
      <c r="T195" s="60">
        <f t="shared" si="59"/>
        <v>94.491146950720122</v>
      </c>
      <c r="U195" s="60">
        <f t="shared" si="59"/>
        <v>95.566308786491788</v>
      </c>
      <c r="V195" s="60">
        <f t="shared" si="59"/>
        <v>91.20055824852227</v>
      </c>
    </row>
    <row r="196" spans="3:22" x14ac:dyDescent="0.2">
      <c r="C196" s="88" t="s">
        <v>150</v>
      </c>
      <c r="D196" s="62">
        <f t="shared" ref="D196:V196" si="60">+IFERROR(IF(D157&gt;0,+((D157/D40)*100)," "),"")</f>
        <v>69.552506354167036</v>
      </c>
      <c r="E196" s="62">
        <f t="shared" si="60"/>
        <v>71.350115321724331</v>
      </c>
      <c r="F196" s="62">
        <f t="shared" si="60"/>
        <v>48.03146251990421</v>
      </c>
      <c r="G196" s="62">
        <f t="shared" si="60"/>
        <v>77.126559628082347</v>
      </c>
      <c r="H196" s="62">
        <f t="shared" si="60"/>
        <v>72.2097274252896</v>
      </c>
      <c r="I196" s="62">
        <f t="shared" si="60"/>
        <v>75.049667736093994</v>
      </c>
      <c r="J196" s="62">
        <f t="shared" si="60"/>
        <v>56.359006946286328</v>
      </c>
      <c r="K196" s="62">
        <f t="shared" si="60"/>
        <v>86.763324718845311</v>
      </c>
      <c r="L196" s="62">
        <f t="shared" si="60"/>
        <v>87.267944990876444</v>
      </c>
      <c r="M196" s="62">
        <f t="shared" si="60"/>
        <v>90.720475151630694</v>
      </c>
      <c r="N196" s="62">
        <f t="shared" si="60"/>
        <v>80.272979396009418</v>
      </c>
      <c r="O196" s="62">
        <f t="shared" si="60"/>
        <v>84.692220598661095</v>
      </c>
      <c r="P196" s="62">
        <f t="shared" si="60"/>
        <v>87.80005969513806</v>
      </c>
      <c r="Q196" s="62">
        <f t="shared" si="60"/>
        <v>92.979135439032419</v>
      </c>
      <c r="R196" s="62">
        <f t="shared" si="60"/>
        <v>90.591608489945472</v>
      </c>
      <c r="S196" s="62">
        <f t="shared" si="60"/>
        <v>85.249187032247249</v>
      </c>
      <c r="T196" s="62">
        <f t="shared" si="60"/>
        <v>89.880964077027159</v>
      </c>
      <c r="U196" s="62">
        <f t="shared" si="60"/>
        <v>76.534530516013007</v>
      </c>
      <c r="V196" s="62">
        <f t="shared" si="60"/>
        <v>70.772137951118481</v>
      </c>
    </row>
    <row r="197" spans="3:22" x14ac:dyDescent="0.2">
      <c r="C197" s="87" t="s">
        <v>151</v>
      </c>
      <c r="D197" s="60">
        <f t="shared" ref="D197:V197" si="61">+IFERROR(IF(D158&gt;0,+((D158/D41)*100)," "),"")</f>
        <v>70.509833947678658</v>
      </c>
      <c r="E197" s="60">
        <f t="shared" si="61"/>
        <v>23.248464170538771</v>
      </c>
      <c r="F197" s="60">
        <f t="shared" si="61"/>
        <v>46.999488501571015</v>
      </c>
      <c r="G197" s="60">
        <f t="shared" si="61"/>
        <v>25.202375894993718</v>
      </c>
      <c r="H197" s="60">
        <f t="shared" si="61"/>
        <v>8.8293362814151344</v>
      </c>
      <c r="I197" s="60">
        <f t="shared" si="61"/>
        <v>26.458493170290019</v>
      </c>
      <c r="J197" s="60">
        <f t="shared" si="61"/>
        <v>64.749523507059919</v>
      </c>
      <c r="K197" s="60">
        <f t="shared" si="61"/>
        <v>88.013066362971799</v>
      </c>
      <c r="L197" s="60">
        <f t="shared" si="61"/>
        <v>89.672546597489685</v>
      </c>
      <c r="M197" s="60">
        <f t="shared" si="61"/>
        <v>91.022979083180445</v>
      </c>
      <c r="N197" s="60">
        <f t="shared" si="61"/>
        <v>49.599082421096377</v>
      </c>
      <c r="O197" s="60">
        <f t="shared" si="61"/>
        <v>83.806185524648654</v>
      </c>
      <c r="P197" s="60">
        <f t="shared" si="61"/>
        <v>97.777633048254188</v>
      </c>
      <c r="Q197" s="60">
        <f t="shared" si="61"/>
        <v>96.706824110033068</v>
      </c>
      <c r="R197" s="60">
        <f t="shared" si="61"/>
        <v>98.638701165579391</v>
      </c>
      <c r="S197" s="60">
        <f t="shared" si="61"/>
        <v>97.854117710304308</v>
      </c>
      <c r="T197" s="60">
        <f t="shared" si="61"/>
        <v>97.840910081699562</v>
      </c>
      <c r="U197" s="60">
        <f t="shared" si="61"/>
        <v>98.017554742959149</v>
      </c>
      <c r="V197" s="60">
        <f t="shared" si="61"/>
        <v>60.639076562993743</v>
      </c>
    </row>
    <row r="198" spans="3:22" x14ac:dyDescent="0.2">
      <c r="C198" s="91" t="s">
        <v>154</v>
      </c>
      <c r="D198" s="64">
        <f t="shared" ref="D198:V198" si="62">+IFERROR(IF(D159&gt;0,+((D159/D42)*100)," "),"")</f>
        <v>90.087605614688414</v>
      </c>
      <c r="E198" s="64">
        <f t="shared" si="62"/>
        <v>87.278019474964836</v>
      </c>
      <c r="F198" s="64">
        <f t="shared" si="62"/>
        <v>85.72717439762873</v>
      </c>
      <c r="G198" s="64">
        <f t="shared" si="62"/>
        <v>89.095646256275856</v>
      </c>
      <c r="H198" s="64">
        <f t="shared" si="62"/>
        <v>88.254710129065799</v>
      </c>
      <c r="I198" s="64">
        <f t="shared" si="62"/>
        <v>89.822183744321521</v>
      </c>
      <c r="J198" s="64">
        <f t="shared" si="62"/>
        <v>89.133542967946582</v>
      </c>
      <c r="K198" s="64">
        <f t="shared" si="62"/>
        <v>91.64877600812784</v>
      </c>
      <c r="L198" s="64">
        <f t="shared" si="62"/>
        <v>94.239856813990016</v>
      </c>
      <c r="M198" s="64">
        <f t="shared" si="62"/>
        <v>91.630436606948422</v>
      </c>
      <c r="N198" s="64">
        <f t="shared" si="62"/>
        <v>89.004624306792365</v>
      </c>
      <c r="O198" s="64">
        <f t="shared" si="62"/>
        <v>95.193858889621353</v>
      </c>
      <c r="P198" s="64">
        <f t="shared" si="62"/>
        <v>94.488921667495362</v>
      </c>
      <c r="Q198" s="64">
        <f t="shared" si="62"/>
        <v>94.800761663364327</v>
      </c>
      <c r="R198" s="64">
        <f t="shared" si="62"/>
        <v>92.338014331332829</v>
      </c>
      <c r="S198" s="64">
        <f t="shared" si="62"/>
        <v>93.013649208874924</v>
      </c>
      <c r="T198" s="64">
        <f t="shared" si="62"/>
        <v>92.912758668874829</v>
      </c>
      <c r="U198" s="64">
        <f t="shared" si="62"/>
        <v>94.519136502205754</v>
      </c>
      <c r="V198" s="64">
        <f t="shared" si="62"/>
        <v>90.872156931419354</v>
      </c>
    </row>
    <row r="199" spans="3:22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2" ht="18" customHeight="1" x14ac:dyDescent="0.2">
      <c r="D203" s="186" t="s">
        <v>169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2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2" x14ac:dyDescent="0.2">
      <c r="C205" s="181" t="s">
        <v>120</v>
      </c>
      <c r="D205" s="184">
        <v>2000</v>
      </c>
      <c r="E205" s="155">
        <v>2001</v>
      </c>
      <c r="F205" s="155">
        <v>2002</v>
      </c>
      <c r="G205" s="155">
        <v>2003</v>
      </c>
      <c r="H205" s="155">
        <v>2004</v>
      </c>
      <c r="I205" s="155">
        <v>2005</v>
      </c>
      <c r="J205" s="155">
        <v>2006</v>
      </c>
      <c r="K205" s="155">
        <v>2007</v>
      </c>
      <c r="L205" s="155">
        <v>2008</v>
      </c>
      <c r="M205" s="155">
        <v>2009</v>
      </c>
      <c r="N205" s="155">
        <v>2010</v>
      </c>
      <c r="O205" s="155">
        <v>2011</v>
      </c>
      <c r="P205" s="155">
        <v>2012</v>
      </c>
      <c r="Q205" s="155">
        <v>2013</v>
      </c>
      <c r="R205" s="155">
        <v>2014</v>
      </c>
      <c r="S205" s="155">
        <v>2015</v>
      </c>
      <c r="T205" s="155">
        <v>2016</v>
      </c>
      <c r="U205" s="155">
        <v>2017</v>
      </c>
      <c r="V205" s="155">
        <v>2018</v>
      </c>
    </row>
    <row r="206" spans="3:22" ht="12" customHeight="1" thickBot="1" x14ac:dyDescent="0.25">
      <c r="C206" s="162"/>
      <c r="D206" s="185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</row>
    <row r="207" spans="3:22" x14ac:dyDescent="0.2">
      <c r="C207" s="87" t="s">
        <v>123</v>
      </c>
      <c r="D207" s="56">
        <f>275.987901255879*Deflactores!$A$5</f>
        <v>1029.9635466116977</v>
      </c>
      <c r="E207" s="56">
        <f>441.669339132159*Deflactores!$B$5</f>
        <v>1531.1645640073807</v>
      </c>
      <c r="F207" s="56">
        <f>414.12815016537*Deflactores!$C$5</f>
        <v>1341.8646518689127</v>
      </c>
      <c r="G207" s="56">
        <f>334.78241763442*Deflactores!$D$5</f>
        <v>1018.6435056500031</v>
      </c>
      <c r="H207" s="56">
        <f>396.96979182841*Deflactores!$E$5</f>
        <v>1144.9248979395668</v>
      </c>
      <c r="I207" s="56">
        <f>463.08590328107*Deflactores!$F$5</f>
        <v>1273.7707488603048</v>
      </c>
      <c r="J207" s="56">
        <f>758.81117368653*Deflactores!$G$5</f>
        <v>1997.7392030124367</v>
      </c>
      <c r="K207" s="56">
        <f>1206.97906562796*Deflactores!$H$5</f>
        <v>3006.4402913243184</v>
      </c>
      <c r="L207" s="56">
        <f>1670.72112938623*Deflactores!$I$5</f>
        <v>3864.9552125380865</v>
      </c>
      <c r="M207" s="56">
        <f>1203.20797437393*Deflactores!$J$5</f>
        <v>2728.8102162735477</v>
      </c>
      <c r="N207" s="56">
        <f>1245.87373289658*Deflactores!$K$5</f>
        <v>2738.7228475668339</v>
      </c>
      <c r="O207" s="56">
        <f>1311.56400002329*Deflactores!$L$5</f>
        <v>2779.540738125047</v>
      </c>
      <c r="P207" s="56">
        <f>1359.88939279866*Deflactores!$M$5</f>
        <v>2813.3098872180544</v>
      </c>
      <c r="Q207" s="56">
        <f>2489.406743703*Deflactores!$N$5</f>
        <v>5052.0218322548753</v>
      </c>
      <c r="R207" s="56">
        <f>1900.92607639883*Deflactores!$O$5</f>
        <v>3721.5459083535102</v>
      </c>
      <c r="S207" s="56">
        <f>2194.39772330095*Deflactores!$P$5</f>
        <v>4023.6875919928716</v>
      </c>
      <c r="T207" s="56">
        <f>1264.90820507494*Deflactores!$Q$5</f>
        <v>2193.2469971928363</v>
      </c>
      <c r="U207" s="56">
        <f>1678.40594994793*Deflactores!$R$5</f>
        <v>2795.8671771580989</v>
      </c>
      <c r="V207" s="56">
        <f>1410.29569829354*Deflactores!$S$5</f>
        <v>2276.8487566176341</v>
      </c>
    </row>
    <row r="208" spans="3:22" x14ac:dyDescent="0.2">
      <c r="C208" s="88" t="s">
        <v>124</v>
      </c>
      <c r="D208" s="57">
        <f>87.2162902282*Deflactores!$A$5</f>
        <v>325.48383170778033</v>
      </c>
      <c r="E208" s="57">
        <f>116.11631413385*Deflactores!$B$5</f>
        <v>402.54817292558346</v>
      </c>
      <c r="F208" s="57">
        <f>115.42349030326*Deflactores!$C$5</f>
        <v>373.99703828737768</v>
      </c>
      <c r="G208" s="57">
        <f>129.75048422883*Deflactores!$D$5</f>
        <v>394.79220279414125</v>
      </c>
      <c r="H208" s="57">
        <f>131.86722541421*Deflactores!$E$5</f>
        <v>380.32634398588806</v>
      </c>
      <c r="I208" s="57">
        <f>158.97679503558*Deflactores!$F$5</f>
        <v>437.28385992560555</v>
      </c>
      <c r="J208" s="57">
        <f>195.819616325419*Deflactores!$G$5</f>
        <v>515.53869765991294</v>
      </c>
      <c r="K208" s="57">
        <f>411.25945887125*Deflactores!$H$5</f>
        <v>1024.3980550693989</v>
      </c>
      <c r="L208" s="57">
        <f>1158.35855455749*Deflactores!$I$5</f>
        <v>2679.6835538135342</v>
      </c>
      <c r="M208" s="57">
        <f>1348.97456283595*Deflactores!$J$5</f>
        <v>3059.4009073745397</v>
      </c>
      <c r="N208" s="57">
        <f>1586.124757545*Deflactores!$K$5</f>
        <v>3486.6744501310459</v>
      </c>
      <c r="O208" s="57">
        <f>1300.95836832101*Deflactores!$L$5</f>
        <v>2757.0646825383474</v>
      </c>
      <c r="P208" s="57">
        <f>281.044114761651*Deflactores!$M$5</f>
        <v>581.41801163417188</v>
      </c>
      <c r="Q208" s="57">
        <f>330.697611643999*Deflactores!$N$5</f>
        <v>671.12036155846044</v>
      </c>
      <c r="R208" s="57">
        <f>369.420612531041*Deflactores!$O$5</f>
        <v>723.23473600342959</v>
      </c>
      <c r="S208" s="57">
        <f>405.744426593076*Deflactores!$P$5</f>
        <v>743.98036302506762</v>
      </c>
      <c r="T208" s="57">
        <f>390.989203383527*Deflactores!$Q$5</f>
        <v>677.94318418934972</v>
      </c>
      <c r="U208" s="57">
        <f>423.37593084781*Deflactores!$R$5</f>
        <v>705.25421379307659</v>
      </c>
      <c r="V208" s="57">
        <f>434.499677438149*Deflactores!$S$5</f>
        <v>701.47703883863153</v>
      </c>
    </row>
    <row r="209" spans="3:22" x14ac:dyDescent="0.2">
      <c r="C209" s="87" t="s">
        <v>125</v>
      </c>
      <c r="D209" s="56">
        <f>26.8834639093999*Deflactores!$A$5</f>
        <v>100.32681761531848</v>
      </c>
      <c r="E209" s="56">
        <f>36.73429106495*Deflactores!$B$5</f>
        <v>127.34921756874331</v>
      </c>
      <c r="F209" s="56">
        <f>21.14463452346*Deflactores!$C$5</f>
        <v>68.513182772984692</v>
      </c>
      <c r="G209" s="56">
        <f>14.32293153221*Deflactores!$D$5</f>
        <v>43.580428417502787</v>
      </c>
      <c r="H209" s="56">
        <f>39.00130637267*Deflactores!$E$5</f>
        <v>112.48605722004272</v>
      </c>
      <c r="I209" s="56">
        <f>31.6833689300399*Deflactores!$F$5</f>
        <v>87.148730467701895</v>
      </c>
      <c r="J209" s="56">
        <f>42.7822032775999*Deflactores!$G$5</f>
        <v>112.63366650715105</v>
      </c>
      <c r="K209" s="56">
        <f>60.0597806229799*Deflactores!$H$5</f>
        <v>149.60172010861055</v>
      </c>
      <c r="L209" s="56">
        <f>88.73478132093*Deflactores!$I$5</f>
        <v>205.27420738716987</v>
      </c>
      <c r="M209" s="56">
        <f>74.2152093214499*Deflactores!$J$5</f>
        <v>168.3160565027255</v>
      </c>
      <c r="N209" s="56">
        <f>220.57057114527*Deflactores!$K$5</f>
        <v>484.86587905819641</v>
      </c>
      <c r="O209" s="56">
        <f>234.31040817924*Deflactores!$L$5</f>
        <v>496.563892337195</v>
      </c>
      <c r="P209" s="56">
        <f>314.32878550468*Deflactores!$M$5</f>
        <v>650.27662159909642</v>
      </c>
      <c r="Q209" s="56">
        <f>371.50547393151*Deflactores!$N$5</f>
        <v>753.93616163839806</v>
      </c>
      <c r="R209" s="56">
        <f>300.10470642536*Deflactores!$O$5</f>
        <v>587.53123340321042</v>
      </c>
      <c r="S209" s="56">
        <f>178.15722769886*Deflactores!$P$5</f>
        <v>326.67233423730619</v>
      </c>
      <c r="T209" s="56">
        <f>243.68148692774*Deflactores!$Q$5</f>
        <v>422.52369565749416</v>
      </c>
      <c r="U209" s="56">
        <f>335.84673051296*Deflactores!$R$5</f>
        <v>559.44919071943036</v>
      </c>
      <c r="V209" s="56">
        <f>207.61466380429*Deflactores!$S$5</f>
        <v>335.1830326862389</v>
      </c>
    </row>
    <row r="210" spans="3:22" x14ac:dyDescent="0.2">
      <c r="C210" s="88" t="s">
        <v>126</v>
      </c>
      <c r="D210" s="57">
        <f>100.66916970502*Deflactores!$A$5</f>
        <v>375.68884212683793</v>
      </c>
      <c r="E210" s="57">
        <f>149.57520751286*Deflactores!$B$5</f>
        <v>518.54235081781792</v>
      </c>
      <c r="F210" s="57">
        <f>127.619718133789*Deflactores!$C$5</f>
        <v>413.51545065657206</v>
      </c>
      <c r="G210" s="57">
        <f>123.433218444029*Deflactores!$D$5</f>
        <v>375.57063849986713</v>
      </c>
      <c r="H210" s="57">
        <f>117.24278211482*Deflactores!$E$5</f>
        <v>338.14709106375483</v>
      </c>
      <c r="I210" s="57">
        <f>134.18517826077*Deflactores!$F$5</f>
        <v>369.09168210079133</v>
      </c>
      <c r="J210" s="57">
        <f>178.34873249479*Deflactores!$G$5</f>
        <v>469.54270979094417</v>
      </c>
      <c r="K210" s="57">
        <f>236.658148578809*Deflactores!$H$5</f>
        <v>589.48710331390384</v>
      </c>
      <c r="L210" s="57">
        <f>197.382017924739*Deflactores!$I$5</f>
        <v>456.61280366985079</v>
      </c>
      <c r="M210" s="57">
        <f>287.160480224309*Deflactores!$J$5</f>
        <v>651.26434401654421</v>
      </c>
      <c r="N210" s="57">
        <f>259.962238066699*Deflactores!$K$5</f>
        <v>571.45800741990388</v>
      </c>
      <c r="O210" s="57">
        <f>418.74282959288*Deflactores!$L$5</f>
        <v>887.42352918385711</v>
      </c>
      <c r="P210" s="57">
        <f>570.72196151672*Deflactores!$M$5</f>
        <v>1180.6973020674127</v>
      </c>
      <c r="Q210" s="57">
        <f>609.599190113289*Deflactores!$N$5</f>
        <v>1237.1254417010821</v>
      </c>
      <c r="R210" s="57">
        <f>495.695929657887*Deflactores!$O$5</f>
        <v>970.45076171534083</v>
      </c>
      <c r="S210" s="57">
        <f>471.347333885489*Deflactores!$P$5</f>
        <v>864.27104746583848</v>
      </c>
      <c r="T210" s="57">
        <f>431.84167367725*Deflactores!$Q$5</f>
        <v>748.77801429017052</v>
      </c>
      <c r="U210" s="57">
        <f>491.37020911867*Deflactores!$R$5</f>
        <v>818.51821339814774</v>
      </c>
      <c r="V210" s="57">
        <f>436.505653772989*Deflactores!$S$5</f>
        <v>704.71558287539722</v>
      </c>
    </row>
    <row r="211" spans="3:22" x14ac:dyDescent="0.2">
      <c r="C211" s="87" t="s">
        <v>127</v>
      </c>
      <c r="D211" s="56">
        <f>162.36267304875*Deflactores!$A$5</f>
        <v>605.92378799823859</v>
      </c>
      <c r="E211" s="56">
        <f>176.212293919919*Deflactores!$B$5</f>
        <v>610.88691536248803</v>
      </c>
      <c r="F211" s="56">
        <f>183.29421470424*Deflactores!$C$5</f>
        <v>593.91284438277228</v>
      </c>
      <c r="G211" s="56">
        <f>202.09252200271*Deflactores!$D$5</f>
        <v>614.90754661820017</v>
      </c>
      <c r="H211" s="56">
        <f>212.161283088139*Deflactores!$E$5</f>
        <v>611.9073551355068</v>
      </c>
      <c r="I211" s="56">
        <f>236.41392533257*Deflactores!$F$5</f>
        <v>650.28354475540289</v>
      </c>
      <c r="J211" s="56">
        <f>274.78853444552*Deflactores!$G$5</f>
        <v>723.44194028292736</v>
      </c>
      <c r="K211" s="56">
        <f>281.66485840589*Deflactores!$H$5</f>
        <v>701.59342699208651</v>
      </c>
      <c r="L211" s="56">
        <f>297.87884068075*Deflactores!$I$5</f>
        <v>689.09667672474689</v>
      </c>
      <c r="M211" s="56">
        <f>326.31256272717*Deflactores!$J$5</f>
        <v>740.05913676863156</v>
      </c>
      <c r="N211" s="56">
        <f>355.46258701022*Deflactores!$K$5</f>
        <v>781.39018649726574</v>
      </c>
      <c r="O211" s="56">
        <f>346.654967357439*Deflactores!$L$5</f>
        <v>734.65084725282179</v>
      </c>
      <c r="P211" s="56">
        <f>370.512688758364*Deflactores!$M$5</f>
        <v>766.5086705900793</v>
      </c>
      <c r="Q211" s="56">
        <f>411.761765509603*Deflactores!$N$5</f>
        <v>835.63259973658603</v>
      </c>
      <c r="R211" s="56">
        <f>439.485661673045*Deflactores!$O$5</f>
        <v>860.4048764893688</v>
      </c>
      <c r="S211" s="56">
        <f>449.989091902626*Deflactores!$P$5</f>
        <v>825.10818635789292</v>
      </c>
      <c r="T211" s="56">
        <f>492.712598344024*Deflactores!$Q$5</f>
        <v>854.32320105243343</v>
      </c>
      <c r="U211" s="56">
        <f>524.9818361038*Deflactores!$R$5</f>
        <v>874.50803198853214</v>
      </c>
      <c r="V211" s="56">
        <f>542.02806151796*Deflactores!$S$5</f>
        <v>875.07599960229334</v>
      </c>
    </row>
    <row r="212" spans="3:22" x14ac:dyDescent="0.2">
      <c r="C212" s="88" t="s">
        <v>128</v>
      </c>
      <c r="D212" s="57">
        <f>36.8626536607699*Deflactores!$A$5</f>
        <v>137.56831125276179</v>
      </c>
      <c r="E212" s="57">
        <f>51.60730113956*Deflactores!$B$5</f>
        <v>178.91047384954962</v>
      </c>
      <c r="F212" s="57">
        <f>44.1418614962199*Deflactores!$C$5</f>
        <v>143.02916521327552</v>
      </c>
      <c r="G212" s="57">
        <f>50.38732020531*Deflactores!$D$5</f>
        <v>153.31365624551589</v>
      </c>
      <c r="H212" s="57">
        <f>68.09820633837*Deflactores!$E$5</f>
        <v>196.40620910400955</v>
      </c>
      <c r="I212" s="57">
        <f>86.10826492353*Deflactores!$F$5</f>
        <v>236.8506325016219</v>
      </c>
      <c r="J212" s="57">
        <f>103.58782896269*Deflactores!$G$5</f>
        <v>272.71800159231952</v>
      </c>
      <c r="K212" s="57">
        <f>113.033897309149*Deflactores!$H$5</f>
        <v>281.55390000806392</v>
      </c>
      <c r="L212" s="57">
        <f>144.35656958442*Deflactores!$I$5</f>
        <v>333.94662117213272</v>
      </c>
      <c r="M212" s="57">
        <f>157.2730305408*Deflactores!$J$5</f>
        <v>356.68667564088202</v>
      </c>
      <c r="N212" s="57">
        <f>182.12372306666*Deflactores!$K$5</f>
        <v>400.35068424385901</v>
      </c>
      <c r="O212" s="57">
        <f>197.14376049856*Deflactores!$L$5</f>
        <v>417.79822682170629</v>
      </c>
      <c r="P212" s="57">
        <f>268.82472002885*Deflactores!$M$5</f>
        <v>556.1387909860415</v>
      </c>
      <c r="Q212" s="57">
        <f>341.93770487212*Deflactores!$N$5</f>
        <v>693.93109609538851</v>
      </c>
      <c r="R212" s="57">
        <f>333.349418399949*Deflactores!$O$5</f>
        <v>652.61620612229933</v>
      </c>
      <c r="S212" s="57">
        <f>355.39749230767*Deflactores!$P$5</f>
        <v>651.66330826876992</v>
      </c>
      <c r="T212" s="57">
        <f>292.46712350644*Deflactores!$Q$5</f>
        <v>507.1139848998946</v>
      </c>
      <c r="U212" s="57">
        <f>309.2261181927*Deflactores!$R$5</f>
        <v>515.10491499497027</v>
      </c>
      <c r="V212" s="57">
        <f>351.04374513498*Deflactores!$S$5</f>
        <v>566.74179435993381</v>
      </c>
    </row>
    <row r="213" spans="3:22" x14ac:dyDescent="0.2">
      <c r="C213" s="87" t="s">
        <v>129</v>
      </c>
      <c r="D213" s="56">
        <f>5069.44700501953*Deflactores!$A$5</f>
        <v>18918.748223709463</v>
      </c>
      <c r="E213" s="56">
        <f>6163.38387191625*Deflactores!$B$5</f>
        <v>21367.014059875513</v>
      </c>
      <c r="F213" s="56">
        <f>6731.13388776779*Deflactores!$C$5</f>
        <v>21810.327618119638</v>
      </c>
      <c r="G213" s="56">
        <f>7584.76827221136*Deflactores!$D$5</f>
        <v>23078.198063511281</v>
      </c>
      <c r="H213" s="56">
        <f>8362.72309833312*Deflactores!$E$5</f>
        <v>24119.442050629787</v>
      </c>
      <c r="I213" s="56">
        <f>9363.01322256669*Deflactores!$F$5</f>
        <v>25754.038893425397</v>
      </c>
      <c r="J213" s="56">
        <f>10866.4593383061*Deflactores!$G$5</f>
        <v>28608.371319321857</v>
      </c>
      <c r="K213" s="56">
        <f>12832.411711653*Deflactores!$H$5</f>
        <v>31964.000622250667</v>
      </c>
      <c r="L213" s="56">
        <f>16346.6822504438*Deflactores!$I$5</f>
        <v>37815.523883849259</v>
      </c>
      <c r="M213" s="56">
        <f>17177.8818994699*Deflactores!$J$5</f>
        <v>38958.501455747632</v>
      </c>
      <c r="N213" s="56">
        <f>17583.0731904019*Deflactores!$K$5</f>
        <v>38651.721282409373</v>
      </c>
      <c r="O213" s="56">
        <f>18578.001174527*Deflactores!$L$5</f>
        <v>39371.552662787173</v>
      </c>
      <c r="P213" s="56">
        <f>20506.7386344509*Deflactores!$M$5</f>
        <v>42423.89922327955</v>
      </c>
      <c r="Q213" s="56">
        <f>22759.4083446234*Deflactores!$N$5</f>
        <v>46188.124193480173</v>
      </c>
      <c r="R213" s="56">
        <f>23172.4471133341*Deflactores!$O$5</f>
        <v>45365.954421824303</v>
      </c>
      <c r="S213" s="56">
        <f>23333.421744294*Deflactores!$P$5</f>
        <v>42784.586656434665</v>
      </c>
      <c r="T213" s="56">
        <f>24722.8313409027*Deflactores!$Q$5</f>
        <v>42867.360163362457</v>
      </c>
      <c r="U213" s="56">
        <f>26053.390542935*Deflactores!$R$5</f>
        <v>43399.40493831841</v>
      </c>
      <c r="V213" s="56">
        <f>28025.3738634724*Deflactores!$S$5</f>
        <v>45245.50256517205</v>
      </c>
    </row>
    <row r="214" spans="3:22" x14ac:dyDescent="0.2">
      <c r="C214" s="88" t="s">
        <v>130</v>
      </c>
      <c r="D214" s="57">
        <f>15.439114915*Deflactores!$A$5</f>
        <v>57.617473382124302</v>
      </c>
      <c r="E214" s="57">
        <f>39.76501163626*Deflactores!$B$5</f>
        <v>137.85601876829298</v>
      </c>
      <c r="F214" s="57">
        <f>9.18358797563*Deflactores!$C$5</f>
        <v>29.756808555287531</v>
      </c>
      <c r="G214" s="57">
        <f>14.82418322237*Deflactores!$D$5</f>
        <v>45.105588497549576</v>
      </c>
      <c r="H214" s="57">
        <f>63.57781698878*Deflactores!$E$5</f>
        <v>183.36867722812426</v>
      </c>
      <c r="I214" s="57">
        <f>51.9585998765*Deflactores!$F$5</f>
        <v>142.91807244724606</v>
      </c>
      <c r="J214" s="57">
        <f>73.47830350547*Deflactores!$G$5</f>
        <v>193.44797832980214</v>
      </c>
      <c r="K214" s="57">
        <f>58.29104918677*Deflactores!$H$5</f>
        <v>145.19602194384018</v>
      </c>
      <c r="L214" s="57">
        <f>126.09042507592*Deflactores!$I$5</f>
        <v>291.69071790416098</v>
      </c>
      <c r="M214" s="57">
        <f>107.96479185285*Deflactores!$J$5</f>
        <v>244.85827328330546</v>
      </c>
      <c r="N214" s="57">
        <f>121.07837556635*Deflactores!$K$5</f>
        <v>266.15868426641498</v>
      </c>
      <c r="O214" s="57">
        <f>138.07299162981*Deflactores!$L$5</f>
        <v>292.61210666276332</v>
      </c>
      <c r="P214" s="57">
        <f>208.785182843409*Deflactores!$M$5</f>
        <v>431.93028955771598</v>
      </c>
      <c r="Q214" s="57">
        <f>277.95694301465*Deflactores!$N$5</f>
        <v>564.08802944271702</v>
      </c>
      <c r="R214" s="57">
        <f>250.48148130179*Deflactores!$O$5</f>
        <v>490.3811586523916</v>
      </c>
      <c r="S214" s="57">
        <f>352.26475720274*Deflactores!$P$5</f>
        <v>645.91906818099494</v>
      </c>
      <c r="T214" s="57">
        <f>224.82246659068*Deflactores!$Q$5</f>
        <v>389.82370244193515</v>
      </c>
      <c r="U214" s="57">
        <f>358.76980480957*Deflactores!$R$5</f>
        <v>597.63415486796475</v>
      </c>
      <c r="V214" s="57">
        <f>402.91398656442*Deflactores!$S$5</f>
        <v>650.48359038680894</v>
      </c>
    </row>
    <row r="215" spans="3:22" x14ac:dyDescent="0.2">
      <c r="C215" s="87" t="s">
        <v>131</v>
      </c>
      <c r="D215" s="56">
        <f>4501.88255975813*Deflactores!$A$5</f>
        <v>16800.645631849271</v>
      </c>
      <c r="E215" s="56">
        <f>7241.49544053331*Deflactores!$B$5</f>
        <v>25104.575361179479</v>
      </c>
      <c r="F215" s="56">
        <f>8068.8203302663*Deflactores!$C$5</f>
        <v>26144.720611583733</v>
      </c>
      <c r="G215" s="56">
        <f>9509.56879560315*Deflactores!$D$5</f>
        <v>28934.79461562122</v>
      </c>
      <c r="H215" s="56">
        <f>10931.9665401567*Deflactores!$E$5</f>
        <v>31529.554472189724</v>
      </c>
      <c r="I215" s="56">
        <f>12109.2901907635*Deflactores!$F$5</f>
        <v>33307.987838044144</v>
      </c>
      <c r="J215" s="56">
        <f>12967.3642747961*Deflactores!$G$5</f>
        <v>34139.470885288792</v>
      </c>
      <c r="K215" s="56">
        <f>14095.9339078888*Deflactores!$H$5</f>
        <v>35111.283079688765</v>
      </c>
      <c r="L215" s="56">
        <f>15542.4418380685*Deflactores!$I$5</f>
        <v>35955.037942017902</v>
      </c>
      <c r="M215" s="56">
        <f>18210.9773551253*Deflactores!$J$5</f>
        <v>41301.505735822415</v>
      </c>
      <c r="N215" s="56">
        <f>19863.1418424301*Deflactores!$K$5</f>
        <v>43663.847267931618</v>
      </c>
      <c r="O215" s="56">
        <f>21234.7224709212*Deflactores!$L$5</f>
        <v>45001.826955952383</v>
      </c>
      <c r="P215" s="56">
        <f>22309.7932579042*Deflactores!$M$5</f>
        <v>46154.019795009328</v>
      </c>
      <c r="Q215" s="56">
        <f>24495.1594023044*Deflactores!$N$5</f>
        <v>49710.671186230706</v>
      </c>
      <c r="R215" s="56">
        <f>26062.8779505419*Deflactores!$O$5</f>
        <v>51024.707378681858</v>
      </c>
      <c r="S215" s="56">
        <f>28696.743540038*Deflactores!$P$5</f>
        <v>52618.871085484105</v>
      </c>
      <c r="T215" s="56">
        <f>31029.7782351837*Deflactores!$Q$5</f>
        <v>53803.088370230216</v>
      </c>
      <c r="U215" s="56">
        <f>35333.2826713046*Deflactores!$R$5</f>
        <v>58857.730625308075</v>
      </c>
      <c r="V215" s="56">
        <f>37862.2482746657*Deflactores!$S$5</f>
        <v>61126.622602076204</v>
      </c>
    </row>
    <row r="216" spans="3:22" x14ac:dyDescent="0.2">
      <c r="C216" s="88" t="s">
        <v>132</v>
      </c>
      <c r="D216" s="57">
        <f>6.87251134135*Deflactores!$A$5</f>
        <v>25.647632099290004</v>
      </c>
      <c r="E216" s="57">
        <f>7.22846594450999*Deflactores!$B$5</f>
        <v>25.059405138050604</v>
      </c>
      <c r="F216" s="57">
        <f>6.78687900776*Deflactores!$C$5</f>
        <v>21.990953846985914</v>
      </c>
      <c r="G216" s="57">
        <f>6.93880014991*Deflactores!$D$5</f>
        <v>21.112708844308163</v>
      </c>
      <c r="H216" s="57">
        <f>7.06204996417*Deflactores!$E$5</f>
        <v>20.368090975462483</v>
      </c>
      <c r="I216" s="57">
        <f>8.04635507984*Deflactores!$F$5</f>
        <v>22.132420060782881</v>
      </c>
      <c r="J216" s="57">
        <f>8.60732535857*Deflactores!$G$5</f>
        <v>22.660698600890424</v>
      </c>
      <c r="K216" s="57">
        <f>10.16240127676*Deflactores!$H$5</f>
        <v>25.313324418896372</v>
      </c>
      <c r="L216" s="57">
        <f>11.1359978569499*Deflactores!$I$5</f>
        <v>25.761410571160408</v>
      </c>
      <c r="M216" s="57">
        <f>10.6785981713699*Deflactores!$J$5</f>
        <v>24.218479602976927</v>
      </c>
      <c r="N216" s="57">
        <f>11.81712201405*Deflactores!$K$5</f>
        <v>25.97680743867987</v>
      </c>
      <c r="O216" s="57">
        <f>14.5831223439799*Deflactores!$L$5</f>
        <v>30.905379107259705</v>
      </c>
      <c r="P216" s="57">
        <f>23.38847486061*Deflactores!$M$5</f>
        <v>48.38557306259316</v>
      </c>
      <c r="Q216" s="57">
        <f>22.90865746126*Deflactores!$N$5</f>
        <v>46.491011537061176</v>
      </c>
      <c r="R216" s="57">
        <f>27.08466586909*Deflactores!$O$5</f>
        <v>53.025116913113379</v>
      </c>
      <c r="S216" s="57">
        <f>27.06407959161*Deflactores!$P$5</f>
        <v>49.62518876371162</v>
      </c>
      <c r="T216" s="57">
        <f>32.71359571897*Deflactores!$Q$5</f>
        <v>56.722689670402268</v>
      </c>
      <c r="U216" s="57">
        <f>40.2882888872599*Deflactores!$R$5</f>
        <v>67.111716642358104</v>
      </c>
      <c r="V216" s="57">
        <f>40.4467794447399*Deflactores!$S$5</f>
        <v>65.299213207112672</v>
      </c>
    </row>
    <row r="217" spans="3:22" x14ac:dyDescent="0.2">
      <c r="C217" s="87" t="s">
        <v>133</v>
      </c>
      <c r="D217" s="56">
        <f>557.49439954369*Deflactores!$A$5</f>
        <v>2080.52203142708</v>
      </c>
      <c r="E217" s="56">
        <f>631.07945758592*Deflactores!$B$5</f>
        <v>2187.8052581762336</v>
      </c>
      <c r="F217" s="56">
        <f>634.21117413908*Deflactores!$C$5</f>
        <v>2054.9811841037094</v>
      </c>
      <c r="G217" s="56">
        <f>660.562053944369*Deflactores!$D$5</f>
        <v>2009.8942205024507</v>
      </c>
      <c r="H217" s="56">
        <f>730.35315760303*Deflactores!$E$5</f>
        <v>2106.4562887191587</v>
      </c>
      <c r="I217" s="56">
        <f>828.817652346669*Deflactores!$F$5</f>
        <v>2279.7577603166314</v>
      </c>
      <c r="J217" s="56">
        <f>893.49310343196*Deflactores!$G$5</f>
        <v>2352.3193414184675</v>
      </c>
      <c r="K217" s="56">
        <f>1015.87651149627*Deflactores!$H$5</f>
        <v>2530.4267175366226</v>
      </c>
      <c r="L217" s="56">
        <f>1175.36035414827*Deflactores!$I$5</f>
        <v>2719.0145904510214</v>
      </c>
      <c r="M217" s="56">
        <f>1353.63438548279*Deflactores!$J$5</f>
        <v>3069.969131584769</v>
      </c>
      <c r="N217" s="56">
        <f>1413.03099196528*Deflactores!$K$5</f>
        <v>3106.1737316012432</v>
      </c>
      <c r="O217" s="56">
        <f>1507.30953630196*Deflactores!$L$5</f>
        <v>3194.3757689607787</v>
      </c>
      <c r="P217" s="56">
        <f>1782.93634222831*Deflactores!$M$5</f>
        <v>3688.5003048287908</v>
      </c>
      <c r="Q217" s="56">
        <f>2046.97898230337*Deflactores!$N$5</f>
        <v>4154.1554167161348</v>
      </c>
      <c r="R217" s="56">
        <f>2337.68710875596*Deflactores!$O$5</f>
        <v>4576.616630501836</v>
      </c>
      <c r="S217" s="56">
        <f>2558.80310110904*Deflactores!$P$5</f>
        <v>4691.8679230115613</v>
      </c>
      <c r="T217" s="56">
        <f>2885.49314656052*Deflactores!$Q$5</f>
        <v>5003.208259479532</v>
      </c>
      <c r="U217" s="56">
        <f>3105.43646515495*Deflactores!$R$5</f>
        <v>5172.9963683374408</v>
      </c>
      <c r="V217" s="56">
        <f>3421.07737562496*Deflactores!$S$5</f>
        <v>5523.1507678917578</v>
      </c>
    </row>
    <row r="218" spans="3:22" x14ac:dyDescent="0.2">
      <c r="C218" s="88" t="s">
        <v>134</v>
      </c>
      <c r="D218" s="57">
        <f>5010.60094736939*Deflactores!$A$5</f>
        <v>18699.139704764784</v>
      </c>
      <c r="E218" s="57">
        <f>5927.76321086255*Deflactores!$B$5</f>
        <v>20550.172194731993</v>
      </c>
      <c r="F218" s="57">
        <f>5025.99348365381*Deflactores!$C$5</f>
        <v>16285.304424597656</v>
      </c>
      <c r="G218" s="57">
        <f>4455.33609276353*Deflactores!$D$5</f>
        <v>13556.265016693706</v>
      </c>
      <c r="H218" s="57">
        <f>4951.37208817326*Deflactores!$E$5</f>
        <v>14280.555597447046</v>
      </c>
      <c r="I218" s="57">
        <f>6105.30457310885*Deflactores!$F$5</f>
        <v>16793.338607392245</v>
      </c>
      <c r="J218" s="57">
        <f>5296.66707507888*Deflactores!$G$5</f>
        <v>13944.654254078667</v>
      </c>
      <c r="K218" s="57">
        <f>6036.03247144117*Deflactores!$H$5</f>
        <v>15035.033944388455</v>
      </c>
      <c r="L218" s="57">
        <f>6127.89175400736*Deflactores!$I$5</f>
        <v>14175.930836058</v>
      </c>
      <c r="M218" s="57">
        <f>6012.77891794296*Deflactores!$J$5</f>
        <v>13636.655415298803</v>
      </c>
      <c r="N218" s="57">
        <f>6611.67571363071*Deflactores!$K$5</f>
        <v>14534.01485199005</v>
      </c>
      <c r="O218" s="57">
        <f>6768.14539066759*Deflactores!$L$5</f>
        <v>14343.437174685923</v>
      </c>
      <c r="P218" s="57">
        <f>7103.48312356357*Deflactores!$M$5</f>
        <v>14695.532894833585</v>
      </c>
      <c r="Q218" s="57">
        <f>7560.55982515011*Deflactores!$N$5</f>
        <v>15343.460202855653</v>
      </c>
      <c r="R218" s="57">
        <f>10470.6965227977*Deflactores!$O$5</f>
        <v>20499.049534766586</v>
      </c>
      <c r="S218" s="57">
        <f>13662.0218251531*Deflactores!$P$5</f>
        <v>25050.931795860808</v>
      </c>
      <c r="T218" s="57">
        <f>15446.4922946851*Deflactores!$Q$5</f>
        <v>26782.949708570566</v>
      </c>
      <c r="U218" s="57">
        <f>18454.5058324958*Deflactores!$R$5</f>
        <v>30741.279920598714</v>
      </c>
      <c r="V218" s="57">
        <f>10503.7545046066*Deflactores!$S$5</f>
        <v>16957.763121995024</v>
      </c>
    </row>
    <row r="219" spans="3:22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</row>
    <row r="220" spans="3:22" x14ac:dyDescent="0.2">
      <c r="C220" s="88" t="s">
        <v>136</v>
      </c>
      <c r="D220" s="57">
        <f>51.8259591926899*Deflactores!$A$5</f>
        <v>193.41010418846739</v>
      </c>
      <c r="E220" s="57">
        <f>124.09944738177*Deflactores!$B$5</f>
        <v>430.22383355211082</v>
      </c>
      <c r="F220" s="57">
        <f>63.21684259827*Deflactores!$C$5</f>
        <v>204.83622388747457</v>
      </c>
      <c r="G220" s="57">
        <f>52.70640981384*Deflactores!$D$5</f>
        <v>160.36995742597136</v>
      </c>
      <c r="H220" s="57">
        <f>124.33604700725*Deflactores!$E$5</f>
        <v>358.60521092627107</v>
      </c>
      <c r="I220" s="57">
        <f>274.175673734399*Deflactores!$F$5</f>
        <v>754.15155325938451</v>
      </c>
      <c r="J220" s="57">
        <f>835.7669658911*Deflactores!$G$5</f>
        <v>2200.3424438675306</v>
      </c>
      <c r="K220" s="57">
        <f>1245.41321782824*Deflactores!$H$5</f>
        <v>3102.175161156295</v>
      </c>
      <c r="L220" s="57">
        <f>1636.35061683776*Deflactores!$I$5</f>
        <v>3785.4443418755391</v>
      </c>
      <c r="M220" s="57">
        <f>1774.92151635625*Deflactores!$J$5</f>
        <v>4025.4254211013435</v>
      </c>
      <c r="N220" s="57">
        <f>2701.7600036571*Deflactores!$K$5</f>
        <v>5939.1025392716701</v>
      </c>
      <c r="O220" s="57">
        <f>2835.97503971097*Deflactores!$L$5</f>
        <v>6010.158981980645</v>
      </c>
      <c r="P220" s="57">
        <f>4084.49279460485*Deflactores!$M$5</f>
        <v>8449.9107237569515</v>
      </c>
      <c r="Q220" s="57">
        <f>4832.14713670903*Deflactores!$N$5</f>
        <v>9806.3978066552572</v>
      </c>
      <c r="R220" s="57">
        <f>7390.5799502482*Deflactores!$O$5</f>
        <v>14468.938543002569</v>
      </c>
      <c r="S220" s="57">
        <f>8597.65581382664*Deflactores!$P$5</f>
        <v>15764.818132549257</v>
      </c>
      <c r="T220" s="57">
        <f>6534.25786027933*Deflactores!$Q$5</f>
        <v>11329.866763013264</v>
      </c>
      <c r="U220" s="57">
        <f>7407.60017009485*Deflactores!$R$5</f>
        <v>12339.485675513399</v>
      </c>
      <c r="V220" s="57">
        <f>7563.11255706743*Deflactores!$S$5</f>
        <v>12210.250263511756</v>
      </c>
    </row>
    <row r="221" spans="3:22" x14ac:dyDescent="0.2">
      <c r="C221" s="87" t="s">
        <v>137</v>
      </c>
      <c r="D221" s="56">
        <f>48.4717889598599*Deflactores!$A$5</f>
        <v>180.89262406261938</v>
      </c>
      <c r="E221" s="56">
        <f>49.15387536447*Deflactores!$B$5</f>
        <v>170.40501903436697</v>
      </c>
      <c r="F221" s="56">
        <f>49.09515410166*Deflactores!$C$5</f>
        <v>159.07890309018535</v>
      </c>
      <c r="G221" s="56">
        <f>44.6574826488199*Deflactores!$D$5</f>
        <v>135.87946165253189</v>
      </c>
      <c r="H221" s="56">
        <f>69.88146196257*Deflactores!$E$5</f>
        <v>201.54940590529125</v>
      </c>
      <c r="I221" s="56">
        <f>145.51456914694*Deflactores!$F$5</f>
        <v>400.25446768972984</v>
      </c>
      <c r="J221" s="56">
        <f>79.6959718993099*Deflactores!$G$5</f>
        <v>209.81737342101974</v>
      </c>
      <c r="K221" s="56">
        <f>95.59816049475*Deflactores!$H$5</f>
        <v>238.12356789997273</v>
      </c>
      <c r="L221" s="56">
        <f>119.01239981507*Deflactores!$I$5</f>
        <v>275.31679999217033</v>
      </c>
      <c r="M221" s="56">
        <f>113.59355051967*Deflactores!$J$5</f>
        <v>257.62399166457612</v>
      </c>
      <c r="N221" s="56">
        <f>141.69144590969*Deflactores!$K$5</f>
        <v>311.47105037317664</v>
      </c>
      <c r="O221" s="56">
        <f>166.67687479333*Deflactores!$L$5</f>
        <v>353.23107647297559</v>
      </c>
      <c r="P221" s="56">
        <f>220.774656921459*Deflactores!$M$5</f>
        <v>456.73385530721117</v>
      </c>
      <c r="Q221" s="56">
        <f>273.336706074499*Deflactores!$N$5</f>
        <v>554.71168387328521</v>
      </c>
      <c r="R221" s="56">
        <f>440.748278225949*Deflactores!$O$5</f>
        <v>862.87676928131839</v>
      </c>
      <c r="S221" s="56">
        <f>274.72693222128*Deflactores!$P$5</f>
        <v>503.74430151257911</v>
      </c>
      <c r="T221" s="56">
        <f>261.15745154229*Deflactores!$Q$5</f>
        <v>452.82558377880588</v>
      </c>
      <c r="U221" s="56">
        <f>256.72139642266*Deflactores!$R$5</f>
        <v>427.64322061332962</v>
      </c>
      <c r="V221" s="56">
        <f>525.203558456389*Deflactores!$S$5</f>
        <v>847.91371801638263</v>
      </c>
    </row>
    <row r="222" spans="3:22" x14ac:dyDescent="0.2">
      <c r="C222" s="88" t="s">
        <v>138</v>
      </c>
      <c r="D222" s="57">
        <f>134.46357398484*Deflactores!$A$5</f>
        <v>501.8067057334822</v>
      </c>
      <c r="E222" s="57">
        <f>162.03531115432*Deflactores!$B$5</f>
        <v>561.73862338939909</v>
      </c>
      <c r="F222" s="57">
        <f>158.081069009469*Deflactores!$C$5</f>
        <v>512.21680667868475</v>
      </c>
      <c r="G222" s="57">
        <f>168.605080704179*Deflactores!$D$5</f>
        <v>513.01520459910967</v>
      </c>
      <c r="H222" s="57">
        <f>178.69529184586*Deflactores!$E$5</f>
        <v>515.38603941767303</v>
      </c>
      <c r="I222" s="57">
        <f>208.27327020891*Deflactores!$F$5</f>
        <v>572.87945385927389</v>
      </c>
      <c r="J222" s="57">
        <f>211.5811642222*Deflactores!$G$5</f>
        <v>557.03447846211463</v>
      </c>
      <c r="K222" s="57">
        <f>215.222254229569*Deflactores!$H$5</f>
        <v>536.09285788960813</v>
      </c>
      <c r="L222" s="57">
        <f>271.405943420359*Deflactores!$I$5</f>
        <v>627.85571887852552</v>
      </c>
      <c r="M222" s="57">
        <f>233.51645138972*Deflactores!$J$5</f>
        <v>529.60260552776128</v>
      </c>
      <c r="N222" s="57">
        <f>239.944958169789*Deflactores!$K$5</f>
        <v>527.45532853498162</v>
      </c>
      <c r="O222" s="57">
        <f>249.214802428229*Deflactores!$L$5</f>
        <v>528.15012906785091</v>
      </c>
      <c r="P222" s="57">
        <f>136.30782270088*Deflactores!$M$5</f>
        <v>281.99068787525079</v>
      </c>
      <c r="Q222" s="57">
        <f>144.00699710384*Deflactores!$N$5</f>
        <v>292.24894453522148</v>
      </c>
      <c r="R222" s="57">
        <f>88.76683525415*Deflactores!$O$5</f>
        <v>173.78363979487116</v>
      </c>
      <c r="S222" s="57">
        <f>73.23585503259*Deflactores!$P$5</f>
        <v>134.28659629684074</v>
      </c>
      <c r="T222" s="57">
        <f>87.2751272472299*Deflactores!$Q$5</f>
        <v>151.3279066390981</v>
      </c>
      <c r="U222" s="57">
        <f>87.29626979986*Deflactores!$R$5</f>
        <v>145.41701036590001</v>
      </c>
      <c r="V222" s="57">
        <f>91.983347156*Deflactores!$S$5</f>
        <v>148.50231044105149</v>
      </c>
    </row>
    <row r="223" spans="3:22" x14ac:dyDescent="0.2">
      <c r="C223" s="87" t="s">
        <v>139</v>
      </c>
      <c r="D223" s="56">
        <f>336.49932323452*Deflactores!$A$5</f>
        <v>1255.7870646283611</v>
      </c>
      <c r="E223" s="56">
        <f>452.04767782869*Deflactores!$B$5</f>
        <v>1567.143843159108</v>
      </c>
      <c r="F223" s="56">
        <f>429.6874798935*Deflactores!$C$5</f>
        <v>1392.280240764798</v>
      </c>
      <c r="G223" s="56">
        <f>470.498408097189*Deflactores!$D$5</f>
        <v>1431.586972856579</v>
      </c>
      <c r="H223" s="56">
        <f>582.421936176*Deflactores!$E$5</f>
        <v>1679.7987896326085</v>
      </c>
      <c r="I223" s="56">
        <f>701.117148502829*Deflactores!$F$5</f>
        <v>1928.5029169743605</v>
      </c>
      <c r="J223" s="56">
        <f>799.35493640029*Deflactores!$G$5</f>
        <v>2104.479676821501</v>
      </c>
      <c r="K223" s="56">
        <f>934.57712382282*Deflactores!$H$5</f>
        <v>2327.9196801554153</v>
      </c>
      <c r="L223" s="56">
        <f>990.4219049963*Deflactores!$I$5</f>
        <v>2291.1880606511595</v>
      </c>
      <c r="M223" s="56">
        <f>1183.8570362083*Deflactores!$J$5</f>
        <v>2684.923341447668</v>
      </c>
      <c r="N223" s="56">
        <f>1469.94518834701*Deflactores!$K$5</f>
        <v>3231.2844919181462</v>
      </c>
      <c r="O223" s="56">
        <f>3175.93450291309*Deflactores!$L$5</f>
        <v>6730.6203374803654</v>
      </c>
      <c r="P223" s="56">
        <f>1469.06188261093*Deflactores!$M$5</f>
        <v>3039.1635828403018</v>
      </c>
      <c r="Q223" s="56">
        <f>1861.55541296466*Deflactores!$N$5</f>
        <v>3777.8553512955887</v>
      </c>
      <c r="R223" s="56">
        <f>2039.64164269743*Deflactores!$O$5</f>
        <v>3993.1168834655291</v>
      </c>
      <c r="S223" s="56">
        <f>2083.69643460394*Deflactores!$P$5</f>
        <v>3820.7036948542341</v>
      </c>
      <c r="T223" s="56">
        <f>2081.49581093055*Deflactores!$Q$5</f>
        <v>3609.1428758835723</v>
      </c>
      <c r="U223" s="56">
        <f>2296.23524271577*Deflactores!$R$5</f>
        <v>3825.0393156327</v>
      </c>
      <c r="V223" s="56">
        <f>2692.94744831319*Deflactores!$S$5</f>
        <v>4347.6230245526249</v>
      </c>
    </row>
    <row r="224" spans="3:22" x14ac:dyDescent="0.2">
      <c r="C224" s="88" t="s">
        <v>140</v>
      </c>
      <c r="D224" s="57">
        <f>263.91924957131*Deflactores!$A$5</f>
        <v>984.92435744689669</v>
      </c>
      <c r="E224" s="57">
        <f>426.75103910671*Deflactores!$B$5</f>
        <v>1479.4462980324749</v>
      </c>
      <c r="F224" s="57">
        <f>284.86987728527*Deflactores!$C$5</f>
        <v>923.0399299315817</v>
      </c>
      <c r="G224" s="57">
        <f>341.931581838189*Deflactores!$D$5</f>
        <v>1040.3962898566908</v>
      </c>
      <c r="H224" s="57">
        <f>595.90259841956*Deflactores!$E$5</f>
        <v>1718.6791935350727</v>
      </c>
      <c r="I224" s="57">
        <f>570.439838502729*Deflactores!$F$5</f>
        <v>1569.0600277857234</v>
      </c>
      <c r="J224" s="57">
        <f>525.55474780108*Deflactores!$G$5</f>
        <v>1383.6397768244533</v>
      </c>
      <c r="K224" s="57">
        <f>2252.15859316998*Deflactores!$H$5</f>
        <v>5609.8573121777854</v>
      </c>
      <c r="L224" s="57">
        <f>1433.03366581878*Deflactores!$I$5</f>
        <v>3315.1019874175931</v>
      </c>
      <c r="M224" s="57">
        <f>6104.12323203162*Deflactores!$J$5</f>
        <v>13843.819349375399</v>
      </c>
      <c r="N224" s="57">
        <f>1066.78144198881*Deflactores!$K$5</f>
        <v>2345.0359626271784</v>
      </c>
      <c r="O224" s="57">
        <f>1573.62980794967*Deflactores!$L$5</f>
        <v>3334.9254461439405</v>
      </c>
      <c r="P224" s="57">
        <f>1890.08849837767*Deflactores!$M$5</f>
        <v>3910.1743776821259</v>
      </c>
      <c r="Q224" s="57">
        <f>2354.40917578201*Deflactores!$N$5</f>
        <v>4778.0566949130935</v>
      </c>
      <c r="R224" s="57">
        <f>2053.02921421487*Deflactores!$O$5</f>
        <v>4019.326457116023</v>
      </c>
      <c r="S224" s="57">
        <f>2372.88752337646*Deflactores!$P$5</f>
        <v>4350.96973699108</v>
      </c>
      <c r="T224" s="57">
        <f>2304.31150132404*Deflactores!$Q$5</f>
        <v>3995.4869931264661</v>
      </c>
      <c r="U224" s="57">
        <f>2658.61721229309*Deflactores!$R$5</f>
        <v>4428.6905683981977</v>
      </c>
      <c r="V224" s="57">
        <f>3219.45634982325*Deflactores!$S$5</f>
        <v>5197.6441507617055</v>
      </c>
    </row>
    <row r="225" spans="2:22" x14ac:dyDescent="0.2">
      <c r="C225" s="87" t="s">
        <v>141</v>
      </c>
      <c r="D225" s="56">
        <f>327.83657188915*Deflactores!$A$5</f>
        <v>1223.4584079789511</v>
      </c>
      <c r="E225" s="56">
        <f>321.70309792633*Deflactores!$B$5</f>
        <v>1115.2695920528906</v>
      </c>
      <c r="F225" s="56">
        <f>341.25359650506*Deflactores!$C$5</f>
        <v>1105.7353582228623</v>
      </c>
      <c r="G225" s="56">
        <f>349.380545818479*Deflactores!$D$5</f>
        <v>1063.0612757778722</v>
      </c>
      <c r="H225" s="56">
        <f>373.826147535879*Deflactores!$E$5</f>
        <v>1078.1748954833865</v>
      </c>
      <c r="I225" s="56">
        <f>426.954114970769*Deflactores!$F$5</f>
        <v>1174.3861320374083</v>
      </c>
      <c r="J225" s="56">
        <f>482.275047043619*Deflactores!$G$5</f>
        <v>1269.6963375393266</v>
      </c>
      <c r="K225" s="56">
        <f>550.982543825129*Deflactores!$H$5</f>
        <v>1372.4315249083488</v>
      </c>
      <c r="L225" s="56">
        <f>638.56108170528*Deflactores!$I$5</f>
        <v>1477.2124071762053</v>
      </c>
      <c r="M225" s="56">
        <f>724.84171572633*Deflactores!$J$5</f>
        <v>1643.9015707857598</v>
      </c>
      <c r="N225" s="56">
        <f>806.51671341772*Deflactores!$K$5</f>
        <v>1772.9130100899054</v>
      </c>
      <c r="O225" s="56">
        <f>845.606023814489*Deflactores!$L$5</f>
        <v>1792.0561951643792</v>
      </c>
      <c r="P225" s="56">
        <f>977.48219943551*Deflactores!$M$5</f>
        <v>2022.1941216793641</v>
      </c>
      <c r="Q225" s="56">
        <f>1093.507359505*Deflactores!$N$5</f>
        <v>2219.1725269182189</v>
      </c>
      <c r="R225" s="56">
        <f>1215.96365344404*Deflactores!$O$5</f>
        <v>2380.5578845833111</v>
      </c>
      <c r="S225" s="56">
        <f>1274.51063518102*Deflactores!$P$5</f>
        <v>2336.9658900878808</v>
      </c>
      <c r="T225" s="56">
        <f>1406.53424394108*Deflactores!$Q$5</f>
        <v>2438.8149231666225</v>
      </c>
      <c r="U225" s="56">
        <f>1580.71994840168*Deflactores!$R$5</f>
        <v>2633.1430844560632</v>
      </c>
      <c r="V225" s="56">
        <f>1716.87416344463*Deflactores!$S$5</f>
        <v>2771.8036785036065</v>
      </c>
    </row>
    <row r="226" spans="2:22" x14ac:dyDescent="0.2">
      <c r="C226" s="88" t="s">
        <v>142</v>
      </c>
      <c r="D226" s="57">
        <f>86.12592102411*Deflactores!$A$5</f>
        <v>321.41466589489386</v>
      </c>
      <c r="E226" s="57">
        <f>252.454097578479*Deflactores!$B$5</f>
        <v>875.19946258928132</v>
      </c>
      <c r="F226" s="57">
        <f>95.56838464213*Deflactores!$C$5</f>
        <v>309.66220754681194</v>
      </c>
      <c r="G226" s="57">
        <f>91.71013004314*Deflactores!$D$5</f>
        <v>279.04669854190394</v>
      </c>
      <c r="H226" s="57">
        <f>177.8674104945*Deflactores!$E$5</f>
        <v>512.99829609003552</v>
      </c>
      <c r="I226" s="57">
        <f>66.44642927426*Deflactores!$F$5</f>
        <v>182.76850445261059</v>
      </c>
      <c r="J226" s="57">
        <f>90.93905792352*Deflactores!$G$5</f>
        <v>239.41729826699259</v>
      </c>
      <c r="K226" s="57">
        <f>170.7919960924*Deflactores!$H$5</f>
        <v>425.42240632876985</v>
      </c>
      <c r="L226" s="57">
        <f>190.338266302659*Deflactores!$I$5</f>
        <v>440.31817252600291</v>
      </c>
      <c r="M226" s="57">
        <f>343.24390331059*Deflactores!$J$5</f>
        <v>778.45849593451806</v>
      </c>
      <c r="N226" s="57">
        <f>337.15822608264*Deflactores!$K$5</f>
        <v>741.15290549614656</v>
      </c>
      <c r="O226" s="57">
        <f>298.493154136729*Deflactores!$L$5</f>
        <v>632.58360397185675</v>
      </c>
      <c r="P226" s="57">
        <f>480.873871628556*Deflactores!$M$5</f>
        <v>994.82150880909126</v>
      </c>
      <c r="Q226" s="57">
        <f>325.53472298555*Deflactores!$N$5</f>
        <v>660.64275427874907</v>
      </c>
      <c r="R226" s="57">
        <f>296.56188790351*Deflactores!$O$5</f>
        <v>580.59526575158691</v>
      </c>
      <c r="S226" s="57">
        <f>217.695982158323*Deflactores!$P$5</f>
        <v>399.17131381247577</v>
      </c>
      <c r="T226" s="57">
        <f>266.9343348057*Deflactores!$Q$5</f>
        <v>462.84222516019128</v>
      </c>
      <c r="U226" s="57">
        <f>287.17973869718*Deflactores!$R$5</f>
        <v>478.38033783971895</v>
      </c>
      <c r="V226" s="57">
        <f>246.013001980488*Deflactores!$S$5</f>
        <v>397.17514443872244</v>
      </c>
    </row>
    <row r="227" spans="2:22" x14ac:dyDescent="0.2">
      <c r="C227" s="87" t="s">
        <v>143</v>
      </c>
      <c r="D227" s="56">
        <f>519.28996388923*Deflactores!$A$5</f>
        <v>1937.9463030567124</v>
      </c>
      <c r="E227" s="56">
        <f>434.53259556806*Deflactores!$B$5</f>
        <v>1506.4231389647737</v>
      </c>
      <c r="F227" s="56">
        <f>581.73350719791*Deflactores!$C$5</f>
        <v>1884.942208842582</v>
      </c>
      <c r="G227" s="56">
        <f>493.25358723375*Deflactores!$D$5</f>
        <v>1500.8242273430799</v>
      </c>
      <c r="H227" s="56">
        <f>514.11028588113*Deflactores!$E$5</f>
        <v>1482.7769737364902</v>
      </c>
      <c r="I227" s="56">
        <f>531.769648211609*Deflactores!$F$5</f>
        <v>1462.6932459495813</v>
      </c>
      <c r="J227" s="56">
        <f>193.707584003709*Deflactores!$G$5</f>
        <v>509.97830277720345</v>
      </c>
      <c r="K227" s="56">
        <f>323.4822294536*Deflactores!$H$5</f>
        <v>805.75548976132325</v>
      </c>
      <c r="L227" s="56">
        <f>279.03868379348*Deflactores!$I$5</f>
        <v>645.51288450130153</v>
      </c>
      <c r="M227" s="56">
        <f>273.710360827189*Deflactores!$J$5</f>
        <v>620.76020507908595</v>
      </c>
      <c r="N227" s="56">
        <f>278.47670011032*Deflactores!$K$5</f>
        <v>612.15713998078184</v>
      </c>
      <c r="O227" s="56">
        <f>258.214570902429*Deflactores!$L$5</f>
        <v>547.22294831821773</v>
      </c>
      <c r="P227" s="56">
        <f>321.669898953839*Deflactores!$M$5</f>
        <v>665.4637589935611</v>
      </c>
      <c r="Q227" s="56">
        <f>419.55353465725*Deflactores!$N$5</f>
        <v>851.44527797624096</v>
      </c>
      <c r="R227" s="56">
        <f>399.359914855409*Deflactores!$O$5</f>
        <v>781.84852927375425</v>
      </c>
      <c r="S227" s="56">
        <f>453.488376130149*Deflactores!$P$5</f>
        <v>831.5245375861291</v>
      </c>
      <c r="T227" s="56">
        <f>492.81556942265*Deflactores!$Q$5</f>
        <v>854.501744450356</v>
      </c>
      <c r="U227" s="56">
        <f>946.606054302899*Deflactores!$R$5</f>
        <v>1576.8442652426957</v>
      </c>
      <c r="V227" s="56">
        <f>558.51065827205*Deflactores!$S$5</f>
        <v>901.68629130976217</v>
      </c>
    </row>
    <row r="228" spans="2:22" x14ac:dyDescent="0.2">
      <c r="C228" s="88" t="s">
        <v>144</v>
      </c>
      <c r="D228" s="57">
        <f>651.603211265379*Deflactores!$A$5</f>
        <v>2431.7281714325327</v>
      </c>
      <c r="E228" s="57">
        <f>768.78315157199*Deflactores!$B$5</f>
        <v>2665.1918410408766</v>
      </c>
      <c r="F228" s="57">
        <f>757.377538022979*Deflactores!$C$5</f>
        <v>2454.0668051343764</v>
      </c>
      <c r="G228" s="57">
        <f>758.64414113991*Deflactores!$D$5</f>
        <v>2308.3288929332975</v>
      </c>
      <c r="H228" s="57">
        <f>857.92111038983*Deflactores!$E$5</f>
        <v>2474.3828371148584</v>
      </c>
      <c r="I228" s="57">
        <f>1001.1944786702*Deflactores!$F$5</f>
        <v>2753.8999391145462</v>
      </c>
      <c r="J228" s="57">
        <f>1141.28755112518*Deflactores!$G$5</f>
        <v>3004.6933438208889</v>
      </c>
      <c r="K228" s="57">
        <f>1251.92743625647*Deflactores!$H$5</f>
        <v>3118.4012990462084</v>
      </c>
      <c r="L228" s="57">
        <f>1382.48460054591*Deflactores!$I$5</f>
        <v>3198.164534554302</v>
      </c>
      <c r="M228" s="57">
        <f>1591.79816597594*Deflactores!$J$5</f>
        <v>3610.1116266461113</v>
      </c>
      <c r="N228" s="57">
        <f>1706.05888271731*Deflactores!$K$5</f>
        <v>3750.3178034977491</v>
      </c>
      <c r="O228" s="57">
        <f>1844.54177571753*Deflactores!$L$5</f>
        <v>3909.0574372957371</v>
      </c>
      <c r="P228" s="57">
        <f>2123.5887388934*Deflactores!$M$5</f>
        <v>4393.2346462520391</v>
      </c>
      <c r="Q228" s="57">
        <f>2573.40625712867*Deflactores!$N$5</f>
        <v>5222.4911124553564</v>
      </c>
      <c r="R228" s="57">
        <f>2816.204692881*Deflactores!$O$5</f>
        <v>5513.4364150193896</v>
      </c>
      <c r="S228" s="57">
        <f>2925.89222470223*Deflactores!$P$5</f>
        <v>5364.96921913193</v>
      </c>
      <c r="T228" s="57">
        <f>3162.40046426952*Deflactores!$Q$5</f>
        <v>5483.3428183584556</v>
      </c>
      <c r="U228" s="57">
        <f>3462.24762919295*Deflactores!$R$5</f>
        <v>5767.3678444444986</v>
      </c>
      <c r="V228" s="57">
        <f>4024.01833501514*Deflactores!$S$5</f>
        <v>6496.5674601233741</v>
      </c>
    </row>
    <row r="229" spans="2:22" x14ac:dyDescent="0.2">
      <c r="C229" s="87" t="s">
        <v>145</v>
      </c>
      <c r="D229" s="56">
        <f>149.670216053309*Deflactores!$A$5</f>
        <v>558.55661007937545</v>
      </c>
      <c r="E229" s="56">
        <f>121.0981130667*Deflactores!$B$5</f>
        <v>419.81890764757696</v>
      </c>
      <c r="F229" s="56">
        <f>169.85648766476*Deflactores!$C$5</f>
        <v>550.37170643177592</v>
      </c>
      <c r="G229" s="56">
        <f>230.484178927489*Deflactores!$D$5</f>
        <v>701.2949296397619</v>
      </c>
      <c r="H229" s="56">
        <f>129.29846306602*Deflactores!$E$5</f>
        <v>372.91761911595205</v>
      </c>
      <c r="I229" s="56">
        <f>187.06339811284*Deflactores!$F$5</f>
        <v>514.53927448515742</v>
      </c>
      <c r="J229" s="56">
        <f>460.97867221053*Deflactores!$G$5</f>
        <v>1213.6288936726069</v>
      </c>
      <c r="K229" s="56">
        <f>315.35753044536*Deflactores!$H$5</f>
        <v>785.5178376355617</v>
      </c>
      <c r="L229" s="56">
        <f>306.56296348758*Deflactores!$I$5</f>
        <v>709.18605317317247</v>
      </c>
      <c r="M229" s="56">
        <f>317.348748683659*Deflactores!$J$5</f>
        <v>719.72969426187217</v>
      </c>
      <c r="N229" s="56">
        <f>687.07533486735*Deflactores!$K$5</f>
        <v>1510.3528294364046</v>
      </c>
      <c r="O229" s="56">
        <f>510.16777071566*Deflactores!$L$5</f>
        <v>1081.1764442737333</v>
      </c>
      <c r="P229" s="56">
        <f>385.25465845314*Deflactores!$M$5</f>
        <v>797.00653998961116</v>
      </c>
      <c r="Q229" s="56">
        <f>502.69691538913*Deflactores!$N$5</f>
        <v>1020.177115683133</v>
      </c>
      <c r="R229" s="56">
        <f>1044.80585178372*Deflactores!$O$5</f>
        <v>2045.4729886685564</v>
      </c>
      <c r="S229" s="56">
        <f>792.52563394825*Deflactores!$P$5</f>
        <v>1453.1894222242231</v>
      </c>
      <c r="T229" s="56">
        <f>656.21486902129*Deflactores!$Q$5</f>
        <v>1137.8227172690104</v>
      </c>
      <c r="U229" s="56">
        <f>686.36197243326*Deflactores!$R$5</f>
        <v>1143.3330002406015</v>
      </c>
      <c r="V229" s="56">
        <f>1746.55630732292*Deflactores!$S$5</f>
        <v>2819.7239497380747</v>
      </c>
    </row>
    <row r="230" spans="2:22" x14ac:dyDescent="0.2">
      <c r="C230" s="88" t="s">
        <v>146</v>
      </c>
      <c r="D230" s="57">
        <f>137.35289434502*Deflactores!$A$5</f>
        <v>512.58940538055583</v>
      </c>
      <c r="E230" s="57">
        <f>152.140573639659*Deflactores!$B$5</f>
        <v>527.43587671838793</v>
      </c>
      <c r="F230" s="57">
        <f>155.9885152445*Deflactores!$C$5</f>
        <v>505.43648052064452</v>
      </c>
      <c r="G230" s="57">
        <f>178.60079000935*Deflactores!$D$5</f>
        <v>543.42918045848853</v>
      </c>
      <c r="H230" s="57">
        <f>175.555893584789*Deflactores!$E$5</f>
        <v>506.33150854998917</v>
      </c>
      <c r="I230" s="57">
        <f>219.3728341471*Deflactores!$F$5</f>
        <v>603.41007413814225</v>
      </c>
      <c r="J230" s="57">
        <f>219.52232557786*Deflactores!$G$5</f>
        <v>577.94135214529399</v>
      </c>
      <c r="K230" s="57">
        <f>204.07036352793*Deflactores!$H$5</f>
        <v>508.3148338255296</v>
      </c>
      <c r="L230" s="57">
        <f>211.01246592172*Deflactores!$I$5</f>
        <v>488.14473925656029</v>
      </c>
      <c r="M230" s="57">
        <f>206.193152371009*Deflactores!$J$5</f>
        <v>467.63485008352757</v>
      </c>
      <c r="N230" s="57">
        <f>216.55528483086*Deflactores!$K$5</f>
        <v>476.03933742846772</v>
      </c>
      <c r="O230" s="57">
        <f>245.051440581838*Deflactores!$L$5</f>
        <v>519.32689675940549</v>
      </c>
      <c r="P230" s="57">
        <f>371.392660641713*Deflactores!$M$5</f>
        <v>768.32913746996633</v>
      </c>
      <c r="Q230" s="57">
        <f>372.274060028009*Deflactores!$N$5</f>
        <v>755.49593637159603</v>
      </c>
      <c r="R230" s="57">
        <f>467.855189527166*Deflactores!$O$5</f>
        <v>915.94543728142014</v>
      </c>
      <c r="S230" s="57">
        <f>586.49513975614*Deflactores!$P$5</f>
        <v>1075.4081593973938</v>
      </c>
      <c r="T230" s="57">
        <f>676.717583149837*Deflactores!$Q$5</f>
        <v>1173.3727405958609</v>
      </c>
      <c r="U230" s="57">
        <f>625.359535462737*Deflactores!$R$5</f>
        <v>1041.7159205002488</v>
      </c>
      <c r="V230" s="57">
        <f>609.04947815015*Deflactores!$S$5</f>
        <v>983.27857677132056</v>
      </c>
    </row>
    <row r="231" spans="2:22" x14ac:dyDescent="0.2">
      <c r="C231" s="90" t="s">
        <v>147</v>
      </c>
      <c r="D231" s="58">
        <f>4302.40476531304*Deflactores!$A$5</f>
        <v>16056.211344324258</v>
      </c>
      <c r="E231" s="58">
        <f>5868.88758305294*Deflactores!$B$5</f>
        <v>20346.064127907845</v>
      </c>
      <c r="F231" s="58">
        <f>6937.53686308582*Deflactores!$C$5</f>
        <v>22479.117838029197</v>
      </c>
      <c r="G231" s="58">
        <f>7778.92046149744*Deflactores!$D$5</f>
        <v>23668.945535022642</v>
      </c>
      <c r="H231" s="58">
        <f>9821.15157244827*Deflactores!$E$5</f>
        <v>28325.784967020296</v>
      </c>
      <c r="I231" s="58">
        <f>12956.9539589357*Deflactores!$F$5</f>
        <v>35639.583995725297</v>
      </c>
      <c r="J231" s="58">
        <f>14191.148097639*Deflactores!$G$5</f>
        <v>37361.354014695178</v>
      </c>
      <c r="K231" s="58">
        <f>16080.9183612601*Deflactores!$H$5</f>
        <v>40055.641609356382</v>
      </c>
      <c r="L231" s="58">
        <f>17686.7884981914*Deflactores!$I$5</f>
        <v>40915.652646505005</v>
      </c>
      <c r="M231" s="58">
        <f>18498.8110796449*Deflactores!$J$5</f>
        <v>41954.296961267748</v>
      </c>
      <c r="N231" s="58">
        <f>18133.4686738389*Deflactores!$K$5</f>
        <v>39861.619722263255</v>
      </c>
      <c r="O231" s="58">
        <f>19178.2799618141*Deflactores!$L$5</f>
        <v>40643.697478798567</v>
      </c>
      <c r="P231" s="58">
        <f>21420.6686660447*Deflactores!$M$5</f>
        <v>44314.61798888215</v>
      </c>
      <c r="Q231" s="58">
        <f>25889.586600348*Deflactores!$N$5</f>
        <v>52540.53282528423</v>
      </c>
      <c r="R231" s="58">
        <f>30519.8841919084*Deflactores!$O$5</f>
        <v>59750.429828913257</v>
      </c>
      <c r="S231" s="58">
        <f>30376.0768977747*Deflactores!$P$5</f>
        <v>55698.12728530389</v>
      </c>
      <c r="T231" s="58">
        <f>32365.9531807544*Deflactores!$Q$5</f>
        <v>56119.906045488809</v>
      </c>
      <c r="U231" s="58">
        <f>35099.4123043597*Deflactores!$R$5</f>
        <v>58468.15235750495</v>
      </c>
      <c r="V231" s="58">
        <f>44149.2376913647*Deflactores!$S$5</f>
        <v>71276.638696998678</v>
      </c>
    </row>
    <row r="232" spans="2:22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0.22979044090739087</v>
      </c>
      <c r="V232" s="59">
        <f>120.319795553179*Deflactores!$S$5</f>
        <v>194.25002659599929</v>
      </c>
    </row>
    <row r="233" spans="2:22" x14ac:dyDescent="0.2">
      <c r="C233" s="87" t="s">
        <v>149</v>
      </c>
      <c r="D233" s="56">
        <f>29.8579478772099*Deflactores!$A$5</f>
        <v>111.42734065594564</v>
      </c>
      <c r="E233" s="56">
        <f>22.53363079752*Deflactores!$B$5</f>
        <v>78.118841220408768</v>
      </c>
      <c r="F233" s="56">
        <f>14.8975056967699*Deflactores!$C$5</f>
        <v>48.271136090431632</v>
      </c>
      <c r="G233" s="56">
        <f>17.17418928252*Deflactores!$D$5</f>
        <v>52.255959261715518</v>
      </c>
      <c r="H233" s="56">
        <f>19.03689981666*Deflactores!$E$5</f>
        <v>54.905489103554864</v>
      </c>
      <c r="I233" s="56">
        <f>37.36482751316*Deflactores!$F$5</f>
        <v>102.77623219635477</v>
      </c>
      <c r="J233" s="56">
        <f>30.80633092575*Deflactores!$G$5</f>
        <v>81.104518654293074</v>
      </c>
      <c r="K233" s="56">
        <f>29.04182042413*Deflactores!$H$5</f>
        <v>72.339696307063548</v>
      </c>
      <c r="L233" s="56">
        <f>33.12300703291*Deflactores!$I$5</f>
        <v>76.624959387334329</v>
      </c>
      <c r="M233" s="56">
        <f>39.81617563257*Deflactores!$J$5</f>
        <v>90.300919835270875</v>
      </c>
      <c r="N233" s="56">
        <f>100.30432864258*Deflactores!$K$5</f>
        <v>220.4924538577535</v>
      </c>
      <c r="O233" s="56">
        <f>118.44447543295*Deflactores!$L$5</f>
        <v>251.01424304562318</v>
      </c>
      <c r="P233" s="56">
        <f>101.05325401911*Deflactores!$M$5</f>
        <v>209.05679548131545</v>
      </c>
      <c r="Q233" s="56">
        <f>42.54449896715*Deflactores!$N$5</f>
        <v>86.340144360928846</v>
      </c>
      <c r="R233" s="56">
        <f>62.71793869002*Deflactores!$O$5</f>
        <v>122.78630453341174</v>
      </c>
      <c r="S233" s="56">
        <f>63.74851742266*Deflactores!$P$5</f>
        <v>116.89044143540623</v>
      </c>
      <c r="T233" s="56">
        <f>73.1661942080299*Deflactores!$Q$5</f>
        <v>126.86417488554618</v>
      </c>
      <c r="U233" s="56">
        <f>72.35755169704*Deflactores!$R$5</f>
        <v>120.53228470475247</v>
      </c>
      <c r="V233" s="56">
        <f>73.33571388322*Deflactores!$S$5</f>
        <v>118.39668033641115</v>
      </c>
    </row>
    <row r="234" spans="2:22" x14ac:dyDescent="0.2">
      <c r="C234" s="88" t="s">
        <v>150</v>
      </c>
      <c r="D234" s="57">
        <f>356.716072507359*Deflactores!$A$5</f>
        <v>1331.2342660718307</v>
      </c>
      <c r="E234" s="57">
        <f>727.986426880229*Deflactores!$B$5</f>
        <v>2523.7591137921836</v>
      </c>
      <c r="F234" s="57">
        <f>362.60876154299*Deflactores!$C$5</f>
        <v>1174.9307053340942</v>
      </c>
      <c r="G234" s="57">
        <f>341.77079727025*Deflactores!$D$5</f>
        <v>1039.9070701506587</v>
      </c>
      <c r="H234" s="57">
        <f>559.968090455169*Deflactores!$E$5</f>
        <v>1615.0382774992684</v>
      </c>
      <c r="I234" s="57">
        <f>883.08100193498*Deflactores!$F$5</f>
        <v>2429.0153104839915</v>
      </c>
      <c r="J234" s="57">
        <f>1152.44643862528*Deflactores!$G$5</f>
        <v>3034.0715973232082</v>
      </c>
      <c r="K234" s="57">
        <f>1718.53702732015*Deflactores!$H$5</f>
        <v>4280.6699040632748</v>
      </c>
      <c r="L234" s="57">
        <f>1374.13299695833*Deflactores!$I$5</f>
        <v>3178.8443899466097</v>
      </c>
      <c r="M234" s="57">
        <f>2133.68586385502*Deflactores!$J$5</f>
        <v>4839.0834399478063</v>
      </c>
      <c r="N234" s="57">
        <f>2094.27005866145*Deflactores!$K$5</f>
        <v>4603.6970739372364</v>
      </c>
      <c r="O234" s="57">
        <f>3311.09300661934*Deflactores!$L$5</f>
        <v>7017.055896209391</v>
      </c>
      <c r="P234" s="57">
        <f>5217.51188100658*Deflactores!$M$5</f>
        <v>10793.876207317926</v>
      </c>
      <c r="Q234" s="57">
        <f>5195.3265467632*Deflactores!$N$5</f>
        <v>10543.43698808282</v>
      </c>
      <c r="R234" s="57">
        <f>4924.34952666584*Deflactores!$O$5</f>
        <v>9640.6657048881552</v>
      </c>
      <c r="S234" s="57">
        <f>4165.20909065521*Deflactores!$P$5</f>
        <v>7637.403173620959</v>
      </c>
      <c r="T234" s="57">
        <f>2917.32986171863*Deflactores!$Q$5</f>
        <v>5058.4105102364329</v>
      </c>
      <c r="U234" s="57">
        <f>2504.14792713104*Deflactores!$R$5</f>
        <v>4171.3776076826762</v>
      </c>
      <c r="V234" s="57">
        <f>2300.13250220533*Deflactores!$S$5</f>
        <v>3713.4438075921644</v>
      </c>
    </row>
    <row r="235" spans="2:22" x14ac:dyDescent="0.2">
      <c r="C235" s="87" t="s">
        <v>151</v>
      </c>
      <c r="D235" s="56">
        <f>77.86727215901*Deflactores!$A$5</f>
        <v>290.5940855846261</v>
      </c>
      <c r="E235" s="56">
        <f>39.32383661224*Deflactores!$B$5</f>
        <v>136.32656787946323</v>
      </c>
      <c r="F235" s="56">
        <f>72.92030603935*Deflactores!$C$5</f>
        <v>236.27754123595253</v>
      </c>
      <c r="G235" s="56">
        <f>51.2757556073*Deflactores!$D$5</f>
        <v>156.01690141239595</v>
      </c>
      <c r="H235" s="56">
        <f>18.88626598919*Deflactores!$E$5</f>
        <v>54.471036852798001</v>
      </c>
      <c r="I235" s="56">
        <f>31.16586500318*Deflactores!$F$5</f>
        <v>85.725276720170314</v>
      </c>
      <c r="J235" s="56">
        <f>118.88193252504*Deflactores!$G$5</f>
        <v>312.9831312068456</v>
      </c>
      <c r="K235" s="56">
        <f>289.18471412849*Deflactores!$H$5</f>
        <v>720.32448693603669</v>
      </c>
      <c r="L235" s="56">
        <f>211.56625805128*Deflactores!$I$5</f>
        <v>489.42585178944108</v>
      </c>
      <c r="M235" s="56">
        <f>247.00716585591*Deflactores!$J$5</f>
        <v>560.19881187298927</v>
      </c>
      <c r="N235" s="56">
        <f>184.41300274062*Deflactores!$K$5</f>
        <v>405.38305821723742</v>
      </c>
      <c r="O235" s="56">
        <f>790.50118307173*Deflactores!$L$5</f>
        <v>1675.2748945876085</v>
      </c>
      <c r="P235" s="56">
        <f>2083.90812294276*Deflactores!$M$5</f>
        <v>4311.1442425942132</v>
      </c>
      <c r="Q235" s="56">
        <f>2012.63460090615*Deflactores!$N$5</f>
        <v>4084.4566561287229</v>
      </c>
      <c r="R235" s="56">
        <f>2229.53886662889*Deflactores!$O$5</f>
        <v>4364.8889610355473</v>
      </c>
      <c r="S235" s="56">
        <f>2130.09994283383*Deflactores!$P$5</f>
        <v>3905.7900118454322</v>
      </c>
      <c r="T235" s="56">
        <f>2067.46919018956*Deflactores!$Q$5</f>
        <v>3584.8218668984841</v>
      </c>
      <c r="U235" s="56">
        <f>2294.6695789907*Deflactores!$R$5</f>
        <v>3822.4312530126131</v>
      </c>
      <c r="V235" s="56">
        <f>2303.41686545827*Deflactores!$S$5</f>
        <v>3718.7462405484475</v>
      </c>
    </row>
    <row r="236" spans="2:22" x14ac:dyDescent="0.2">
      <c r="C236" s="79" t="s">
        <v>152</v>
      </c>
      <c r="D236" s="44">
        <f t="shared" ref="D236:V236" si="63">+SUM(D207:D235)</f>
        <v>87049.257291064161</v>
      </c>
      <c r="E236" s="44">
        <f t="shared" si="63"/>
        <v>107144.44907938228</v>
      </c>
      <c r="F236" s="44">
        <f t="shared" si="63"/>
        <v>103222.17802573033</v>
      </c>
      <c r="G236" s="44">
        <f t="shared" si="63"/>
        <v>104840.53674882844</v>
      </c>
      <c r="H236" s="44">
        <f t="shared" si="63"/>
        <v>115975.7436716216</v>
      </c>
      <c r="I236" s="44">
        <f t="shared" si="63"/>
        <v>131528.24919516963</v>
      </c>
      <c r="J236" s="44">
        <f t="shared" si="63"/>
        <v>137412.7212353826</v>
      </c>
      <c r="K236" s="44">
        <f t="shared" si="63"/>
        <v>154523.31587449121</v>
      </c>
      <c r="L236" s="44">
        <f t="shared" si="63"/>
        <v>161126.52200378792</v>
      </c>
      <c r="M236" s="44">
        <f t="shared" si="63"/>
        <v>181566.11711274821</v>
      </c>
      <c r="N236" s="44">
        <f t="shared" si="63"/>
        <v>175019.82938748461</v>
      </c>
      <c r="O236" s="44">
        <f t="shared" si="63"/>
        <v>185333.30397398554</v>
      </c>
      <c r="P236" s="44">
        <f t="shared" si="63"/>
        <v>199398.33553959749</v>
      </c>
      <c r="Q236" s="44">
        <f t="shared" si="63"/>
        <v>222444.21935205968</v>
      </c>
      <c r="R236" s="44">
        <f t="shared" si="63"/>
        <v>239140.18757603597</v>
      </c>
      <c r="S236" s="44">
        <f t="shared" si="63"/>
        <v>236671.1464657333</v>
      </c>
      <c r="T236" s="44">
        <f t="shared" si="63"/>
        <v>230286.43185998831</v>
      </c>
      <c r="U236" s="44">
        <f t="shared" si="63"/>
        <v>245494.64300271845</v>
      </c>
      <c r="V236" s="44">
        <f t="shared" si="63"/>
        <v>251172.50808594917</v>
      </c>
    </row>
    <row r="237" spans="2:22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2" x14ac:dyDescent="0.2">
      <c r="C238" s="2"/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64" t="s">
        <v>170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2.25" customHeight="1" x14ac:dyDescent="0.2">
      <c r="H243" s="27"/>
      <c r="I243" s="27"/>
      <c r="J243" s="27"/>
      <c r="L243" s="179"/>
      <c r="M243" s="160"/>
      <c r="N243" s="160"/>
      <c r="O243" s="160"/>
      <c r="P243" s="160"/>
      <c r="Q243" s="160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1" t="s">
        <v>120</v>
      </c>
      <c r="D245" s="184">
        <v>2000</v>
      </c>
      <c r="E245" s="155">
        <v>2001</v>
      </c>
      <c r="F245" s="155">
        <v>2002</v>
      </c>
      <c r="G245" s="155">
        <v>2003</v>
      </c>
      <c r="H245" s="155">
        <v>2004</v>
      </c>
      <c r="I245" s="155">
        <v>2005</v>
      </c>
      <c r="J245" s="155">
        <v>2006</v>
      </c>
      <c r="K245" s="155">
        <v>2007</v>
      </c>
      <c r="L245" s="155">
        <v>2008</v>
      </c>
      <c r="M245" s="155">
        <v>2009</v>
      </c>
      <c r="N245" s="155">
        <v>2010</v>
      </c>
      <c r="O245" s="155">
        <v>2011</v>
      </c>
      <c r="P245" s="155">
        <v>2012</v>
      </c>
      <c r="Q245" s="155">
        <v>2013</v>
      </c>
      <c r="R245" s="155">
        <v>2014</v>
      </c>
      <c r="S245" s="155">
        <v>2015</v>
      </c>
      <c r="T245" s="155">
        <v>2016</v>
      </c>
      <c r="U245" s="155">
        <v>2017</v>
      </c>
      <c r="V245" s="155">
        <v>2018</v>
      </c>
    </row>
    <row r="246" spans="3:22" ht="12" customHeight="1" thickBot="1" x14ac:dyDescent="0.25">
      <c r="C246" s="162"/>
      <c r="D246" s="185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</row>
    <row r="247" spans="3:22" x14ac:dyDescent="0.2">
      <c r="C247" s="87" t="s">
        <v>123</v>
      </c>
      <c r="D247" s="60">
        <f t="shared" ref="D247:V247" si="64">+IFERROR(IF(D207&gt;0,+((D207/D13)*100)," "),"")</f>
        <v>60.558432039761669</v>
      </c>
      <c r="E247" s="60">
        <f t="shared" si="64"/>
        <v>64.134939515966764</v>
      </c>
      <c r="F247" s="60">
        <f t="shared" si="64"/>
        <v>57.448225412780573</v>
      </c>
      <c r="G247" s="60">
        <f t="shared" si="64"/>
        <v>66.04440873902729</v>
      </c>
      <c r="H247" s="60">
        <f t="shared" si="64"/>
        <v>66.909137146283442</v>
      </c>
      <c r="I247" s="60">
        <f t="shared" si="64"/>
        <v>72.499796093908301</v>
      </c>
      <c r="J247" s="60">
        <f t="shared" si="64"/>
        <v>78.843525054228309</v>
      </c>
      <c r="K247" s="60">
        <f t="shared" si="64"/>
        <v>88.962707240891262</v>
      </c>
      <c r="L247" s="60">
        <f t="shared" si="64"/>
        <v>91.742175995044818</v>
      </c>
      <c r="M247" s="60">
        <f t="shared" si="64"/>
        <v>76.693135861223297</v>
      </c>
      <c r="N247" s="60">
        <f t="shared" si="64"/>
        <v>77.3220112789528</v>
      </c>
      <c r="O247" s="60">
        <f t="shared" si="64"/>
        <v>77.887072035724131</v>
      </c>
      <c r="P247" s="60">
        <f t="shared" si="64"/>
        <v>61.651832678426466</v>
      </c>
      <c r="Q247" s="60">
        <f t="shared" si="64"/>
        <v>67.748590295107448</v>
      </c>
      <c r="R247" s="60">
        <f t="shared" si="64"/>
        <v>56.596500728448532</v>
      </c>
      <c r="S247" s="60">
        <f t="shared" si="64"/>
        <v>58.667362524820831</v>
      </c>
      <c r="T247" s="60">
        <f t="shared" si="64"/>
        <v>49.793220941475568</v>
      </c>
      <c r="U247" s="60">
        <f t="shared" si="64"/>
        <v>60.179376714732143</v>
      </c>
      <c r="V247" s="60">
        <f t="shared" si="64"/>
        <v>59.671461937919588</v>
      </c>
    </row>
    <row r="248" spans="3:22" x14ac:dyDescent="0.2">
      <c r="C248" s="88" t="s">
        <v>124</v>
      </c>
      <c r="D248" s="62">
        <f t="shared" ref="D248:V248" si="65">+IFERROR(IF(D208&gt;0,+((D208/D14)*100)," "),"")</f>
        <v>61.526473698861174</v>
      </c>
      <c r="E248" s="62">
        <f t="shared" si="65"/>
        <v>73.129208761288496</v>
      </c>
      <c r="F248" s="62">
        <f t="shared" si="65"/>
        <v>68.450297627886812</v>
      </c>
      <c r="G248" s="62">
        <f t="shared" si="65"/>
        <v>64.167827009030901</v>
      </c>
      <c r="H248" s="62">
        <f t="shared" si="65"/>
        <v>40.091705178063044</v>
      </c>
      <c r="I248" s="62">
        <f t="shared" si="65"/>
        <v>52.223646494217711</v>
      </c>
      <c r="J248" s="62">
        <f t="shared" si="65"/>
        <v>45.794648712121045</v>
      </c>
      <c r="K248" s="62">
        <f t="shared" si="65"/>
        <v>81.022714849805297</v>
      </c>
      <c r="L248" s="62">
        <f t="shared" si="65"/>
        <v>79.7197265409403</v>
      </c>
      <c r="M248" s="62">
        <f t="shared" si="65"/>
        <v>79.535760351874842</v>
      </c>
      <c r="N248" s="62">
        <f t="shared" si="65"/>
        <v>83.973858605713559</v>
      </c>
      <c r="O248" s="62">
        <f t="shared" si="65"/>
        <v>95.165061762173693</v>
      </c>
      <c r="P248" s="62">
        <f t="shared" si="65"/>
        <v>75.695719488073692</v>
      </c>
      <c r="Q248" s="62">
        <f t="shared" si="65"/>
        <v>65.948380313132176</v>
      </c>
      <c r="R248" s="62">
        <f t="shared" si="65"/>
        <v>70.967390417052925</v>
      </c>
      <c r="S248" s="62">
        <f t="shared" si="65"/>
        <v>63.056250385466647</v>
      </c>
      <c r="T248" s="62">
        <f t="shared" si="65"/>
        <v>63.761273591394804</v>
      </c>
      <c r="U248" s="62">
        <f t="shared" si="65"/>
        <v>66.260697931766586</v>
      </c>
      <c r="V248" s="62">
        <f t="shared" si="65"/>
        <v>73.452753969334054</v>
      </c>
    </row>
    <row r="249" spans="3:22" x14ac:dyDescent="0.2">
      <c r="C249" s="87" t="s">
        <v>125</v>
      </c>
      <c r="D249" s="60">
        <f t="shared" ref="D249:V249" si="66">+IFERROR(IF(D209&gt;0,+((D209/D15)*100)," "),"")</f>
        <v>69.628415835971552</v>
      </c>
      <c r="E249" s="60">
        <f t="shared" si="66"/>
        <v>54.318139080053953</v>
      </c>
      <c r="F249" s="60">
        <f t="shared" si="66"/>
        <v>32.139050436040577</v>
      </c>
      <c r="G249" s="60">
        <f t="shared" si="66"/>
        <v>31.464833281295778</v>
      </c>
      <c r="H249" s="60">
        <f t="shared" si="66"/>
        <v>59.402299137632617</v>
      </c>
      <c r="I249" s="60">
        <f t="shared" si="66"/>
        <v>55.22782501762277</v>
      </c>
      <c r="J249" s="60">
        <f t="shared" si="66"/>
        <v>51.654442797752701</v>
      </c>
      <c r="K249" s="60">
        <f t="shared" si="66"/>
        <v>75.162586471605778</v>
      </c>
      <c r="L249" s="60">
        <f t="shared" si="66"/>
        <v>65.866731564466903</v>
      </c>
      <c r="M249" s="60">
        <f t="shared" si="66"/>
        <v>39.686104806792414</v>
      </c>
      <c r="N249" s="60">
        <f t="shared" si="66"/>
        <v>61.83890326328283</v>
      </c>
      <c r="O249" s="60">
        <f t="shared" si="66"/>
        <v>61.729374805515526</v>
      </c>
      <c r="P249" s="60">
        <f t="shared" si="66"/>
        <v>73.926304972042942</v>
      </c>
      <c r="Q249" s="60">
        <f t="shared" si="66"/>
        <v>86.366437864929907</v>
      </c>
      <c r="R249" s="60">
        <f t="shared" si="66"/>
        <v>79.652372022857989</v>
      </c>
      <c r="S249" s="60">
        <f t="shared" si="66"/>
        <v>50.22951973257598</v>
      </c>
      <c r="T249" s="60">
        <f t="shared" si="66"/>
        <v>79.50028603256149</v>
      </c>
      <c r="U249" s="60">
        <f t="shared" si="66"/>
        <v>88.30370300656071</v>
      </c>
      <c r="V249" s="60">
        <f t="shared" si="66"/>
        <v>62.015615686145033</v>
      </c>
    </row>
    <row r="250" spans="3:22" x14ac:dyDescent="0.2">
      <c r="C250" s="88" t="s">
        <v>126</v>
      </c>
      <c r="D250" s="62">
        <f t="shared" ref="D250:V250" si="67">+IFERROR(IF(D210&gt;0,+((D210/D16)*100)," "),"")</f>
        <v>46.880682319222394</v>
      </c>
      <c r="E250" s="62">
        <f t="shared" si="67"/>
        <v>58.235305738613732</v>
      </c>
      <c r="F250" s="62">
        <f t="shared" si="67"/>
        <v>51.772486518118853</v>
      </c>
      <c r="G250" s="62">
        <f t="shared" si="67"/>
        <v>71.321261180946863</v>
      </c>
      <c r="H250" s="62">
        <f t="shared" si="67"/>
        <v>75.397286945014102</v>
      </c>
      <c r="I250" s="62">
        <f t="shared" si="67"/>
        <v>77.617334114200958</v>
      </c>
      <c r="J250" s="62">
        <f t="shared" si="67"/>
        <v>68.246512743157979</v>
      </c>
      <c r="K250" s="62">
        <f t="shared" si="67"/>
        <v>85.25122956347218</v>
      </c>
      <c r="L250" s="62">
        <f t="shared" si="67"/>
        <v>85.338131432709716</v>
      </c>
      <c r="M250" s="62">
        <f t="shared" si="67"/>
        <v>76.552403909072424</v>
      </c>
      <c r="N250" s="62">
        <f t="shared" si="67"/>
        <v>74.710143463753923</v>
      </c>
      <c r="O250" s="62">
        <f t="shared" si="67"/>
        <v>90.38184132326947</v>
      </c>
      <c r="P250" s="62">
        <f t="shared" si="67"/>
        <v>89.063665535987866</v>
      </c>
      <c r="Q250" s="62">
        <f t="shared" si="67"/>
        <v>69.795703661022799</v>
      </c>
      <c r="R250" s="62">
        <f t="shared" si="67"/>
        <v>73.278895614592699</v>
      </c>
      <c r="S250" s="62">
        <f t="shared" si="67"/>
        <v>74.438850579404729</v>
      </c>
      <c r="T250" s="62">
        <f t="shared" si="67"/>
        <v>73.809002502129061</v>
      </c>
      <c r="U250" s="62">
        <f t="shared" si="67"/>
        <v>71.889167769465132</v>
      </c>
      <c r="V250" s="62">
        <f t="shared" si="67"/>
        <v>83.413838878747399</v>
      </c>
    </row>
    <row r="251" spans="3:22" x14ac:dyDescent="0.2">
      <c r="C251" s="87" t="s">
        <v>127</v>
      </c>
      <c r="D251" s="60">
        <f t="shared" ref="D251:V251" si="68">+IFERROR(IF(D211&gt;0,+((D211/D17)*100)," "),"")</f>
        <v>83.645771919463215</v>
      </c>
      <c r="E251" s="60">
        <f t="shared" si="68"/>
        <v>79.068846529736575</v>
      </c>
      <c r="F251" s="60">
        <f t="shared" si="68"/>
        <v>93.294313025223687</v>
      </c>
      <c r="G251" s="60">
        <f t="shared" si="68"/>
        <v>87.723321854074698</v>
      </c>
      <c r="H251" s="60">
        <f t="shared" si="68"/>
        <v>92.166551913861113</v>
      </c>
      <c r="I251" s="60">
        <f t="shared" si="68"/>
        <v>93.607985295995618</v>
      </c>
      <c r="J251" s="60">
        <f t="shared" si="68"/>
        <v>91.06355261593248</v>
      </c>
      <c r="K251" s="60">
        <f t="shared" si="68"/>
        <v>97.002818481250415</v>
      </c>
      <c r="L251" s="60">
        <f t="shared" si="68"/>
        <v>92.736766616361919</v>
      </c>
      <c r="M251" s="60">
        <f t="shared" si="68"/>
        <v>93.293641117560711</v>
      </c>
      <c r="N251" s="60">
        <f t="shared" si="68"/>
        <v>93.620951287597237</v>
      </c>
      <c r="O251" s="60">
        <f t="shared" si="68"/>
        <v>85.84881792754507</v>
      </c>
      <c r="P251" s="60">
        <f t="shared" si="68"/>
        <v>86.721928890449234</v>
      </c>
      <c r="Q251" s="60">
        <f t="shared" si="68"/>
        <v>88.006353443457584</v>
      </c>
      <c r="R251" s="60">
        <f t="shared" si="68"/>
        <v>93.139272443582499</v>
      </c>
      <c r="S251" s="60">
        <f t="shared" si="68"/>
        <v>94.495492583143104</v>
      </c>
      <c r="T251" s="60">
        <f t="shared" si="68"/>
        <v>95.81251351996994</v>
      </c>
      <c r="U251" s="60">
        <f t="shared" si="68"/>
        <v>94.480314855932875</v>
      </c>
      <c r="V251" s="60">
        <f t="shared" si="68"/>
        <v>92.267871381005776</v>
      </c>
    </row>
    <row r="252" spans="3:22" x14ac:dyDescent="0.2">
      <c r="C252" s="88" t="s">
        <v>128</v>
      </c>
      <c r="D252" s="62">
        <f t="shared" ref="D252:V252" si="69">+IFERROR(IF(D212&gt;0,+((D212/D18)*100)," "),"")</f>
        <v>57.193312444304603</v>
      </c>
      <c r="E252" s="62">
        <f t="shared" si="69"/>
        <v>76.22838639543501</v>
      </c>
      <c r="F252" s="62">
        <f t="shared" si="69"/>
        <v>66.386158174499883</v>
      </c>
      <c r="G252" s="62">
        <f t="shared" si="69"/>
        <v>76.235976161791967</v>
      </c>
      <c r="H252" s="62">
        <f t="shared" si="69"/>
        <v>71.143325487500263</v>
      </c>
      <c r="I252" s="62">
        <f t="shared" si="69"/>
        <v>82.021559741683362</v>
      </c>
      <c r="J252" s="62">
        <f t="shared" si="69"/>
        <v>84.908128720975469</v>
      </c>
      <c r="K252" s="62">
        <f t="shared" si="69"/>
        <v>79.511451805535216</v>
      </c>
      <c r="L252" s="62">
        <f t="shared" si="69"/>
        <v>81.026293630795152</v>
      </c>
      <c r="M252" s="62">
        <f t="shared" si="69"/>
        <v>82.768226569274532</v>
      </c>
      <c r="N252" s="62">
        <f t="shared" si="69"/>
        <v>86.094885673517965</v>
      </c>
      <c r="O252" s="62">
        <f t="shared" si="69"/>
        <v>84.689982796359914</v>
      </c>
      <c r="P252" s="62">
        <f t="shared" si="69"/>
        <v>79.480413978268558</v>
      </c>
      <c r="Q252" s="62">
        <f t="shared" si="69"/>
        <v>84.508733288464441</v>
      </c>
      <c r="R252" s="62">
        <f t="shared" si="69"/>
        <v>87.35020823899103</v>
      </c>
      <c r="S252" s="62">
        <f t="shared" si="69"/>
        <v>83.813665331567506</v>
      </c>
      <c r="T252" s="62">
        <f t="shared" si="69"/>
        <v>80.909491033883143</v>
      </c>
      <c r="U252" s="62">
        <f t="shared" si="69"/>
        <v>79.143946452971321</v>
      </c>
      <c r="V252" s="62">
        <f t="shared" si="69"/>
        <v>89.90966502679241</v>
      </c>
    </row>
    <row r="253" spans="3:22" x14ac:dyDescent="0.2">
      <c r="C253" s="87" t="s">
        <v>129</v>
      </c>
      <c r="D253" s="60">
        <f t="shared" ref="D253:V253" si="70">+IFERROR(IF(D213&gt;0,+((D213/D19)*100)," "),"")</f>
        <v>84.768108700095169</v>
      </c>
      <c r="E253" s="60">
        <f t="shared" si="70"/>
        <v>87.275678255743415</v>
      </c>
      <c r="F253" s="60">
        <f t="shared" si="70"/>
        <v>84.653931946080277</v>
      </c>
      <c r="G253" s="60">
        <f t="shared" si="70"/>
        <v>84.869930804148524</v>
      </c>
      <c r="H253" s="60">
        <f t="shared" si="70"/>
        <v>82.267660258211421</v>
      </c>
      <c r="I253" s="60">
        <f t="shared" si="70"/>
        <v>85.69346208571352</v>
      </c>
      <c r="J253" s="60">
        <f t="shared" si="70"/>
        <v>88.981984867179179</v>
      </c>
      <c r="K253" s="60">
        <f t="shared" si="70"/>
        <v>94.022601263818927</v>
      </c>
      <c r="L253" s="60">
        <f t="shared" si="70"/>
        <v>94.014198707444791</v>
      </c>
      <c r="M253" s="60">
        <f t="shared" si="70"/>
        <v>90.235940472045769</v>
      </c>
      <c r="N253" s="60">
        <f t="shared" si="70"/>
        <v>91.125413638967601</v>
      </c>
      <c r="O253" s="60">
        <f t="shared" si="70"/>
        <v>92.596015552954398</v>
      </c>
      <c r="P253" s="60">
        <f t="shared" si="70"/>
        <v>93.621841137820923</v>
      </c>
      <c r="Q253" s="60">
        <f t="shared" si="70"/>
        <v>93.479915371663225</v>
      </c>
      <c r="R253" s="60">
        <f t="shared" si="70"/>
        <v>92.4636275571916</v>
      </c>
      <c r="S253" s="60">
        <f t="shared" si="70"/>
        <v>92.979049699658972</v>
      </c>
      <c r="T253" s="60">
        <f t="shared" si="70"/>
        <v>92.6876491219694</v>
      </c>
      <c r="U253" s="60">
        <f t="shared" si="70"/>
        <v>93.785006252944044</v>
      </c>
      <c r="V253" s="60">
        <f t="shared" si="70"/>
        <v>95.395462852346441</v>
      </c>
    </row>
    <row r="254" spans="3:22" x14ac:dyDescent="0.2">
      <c r="C254" s="88" t="s">
        <v>130</v>
      </c>
      <c r="D254" s="62">
        <f t="shared" ref="D254:V254" si="71">+IFERROR(IF(D214&gt;0,+((D214/D20)*100)," "),"")</f>
        <v>49.846533535385987</v>
      </c>
      <c r="E254" s="62">
        <f t="shared" si="71"/>
        <v>61.031837970936955</v>
      </c>
      <c r="F254" s="62">
        <f t="shared" si="71"/>
        <v>41.590071396535784</v>
      </c>
      <c r="G254" s="62">
        <f t="shared" si="71"/>
        <v>57.443918420146602</v>
      </c>
      <c r="H254" s="62">
        <f t="shared" si="71"/>
        <v>85.279947383371663</v>
      </c>
      <c r="I254" s="62">
        <f t="shared" si="71"/>
        <v>88.019347087528445</v>
      </c>
      <c r="J254" s="62">
        <f t="shared" si="71"/>
        <v>92.08985617517456</v>
      </c>
      <c r="K254" s="62">
        <f t="shared" si="71"/>
        <v>85.86447539404179</v>
      </c>
      <c r="L254" s="62">
        <f t="shared" si="71"/>
        <v>91.983978137339989</v>
      </c>
      <c r="M254" s="62">
        <f t="shared" si="71"/>
        <v>84.519284728193824</v>
      </c>
      <c r="N254" s="62">
        <f t="shared" si="71"/>
        <v>87.013998559773697</v>
      </c>
      <c r="O254" s="62">
        <f t="shared" si="71"/>
        <v>81.617449774145214</v>
      </c>
      <c r="P254" s="62">
        <f t="shared" si="71"/>
        <v>62.891495082618654</v>
      </c>
      <c r="Q254" s="62">
        <f t="shared" si="71"/>
        <v>71.506263902798068</v>
      </c>
      <c r="R254" s="62">
        <f t="shared" si="71"/>
        <v>70.965776838655202</v>
      </c>
      <c r="S254" s="62">
        <f t="shared" si="71"/>
        <v>80.72590274090706</v>
      </c>
      <c r="T254" s="62">
        <f t="shared" si="71"/>
        <v>54.99737720867104</v>
      </c>
      <c r="U254" s="62">
        <f t="shared" si="71"/>
        <v>60.760628225669144</v>
      </c>
      <c r="V254" s="62">
        <f t="shared" si="71"/>
        <v>70.786797847004777</v>
      </c>
    </row>
    <row r="255" spans="3:22" x14ac:dyDescent="0.2">
      <c r="C255" s="87" t="s">
        <v>131</v>
      </c>
      <c r="D255" s="60">
        <f t="shared" ref="D255:V255" si="72">+IFERROR(IF(D215&gt;0,+((D215/D21)*100)," "),"")</f>
        <v>88.505157330105746</v>
      </c>
      <c r="E255" s="60">
        <f t="shared" si="72"/>
        <v>95.339107732018974</v>
      </c>
      <c r="F255" s="60">
        <f t="shared" si="72"/>
        <v>94.452671658127613</v>
      </c>
      <c r="G255" s="60">
        <f t="shared" si="72"/>
        <v>95.529951461301792</v>
      </c>
      <c r="H255" s="60">
        <f t="shared" si="72"/>
        <v>96.292341322352115</v>
      </c>
      <c r="I255" s="60">
        <f t="shared" si="72"/>
        <v>97.519017059970892</v>
      </c>
      <c r="J255" s="60">
        <f t="shared" si="72"/>
        <v>97.216001469560112</v>
      </c>
      <c r="K255" s="60">
        <f t="shared" si="72"/>
        <v>98.479274450918155</v>
      </c>
      <c r="L255" s="60">
        <f t="shared" si="72"/>
        <v>95.799197880510377</v>
      </c>
      <c r="M255" s="60">
        <f t="shared" si="72"/>
        <v>96.880497229958706</v>
      </c>
      <c r="N255" s="60">
        <f t="shared" si="72"/>
        <v>95.280005616061374</v>
      </c>
      <c r="O255" s="60">
        <f t="shared" si="72"/>
        <v>97.590296623643027</v>
      </c>
      <c r="P255" s="60">
        <f t="shared" si="72"/>
        <v>95.510494092177538</v>
      </c>
      <c r="Q255" s="60">
        <f t="shared" si="72"/>
        <v>97.009600513432616</v>
      </c>
      <c r="R255" s="60">
        <f t="shared" si="72"/>
        <v>96.83907611611906</v>
      </c>
      <c r="S255" s="60">
        <f t="shared" si="72"/>
        <v>98.808608717103979</v>
      </c>
      <c r="T255" s="60">
        <f t="shared" si="72"/>
        <v>98.236007416761993</v>
      </c>
      <c r="U255" s="60">
        <f t="shared" si="72"/>
        <v>99.344088065511457</v>
      </c>
      <c r="V255" s="60">
        <f t="shared" si="72"/>
        <v>99.064013832479375</v>
      </c>
    </row>
    <row r="256" spans="3:22" x14ac:dyDescent="0.2">
      <c r="C256" s="88" t="s">
        <v>132</v>
      </c>
      <c r="D256" s="62">
        <f t="shared" ref="D256:V256" si="73">+IFERROR(IF(D216&gt;0,+((D216/D22)*100)," "),"")</f>
        <v>89.576768831390837</v>
      </c>
      <c r="E256" s="62">
        <f t="shared" si="73"/>
        <v>93.308450495912481</v>
      </c>
      <c r="F256" s="62">
        <f t="shared" si="73"/>
        <v>93.58055210283537</v>
      </c>
      <c r="G256" s="62">
        <f t="shared" si="73"/>
        <v>89.083224537274489</v>
      </c>
      <c r="H256" s="62">
        <f t="shared" si="73"/>
        <v>75.633966708202578</v>
      </c>
      <c r="I256" s="62">
        <f t="shared" si="73"/>
        <v>50.766885935465957</v>
      </c>
      <c r="J256" s="62">
        <f t="shared" si="73"/>
        <v>82.110286808680215</v>
      </c>
      <c r="K256" s="62">
        <f t="shared" si="73"/>
        <v>78.563660894055914</v>
      </c>
      <c r="L256" s="62">
        <f t="shared" si="73"/>
        <v>83.256939029554289</v>
      </c>
      <c r="M256" s="62">
        <f t="shared" si="73"/>
        <v>83.802866820472403</v>
      </c>
      <c r="N256" s="62">
        <f t="shared" si="73"/>
        <v>67.88743483517041</v>
      </c>
      <c r="O256" s="62">
        <f t="shared" si="73"/>
        <v>79.579608102393976</v>
      </c>
      <c r="P256" s="62">
        <f t="shared" si="73"/>
        <v>87.751199258943245</v>
      </c>
      <c r="Q256" s="62">
        <f t="shared" si="73"/>
        <v>90.412716448276171</v>
      </c>
      <c r="R256" s="62">
        <f t="shared" si="73"/>
        <v>91.116006672230171</v>
      </c>
      <c r="S256" s="62">
        <f t="shared" si="73"/>
        <v>91.938891077115329</v>
      </c>
      <c r="T256" s="62">
        <f t="shared" si="73"/>
        <v>88.35365800480271</v>
      </c>
      <c r="U256" s="62">
        <f t="shared" si="73"/>
        <v>90.759088643866519</v>
      </c>
      <c r="V256" s="62">
        <f t="shared" si="73"/>
        <v>86.016187211069621</v>
      </c>
    </row>
    <row r="257" spans="3:22" x14ac:dyDescent="0.2">
      <c r="C257" s="87" t="s">
        <v>133</v>
      </c>
      <c r="D257" s="60">
        <f t="shared" ref="D257:V257" si="74">+IFERROR(IF(D217&gt;0,+((D217/D23)*100)," "),"")</f>
        <v>86.201212313194688</v>
      </c>
      <c r="E257" s="60">
        <f t="shared" si="74"/>
        <v>93.92568024537033</v>
      </c>
      <c r="F257" s="60">
        <f t="shared" si="74"/>
        <v>90.049523721122824</v>
      </c>
      <c r="G257" s="60">
        <f t="shared" si="74"/>
        <v>89.710701397539623</v>
      </c>
      <c r="H257" s="60">
        <f t="shared" si="74"/>
        <v>92.420558067429766</v>
      </c>
      <c r="I257" s="60">
        <f t="shared" si="74"/>
        <v>95.027470546618005</v>
      </c>
      <c r="J257" s="60">
        <f t="shared" si="74"/>
        <v>93.039644514042791</v>
      </c>
      <c r="K257" s="60">
        <f t="shared" si="74"/>
        <v>92.127157731411316</v>
      </c>
      <c r="L257" s="60">
        <f t="shared" si="74"/>
        <v>91.445611483946564</v>
      </c>
      <c r="M257" s="60">
        <f t="shared" si="74"/>
        <v>91.704488753882089</v>
      </c>
      <c r="N257" s="60">
        <f t="shared" si="74"/>
        <v>87.096392815106014</v>
      </c>
      <c r="O257" s="60">
        <f t="shared" si="74"/>
        <v>87.671826496367416</v>
      </c>
      <c r="P257" s="60">
        <f t="shared" si="74"/>
        <v>87.29788524734461</v>
      </c>
      <c r="Q257" s="60">
        <f t="shared" si="74"/>
        <v>89.733642732878522</v>
      </c>
      <c r="R257" s="60">
        <f t="shared" si="74"/>
        <v>86.839931155901269</v>
      </c>
      <c r="S257" s="60">
        <f t="shared" si="74"/>
        <v>85.00088850495878</v>
      </c>
      <c r="T257" s="60">
        <f t="shared" si="74"/>
        <v>89.118212270750689</v>
      </c>
      <c r="U257" s="60">
        <f t="shared" si="74"/>
        <v>90.505479856374365</v>
      </c>
      <c r="V257" s="60">
        <f t="shared" si="74"/>
        <v>92.012412330653518</v>
      </c>
    </row>
    <row r="258" spans="3:22" x14ac:dyDescent="0.2">
      <c r="C258" s="88" t="s">
        <v>134</v>
      </c>
      <c r="D258" s="62">
        <f t="shared" ref="D258:V258" si="75">+IFERROR(IF(D218&gt;0,+((D218/D24)*100)," "),"")</f>
        <v>69.259634051327652</v>
      </c>
      <c r="E258" s="62">
        <f t="shared" si="75"/>
        <v>83.256716273863319</v>
      </c>
      <c r="F258" s="62">
        <f t="shared" si="75"/>
        <v>79.092298141674348</v>
      </c>
      <c r="G258" s="62">
        <f t="shared" si="75"/>
        <v>85.108618662368514</v>
      </c>
      <c r="H258" s="62">
        <f t="shared" si="75"/>
        <v>78.333591795344134</v>
      </c>
      <c r="I258" s="62">
        <f t="shared" si="75"/>
        <v>82.204285058523212</v>
      </c>
      <c r="J258" s="62">
        <f t="shared" si="75"/>
        <v>83.169511521474135</v>
      </c>
      <c r="K258" s="62">
        <f t="shared" si="75"/>
        <v>79.272707941411284</v>
      </c>
      <c r="L258" s="62">
        <f t="shared" si="75"/>
        <v>75.474047097820346</v>
      </c>
      <c r="M258" s="62">
        <f t="shared" si="75"/>
        <v>70.338247795043586</v>
      </c>
      <c r="N258" s="62">
        <f t="shared" si="75"/>
        <v>70.908765483370956</v>
      </c>
      <c r="O258" s="62">
        <f t="shared" si="75"/>
        <v>80.650553173380729</v>
      </c>
      <c r="P258" s="62">
        <f t="shared" si="75"/>
        <v>70.872591516034049</v>
      </c>
      <c r="Q258" s="62">
        <f t="shared" si="75"/>
        <v>53.480779577323837</v>
      </c>
      <c r="R258" s="62">
        <f t="shared" si="75"/>
        <v>60.719003455426432</v>
      </c>
      <c r="S258" s="62">
        <f t="shared" si="75"/>
        <v>76.026931900427741</v>
      </c>
      <c r="T258" s="62">
        <f t="shared" si="75"/>
        <v>83.688532166491257</v>
      </c>
      <c r="U258" s="62">
        <f t="shared" si="75"/>
        <v>87.995784081651522</v>
      </c>
      <c r="V258" s="62">
        <f t="shared" si="75"/>
        <v>82.577464791444143</v>
      </c>
    </row>
    <row r="259" spans="3:22" x14ac:dyDescent="0.2">
      <c r="C259" s="87" t="s">
        <v>135</v>
      </c>
      <c r="D259" s="60" t="str">
        <f t="shared" ref="D259:V259" si="76">+IFERROR(IF(D219&gt;0,+((D219/D25)*100),"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+IFERROR(IF(D220&gt;0,+((D220/D26)*100)," "),"")</f>
        <v>56.837414030097946</v>
      </c>
      <c r="E260" s="62">
        <f t="shared" si="77"/>
        <v>76.281734165524639</v>
      </c>
      <c r="F260" s="62">
        <f t="shared" si="77"/>
        <v>49.353118852164634</v>
      </c>
      <c r="G260" s="62">
        <f t="shared" si="77"/>
        <v>50.343387146961796</v>
      </c>
      <c r="H260" s="62">
        <f t="shared" si="77"/>
        <v>53.636971429931748</v>
      </c>
      <c r="I260" s="62">
        <f t="shared" si="77"/>
        <v>60.328682213992245</v>
      </c>
      <c r="J260" s="62">
        <f t="shared" si="77"/>
        <v>66.870780478645628</v>
      </c>
      <c r="K260" s="62">
        <f t="shared" si="77"/>
        <v>80.354616213380268</v>
      </c>
      <c r="L260" s="62">
        <f t="shared" si="77"/>
        <v>75.058028886772007</v>
      </c>
      <c r="M260" s="62">
        <f t="shared" si="77"/>
        <v>78.427935636178759</v>
      </c>
      <c r="N260" s="62">
        <f t="shared" si="77"/>
        <v>82.071855564601336</v>
      </c>
      <c r="O260" s="62">
        <f t="shared" si="77"/>
        <v>81.752399783893352</v>
      </c>
      <c r="P260" s="62">
        <f t="shared" si="77"/>
        <v>73.532895877391098</v>
      </c>
      <c r="Q260" s="62">
        <f t="shared" si="77"/>
        <v>82.890539512225217</v>
      </c>
      <c r="R260" s="62">
        <f t="shared" si="77"/>
        <v>88.570438401719514</v>
      </c>
      <c r="S260" s="62">
        <f t="shared" si="77"/>
        <v>92.352099224400547</v>
      </c>
      <c r="T260" s="62">
        <f t="shared" si="77"/>
        <v>79.815470904834214</v>
      </c>
      <c r="U260" s="62">
        <f t="shared" si="77"/>
        <v>86.585982099320873</v>
      </c>
      <c r="V260" s="62">
        <f t="shared" si="77"/>
        <v>91.370822139430203</v>
      </c>
    </row>
    <row r="261" spans="3:22" x14ac:dyDescent="0.2">
      <c r="C261" s="87" t="s">
        <v>137</v>
      </c>
      <c r="D261" s="60">
        <f t="shared" ref="D261:V261" si="78">+IFERROR(IF(D221&gt;0,+((D221/D27)*100)," "),"")</f>
        <v>63.718949726362176</v>
      </c>
      <c r="E261" s="60">
        <f t="shared" si="78"/>
        <v>84.167017721970865</v>
      </c>
      <c r="F261" s="60">
        <f t="shared" si="78"/>
        <v>67.385579483135388</v>
      </c>
      <c r="G261" s="60">
        <f t="shared" si="78"/>
        <v>79.191774903584189</v>
      </c>
      <c r="H261" s="60">
        <f t="shared" si="78"/>
        <v>78.446080197926122</v>
      </c>
      <c r="I261" s="60">
        <f t="shared" si="78"/>
        <v>80.526665111008384</v>
      </c>
      <c r="J261" s="60">
        <f t="shared" si="78"/>
        <v>96.58259568308857</v>
      </c>
      <c r="K261" s="60">
        <f t="shared" si="78"/>
        <v>75.310451734960026</v>
      </c>
      <c r="L261" s="60">
        <f t="shared" si="78"/>
        <v>87.944572475086176</v>
      </c>
      <c r="M261" s="60">
        <f t="shared" si="78"/>
        <v>83.314748984347105</v>
      </c>
      <c r="N261" s="60">
        <f t="shared" si="78"/>
        <v>81.308069786116448</v>
      </c>
      <c r="O261" s="60">
        <f t="shared" si="78"/>
        <v>87.416238883834325</v>
      </c>
      <c r="P261" s="60">
        <f t="shared" si="78"/>
        <v>79.849996206483098</v>
      </c>
      <c r="Q261" s="60">
        <f t="shared" si="78"/>
        <v>73.836938642305824</v>
      </c>
      <c r="R261" s="60">
        <f t="shared" si="78"/>
        <v>83.068754029692172</v>
      </c>
      <c r="S261" s="60">
        <f t="shared" si="78"/>
        <v>81.113463153312068</v>
      </c>
      <c r="T261" s="60">
        <f t="shared" si="78"/>
        <v>87.99766919493635</v>
      </c>
      <c r="U261" s="60">
        <f t="shared" si="78"/>
        <v>77.999399794140189</v>
      </c>
      <c r="V261" s="60">
        <f t="shared" si="78"/>
        <v>92.905440225386229</v>
      </c>
    </row>
    <row r="262" spans="3:22" x14ac:dyDescent="0.2">
      <c r="C262" s="88" t="s">
        <v>138</v>
      </c>
      <c r="D262" s="62">
        <f t="shared" ref="D262:V262" si="79">+IFERROR(IF(D222&gt;0,+((D222/D28)*100)," "),"")</f>
        <v>89.773221128905718</v>
      </c>
      <c r="E262" s="62">
        <f t="shared" si="79"/>
        <v>93.145542382183748</v>
      </c>
      <c r="F262" s="62">
        <f t="shared" si="79"/>
        <v>90.368045678618856</v>
      </c>
      <c r="G262" s="62">
        <f t="shared" si="79"/>
        <v>80.37735619196495</v>
      </c>
      <c r="H262" s="62">
        <f t="shared" si="79"/>
        <v>92.224873167610326</v>
      </c>
      <c r="I262" s="62">
        <f t="shared" si="79"/>
        <v>90.552815033137733</v>
      </c>
      <c r="J262" s="62">
        <f t="shared" si="79"/>
        <v>86.100957819743982</v>
      </c>
      <c r="K262" s="62">
        <f t="shared" si="79"/>
        <v>89.822007278735953</v>
      </c>
      <c r="L262" s="62">
        <f t="shared" si="79"/>
        <v>86.383413768839986</v>
      </c>
      <c r="M262" s="62">
        <f t="shared" si="79"/>
        <v>81.367289159910527</v>
      </c>
      <c r="N262" s="62">
        <f t="shared" si="79"/>
        <v>80.678404796573616</v>
      </c>
      <c r="O262" s="62">
        <f t="shared" si="79"/>
        <v>87.388090446814459</v>
      </c>
      <c r="P262" s="62">
        <f t="shared" si="79"/>
        <v>71.501065714353004</v>
      </c>
      <c r="Q262" s="62">
        <f t="shared" si="79"/>
        <v>71.622732053956199</v>
      </c>
      <c r="R262" s="62">
        <f t="shared" si="79"/>
        <v>79.515205331936741</v>
      </c>
      <c r="S262" s="62">
        <f t="shared" si="79"/>
        <v>89.364249351673166</v>
      </c>
      <c r="T262" s="62">
        <f t="shared" si="79"/>
        <v>92.526466874703701</v>
      </c>
      <c r="U262" s="62">
        <f t="shared" si="79"/>
        <v>93.270341973557649</v>
      </c>
      <c r="V262" s="62">
        <f t="shared" si="79"/>
        <v>95.855719219842754</v>
      </c>
    </row>
    <row r="263" spans="3:22" x14ac:dyDescent="0.2">
      <c r="C263" s="87" t="s">
        <v>139</v>
      </c>
      <c r="D263" s="60">
        <f t="shared" ref="D263:V263" si="80">+IFERROR(IF(D223&gt;0,+((D223/D29)*100)," "),"")</f>
        <v>77.860986625378573</v>
      </c>
      <c r="E263" s="60">
        <f t="shared" si="80"/>
        <v>79.075150263983005</v>
      </c>
      <c r="F263" s="60">
        <f t="shared" si="80"/>
        <v>73.90129696414634</v>
      </c>
      <c r="G263" s="60">
        <f t="shared" si="80"/>
        <v>82.345937827357872</v>
      </c>
      <c r="H263" s="60">
        <f t="shared" si="80"/>
        <v>81.546750980777631</v>
      </c>
      <c r="I263" s="60">
        <f t="shared" si="80"/>
        <v>87.123395772586747</v>
      </c>
      <c r="J263" s="60">
        <f t="shared" si="80"/>
        <v>76.555452467126926</v>
      </c>
      <c r="K263" s="60">
        <f t="shared" si="80"/>
        <v>79.174464199275647</v>
      </c>
      <c r="L263" s="60">
        <f t="shared" si="80"/>
        <v>74.402577978916213</v>
      </c>
      <c r="M263" s="60">
        <f t="shared" si="80"/>
        <v>82.467183516857105</v>
      </c>
      <c r="N263" s="60">
        <f t="shared" si="80"/>
        <v>65.443566271079504</v>
      </c>
      <c r="O263" s="60">
        <f t="shared" si="80"/>
        <v>55.495425293415281</v>
      </c>
      <c r="P263" s="60">
        <f t="shared" si="80"/>
        <v>80.612044739132969</v>
      </c>
      <c r="Q263" s="60">
        <f t="shared" si="80"/>
        <v>80.041139508419036</v>
      </c>
      <c r="R263" s="60">
        <f t="shared" si="80"/>
        <v>78.89611010476672</v>
      </c>
      <c r="S263" s="60">
        <f t="shared" si="80"/>
        <v>79.48268530898153</v>
      </c>
      <c r="T263" s="60">
        <f t="shared" si="80"/>
        <v>77.081109258844762</v>
      </c>
      <c r="U263" s="60">
        <f t="shared" si="80"/>
        <v>73.085791701733186</v>
      </c>
      <c r="V263" s="60">
        <f t="shared" si="80"/>
        <v>80.127596299064223</v>
      </c>
    </row>
    <row r="264" spans="3:22" x14ac:dyDescent="0.2">
      <c r="C264" s="88" t="s">
        <v>140</v>
      </c>
      <c r="D264" s="62">
        <f t="shared" ref="D264:V264" si="81">+IFERROR(IF(D224&gt;0,+((D224/D30)*100)," "),"")</f>
        <v>74.838210880531236</v>
      </c>
      <c r="E264" s="62">
        <f t="shared" si="81"/>
        <v>72.219340426988751</v>
      </c>
      <c r="F264" s="62">
        <f t="shared" si="81"/>
        <v>70.242581318505927</v>
      </c>
      <c r="G264" s="62">
        <f t="shared" si="81"/>
        <v>82.589165791886899</v>
      </c>
      <c r="H264" s="62">
        <f t="shared" si="81"/>
        <v>81.348585816407834</v>
      </c>
      <c r="I264" s="62">
        <f t="shared" si="81"/>
        <v>76.350430323280378</v>
      </c>
      <c r="J264" s="62">
        <f t="shared" si="81"/>
        <v>64.885637992836067</v>
      </c>
      <c r="K264" s="62">
        <f t="shared" si="81"/>
        <v>58.005018762366767</v>
      </c>
      <c r="L264" s="62">
        <f t="shared" si="81"/>
        <v>93.585113992841102</v>
      </c>
      <c r="M264" s="62">
        <f t="shared" si="81"/>
        <v>88.232236346470359</v>
      </c>
      <c r="N264" s="62">
        <f t="shared" si="81"/>
        <v>92.002167017931612</v>
      </c>
      <c r="O264" s="62">
        <f t="shared" si="81"/>
        <v>91.04343648615037</v>
      </c>
      <c r="P264" s="62">
        <f t="shared" si="81"/>
        <v>89.291262850726255</v>
      </c>
      <c r="Q264" s="62">
        <f t="shared" si="81"/>
        <v>85.223116688232906</v>
      </c>
      <c r="R264" s="62">
        <f t="shared" si="81"/>
        <v>85.991392396117277</v>
      </c>
      <c r="S264" s="62">
        <f t="shared" si="81"/>
        <v>91.54521103275205</v>
      </c>
      <c r="T264" s="62">
        <f t="shared" si="81"/>
        <v>88.606037806020836</v>
      </c>
      <c r="U264" s="62">
        <f t="shared" si="81"/>
        <v>83.191372647596879</v>
      </c>
      <c r="V264" s="62">
        <f t="shared" si="81"/>
        <v>92.487348687058869</v>
      </c>
    </row>
    <row r="265" spans="3:22" x14ac:dyDescent="0.2">
      <c r="C265" s="87" t="s">
        <v>141</v>
      </c>
      <c r="D265" s="60">
        <f t="shared" ref="D265:V265" si="82">+IFERROR(IF(D225&gt;0,+((D225/D31)*100)," "),"")</f>
        <v>88.096131580835674</v>
      </c>
      <c r="E265" s="60">
        <f t="shared" si="82"/>
        <v>85.097468189088559</v>
      </c>
      <c r="F265" s="60">
        <f t="shared" si="82"/>
        <v>84.441059524553438</v>
      </c>
      <c r="G265" s="60">
        <f t="shared" si="82"/>
        <v>84.742143466937264</v>
      </c>
      <c r="H265" s="60">
        <f t="shared" si="82"/>
        <v>79.026613474874679</v>
      </c>
      <c r="I265" s="60">
        <f t="shared" si="82"/>
        <v>86.130819998242842</v>
      </c>
      <c r="J265" s="60">
        <f t="shared" si="82"/>
        <v>88.021953542886379</v>
      </c>
      <c r="K265" s="60">
        <f t="shared" si="82"/>
        <v>88.085903663032397</v>
      </c>
      <c r="L265" s="60">
        <f t="shared" si="82"/>
        <v>89.254286109591504</v>
      </c>
      <c r="M265" s="60">
        <f t="shared" si="82"/>
        <v>88.259136274077292</v>
      </c>
      <c r="N265" s="60">
        <f t="shared" si="82"/>
        <v>84.076770123980722</v>
      </c>
      <c r="O265" s="60">
        <f t="shared" si="82"/>
        <v>86.824117811644015</v>
      </c>
      <c r="P265" s="60">
        <f t="shared" si="82"/>
        <v>84.308137966132108</v>
      </c>
      <c r="Q265" s="60">
        <f t="shared" si="82"/>
        <v>84.630723851379429</v>
      </c>
      <c r="R265" s="60">
        <f t="shared" si="82"/>
        <v>88.398563831312742</v>
      </c>
      <c r="S265" s="60">
        <f t="shared" si="82"/>
        <v>83.685197754164392</v>
      </c>
      <c r="T265" s="60">
        <f t="shared" si="82"/>
        <v>91.111105751324061</v>
      </c>
      <c r="U265" s="60">
        <f t="shared" si="82"/>
        <v>89.995823593620599</v>
      </c>
      <c r="V265" s="60">
        <f t="shared" si="82"/>
        <v>92.043761519891575</v>
      </c>
    </row>
    <row r="266" spans="3:22" x14ac:dyDescent="0.2">
      <c r="C266" s="88" t="s">
        <v>142</v>
      </c>
      <c r="D266" s="62">
        <f t="shared" ref="D266:V266" si="83">+IFERROR(IF(D226&gt;0,+((D226/D32)*100)," "),"")</f>
        <v>17.639926905380428</v>
      </c>
      <c r="E266" s="62">
        <f t="shared" si="83"/>
        <v>23.482779736283565</v>
      </c>
      <c r="F266" s="62">
        <f t="shared" si="83"/>
        <v>10.933229941364768</v>
      </c>
      <c r="G266" s="62">
        <f t="shared" si="83"/>
        <v>22.439010724558013</v>
      </c>
      <c r="H266" s="62">
        <f t="shared" si="83"/>
        <v>57.466476109961192</v>
      </c>
      <c r="I266" s="62">
        <f t="shared" si="83"/>
        <v>24.172416881554344</v>
      </c>
      <c r="J266" s="62">
        <f t="shared" si="83"/>
        <v>25.356549513678218</v>
      </c>
      <c r="K266" s="62">
        <f t="shared" si="83"/>
        <v>43.215423885250836</v>
      </c>
      <c r="L266" s="62">
        <f t="shared" si="83"/>
        <v>31.461747065787023</v>
      </c>
      <c r="M266" s="62">
        <f t="shared" si="83"/>
        <v>30.435640709729327</v>
      </c>
      <c r="N266" s="62">
        <f t="shared" si="83"/>
        <v>33.842890751353075</v>
      </c>
      <c r="O266" s="62">
        <f t="shared" si="83"/>
        <v>34.195643566167156</v>
      </c>
      <c r="P266" s="62">
        <f t="shared" si="83"/>
        <v>49.169610037723913</v>
      </c>
      <c r="Q266" s="62">
        <f t="shared" si="83"/>
        <v>55.043041083812582</v>
      </c>
      <c r="R266" s="62">
        <f t="shared" si="83"/>
        <v>77.231425893592871</v>
      </c>
      <c r="S266" s="62">
        <f t="shared" si="83"/>
        <v>69.671472093917757</v>
      </c>
      <c r="T266" s="62">
        <f t="shared" si="83"/>
        <v>58.775830317940105</v>
      </c>
      <c r="U266" s="62">
        <f t="shared" si="83"/>
        <v>67.421692962397501</v>
      </c>
      <c r="V266" s="62">
        <f t="shared" si="83"/>
        <v>64.37675168675166</v>
      </c>
    </row>
    <row r="267" spans="3:22" x14ac:dyDescent="0.2">
      <c r="C267" s="87" t="s">
        <v>143</v>
      </c>
      <c r="D267" s="60">
        <f t="shared" ref="D267:V267" si="84">+IFERROR(IF(D227&gt;0,+((D227/D33)*100)," "),"")</f>
        <v>65.845496498636663</v>
      </c>
      <c r="E267" s="60">
        <f t="shared" si="84"/>
        <v>52.787824426604089</v>
      </c>
      <c r="F267" s="60">
        <f t="shared" si="84"/>
        <v>49.912137427667851</v>
      </c>
      <c r="G267" s="60">
        <f t="shared" si="84"/>
        <v>61.133984684031716</v>
      </c>
      <c r="H267" s="60">
        <f t="shared" si="84"/>
        <v>66.684815552851049</v>
      </c>
      <c r="I267" s="60">
        <f t="shared" si="84"/>
        <v>78.697469354591192</v>
      </c>
      <c r="J267" s="60">
        <f t="shared" si="84"/>
        <v>89.253749106967177</v>
      </c>
      <c r="K267" s="60">
        <f t="shared" si="84"/>
        <v>89.273883695587642</v>
      </c>
      <c r="L267" s="60">
        <f t="shared" si="84"/>
        <v>78.501785518937297</v>
      </c>
      <c r="M267" s="60">
        <f t="shared" si="84"/>
        <v>84.111484157846277</v>
      </c>
      <c r="N267" s="60">
        <f t="shared" si="84"/>
        <v>82.965561728983715</v>
      </c>
      <c r="O267" s="60">
        <f t="shared" si="84"/>
        <v>77.047071786745448</v>
      </c>
      <c r="P267" s="60">
        <f t="shared" si="84"/>
        <v>36.45367480386701</v>
      </c>
      <c r="Q267" s="60">
        <f t="shared" si="84"/>
        <v>65.292078601279641</v>
      </c>
      <c r="R267" s="60">
        <f t="shared" si="84"/>
        <v>57.513004171629603</v>
      </c>
      <c r="S267" s="60">
        <f t="shared" si="84"/>
        <v>66.263296348097484</v>
      </c>
      <c r="T267" s="60">
        <f t="shared" si="84"/>
        <v>61.422879671373501</v>
      </c>
      <c r="U267" s="60">
        <f t="shared" si="84"/>
        <v>51.462724525072311</v>
      </c>
      <c r="V267" s="60">
        <f t="shared" si="84"/>
        <v>37.715708193225844</v>
      </c>
    </row>
    <row r="268" spans="3:22" x14ac:dyDescent="0.2">
      <c r="C268" s="88" t="s">
        <v>144</v>
      </c>
      <c r="D268" s="62">
        <f t="shared" ref="D268:V268" si="85">+IFERROR(IF(D228&gt;0,+((D228/D34)*100)," "),"")</f>
        <v>92.145222137339871</v>
      </c>
      <c r="E268" s="62">
        <f t="shared" si="85"/>
        <v>95.214732292553748</v>
      </c>
      <c r="F268" s="62">
        <f t="shared" si="85"/>
        <v>91.064721097594898</v>
      </c>
      <c r="G268" s="62">
        <f t="shared" si="85"/>
        <v>92.814060848517897</v>
      </c>
      <c r="H268" s="62">
        <f t="shared" si="85"/>
        <v>82.650642232541486</v>
      </c>
      <c r="I268" s="62">
        <f t="shared" si="85"/>
        <v>93.088778627890065</v>
      </c>
      <c r="J268" s="62">
        <f t="shared" si="85"/>
        <v>93.450483186223693</v>
      </c>
      <c r="K268" s="62">
        <f t="shared" si="85"/>
        <v>94.886122283010167</v>
      </c>
      <c r="L268" s="62">
        <f t="shared" si="85"/>
        <v>94.040223967394667</v>
      </c>
      <c r="M268" s="62">
        <f t="shared" si="85"/>
        <v>94.34873921379257</v>
      </c>
      <c r="N268" s="62">
        <f t="shared" si="85"/>
        <v>91.648085050716759</v>
      </c>
      <c r="O268" s="62">
        <f t="shared" si="85"/>
        <v>86.26588415575776</v>
      </c>
      <c r="P268" s="62">
        <f t="shared" si="85"/>
        <v>86.724505576347127</v>
      </c>
      <c r="Q268" s="62">
        <f t="shared" si="85"/>
        <v>90.857444292584617</v>
      </c>
      <c r="R268" s="62">
        <f t="shared" si="85"/>
        <v>93.069177049632955</v>
      </c>
      <c r="S268" s="62">
        <f t="shared" si="85"/>
        <v>90.367116489070582</v>
      </c>
      <c r="T268" s="62">
        <f t="shared" si="85"/>
        <v>90.395255307324589</v>
      </c>
      <c r="U268" s="62">
        <f t="shared" si="85"/>
        <v>90.767394920157599</v>
      </c>
      <c r="V268" s="62">
        <f t="shared" si="85"/>
        <v>95.936928826317498</v>
      </c>
    </row>
    <row r="269" spans="3:22" x14ac:dyDescent="0.2">
      <c r="C269" s="87" t="s">
        <v>145</v>
      </c>
      <c r="D269" s="60">
        <f t="shared" ref="D269:V269" si="86">+IFERROR(IF(D229&gt;0,+((D229/D35)*100)," "),"")</f>
        <v>72.214812343482834</v>
      </c>
      <c r="E269" s="60">
        <f t="shared" si="86"/>
        <v>66.713041015268232</v>
      </c>
      <c r="F269" s="60">
        <f t="shared" si="86"/>
        <v>71.711853469968219</v>
      </c>
      <c r="G269" s="60">
        <f t="shared" si="86"/>
        <v>71.165380279487295</v>
      </c>
      <c r="H269" s="60">
        <f t="shared" si="86"/>
        <v>88.678370396862505</v>
      </c>
      <c r="I269" s="60">
        <f t="shared" si="86"/>
        <v>94.538366716868779</v>
      </c>
      <c r="J269" s="60">
        <f t="shared" si="86"/>
        <v>86.81515931213471</v>
      </c>
      <c r="K269" s="60">
        <f t="shared" si="86"/>
        <v>72.041614161306555</v>
      </c>
      <c r="L269" s="60">
        <f t="shared" si="86"/>
        <v>85.154789093505087</v>
      </c>
      <c r="M269" s="60">
        <f t="shared" si="86"/>
        <v>77.413157202649671</v>
      </c>
      <c r="N269" s="60">
        <f t="shared" si="86"/>
        <v>93.708760809834232</v>
      </c>
      <c r="O269" s="60">
        <f t="shared" si="86"/>
        <v>83.563167783739573</v>
      </c>
      <c r="P269" s="60">
        <f t="shared" si="86"/>
        <v>86.764261867296426</v>
      </c>
      <c r="Q269" s="60">
        <f t="shared" si="86"/>
        <v>83.488117277000768</v>
      </c>
      <c r="R269" s="60">
        <f t="shared" si="86"/>
        <v>92.022164444987382</v>
      </c>
      <c r="S269" s="60">
        <f t="shared" si="86"/>
        <v>89.609903660452886</v>
      </c>
      <c r="T269" s="60">
        <f t="shared" si="86"/>
        <v>90.817888912447074</v>
      </c>
      <c r="U269" s="60">
        <f t="shared" si="86"/>
        <v>90.170539723259097</v>
      </c>
      <c r="V269" s="60">
        <f t="shared" si="86"/>
        <v>96.43549909749764</v>
      </c>
    </row>
    <row r="270" spans="3:22" x14ac:dyDescent="0.2">
      <c r="C270" s="88" t="s">
        <v>146</v>
      </c>
      <c r="D270" s="62">
        <f t="shared" ref="D270:V270" si="87">+IFERROR(IF(D230&gt;0,+((D230/D36)*100)," "),"")</f>
        <v>88.628903748164177</v>
      </c>
      <c r="E270" s="62">
        <f t="shared" si="87"/>
        <v>93.497216269104911</v>
      </c>
      <c r="F270" s="62">
        <f t="shared" si="87"/>
        <v>85.945561930225551</v>
      </c>
      <c r="G270" s="62">
        <f t="shared" si="87"/>
        <v>96.679558136761827</v>
      </c>
      <c r="H270" s="62">
        <f t="shared" si="87"/>
        <v>90.376220964275689</v>
      </c>
      <c r="I270" s="62">
        <f t="shared" si="87"/>
        <v>86.102796964523804</v>
      </c>
      <c r="J270" s="62">
        <f t="shared" si="87"/>
        <v>89.724710571625877</v>
      </c>
      <c r="K270" s="62">
        <f t="shared" si="87"/>
        <v>82.46086257216507</v>
      </c>
      <c r="L270" s="62">
        <f t="shared" si="87"/>
        <v>89.681406242893118</v>
      </c>
      <c r="M270" s="62">
        <f t="shared" si="87"/>
        <v>90.295694817720971</v>
      </c>
      <c r="N270" s="62">
        <f t="shared" si="87"/>
        <v>82.049864974458401</v>
      </c>
      <c r="O270" s="62">
        <f t="shared" si="87"/>
        <v>93.769168013073298</v>
      </c>
      <c r="P270" s="62">
        <f t="shared" si="87"/>
        <v>91.204127545408227</v>
      </c>
      <c r="Q270" s="62">
        <f t="shared" si="87"/>
        <v>89.546365428992345</v>
      </c>
      <c r="R270" s="62">
        <f t="shared" si="87"/>
        <v>96.525669905531657</v>
      </c>
      <c r="S270" s="62">
        <f t="shared" si="87"/>
        <v>97.212036350499318</v>
      </c>
      <c r="T270" s="62">
        <f t="shared" si="87"/>
        <v>95.180826061772109</v>
      </c>
      <c r="U270" s="62">
        <f t="shared" si="87"/>
        <v>95.082115248985019</v>
      </c>
      <c r="V270" s="62">
        <f t="shared" si="87"/>
        <v>92.839298066732496</v>
      </c>
    </row>
    <row r="271" spans="3:22" x14ac:dyDescent="0.2">
      <c r="C271" s="90" t="s">
        <v>147</v>
      </c>
      <c r="D271" s="61">
        <f t="shared" ref="D271:V271" si="88">+IFERROR(IF(D231&gt;0,+((D231/D37)*100)," "),"")</f>
        <v>85.535632646245858</v>
      </c>
      <c r="E271" s="61">
        <f t="shared" si="88"/>
        <v>92.966989135179304</v>
      </c>
      <c r="F271" s="61">
        <f t="shared" si="88"/>
        <v>93.418566221368181</v>
      </c>
      <c r="G271" s="61">
        <f t="shared" si="88"/>
        <v>92.778368021922603</v>
      </c>
      <c r="H271" s="61">
        <f t="shared" si="88"/>
        <v>89.343726044042427</v>
      </c>
      <c r="I271" s="61">
        <f t="shared" si="88"/>
        <v>92.0445157150737</v>
      </c>
      <c r="J271" s="61">
        <f t="shared" si="88"/>
        <v>88.816236185099484</v>
      </c>
      <c r="K271" s="61">
        <f t="shared" si="88"/>
        <v>91.300449921486859</v>
      </c>
      <c r="L271" s="61">
        <f t="shared" si="88"/>
        <v>94.385467534836181</v>
      </c>
      <c r="M271" s="61">
        <f t="shared" si="88"/>
        <v>84.144166398258946</v>
      </c>
      <c r="N271" s="61">
        <f t="shared" si="88"/>
        <v>72.342872748443298</v>
      </c>
      <c r="O271" s="61">
        <f t="shared" si="88"/>
        <v>79.29360006963411</v>
      </c>
      <c r="P271" s="61">
        <f t="shared" si="88"/>
        <v>78.772001194053999</v>
      </c>
      <c r="Q271" s="61">
        <f t="shared" si="88"/>
        <v>91.50149069043141</v>
      </c>
      <c r="R271" s="61">
        <f t="shared" si="88"/>
        <v>86.18365360539957</v>
      </c>
      <c r="S271" s="61">
        <f t="shared" si="88"/>
        <v>87.58794306654643</v>
      </c>
      <c r="T271" s="61">
        <f t="shared" si="88"/>
        <v>90.263004342700299</v>
      </c>
      <c r="U271" s="61">
        <f t="shared" si="88"/>
        <v>91.810583812239216</v>
      </c>
      <c r="V271" s="61">
        <f t="shared" si="88"/>
        <v>90.872319784628601</v>
      </c>
    </row>
    <row r="272" spans="3:22" ht="22.5" customHeight="1" x14ac:dyDescent="0.2">
      <c r="C272" s="89" t="s">
        <v>148</v>
      </c>
      <c r="D272" s="63" t="str">
        <f t="shared" ref="D272:V272" si="89">+IFERROR(IF(D232&gt;0,+((D232/D38)*100),"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>
        <f t="shared" si="89"/>
        <v>55.081877894904977</v>
      </c>
      <c r="V272" s="63">
        <f t="shared" si="89"/>
        <v>74.776759865949245</v>
      </c>
    </row>
    <row r="273" spans="3:22" x14ac:dyDescent="0.2">
      <c r="C273" s="87" t="s">
        <v>149</v>
      </c>
      <c r="D273" s="60">
        <f t="shared" ref="D273:V273" si="90">+IFERROR(IF(D233&gt;0,+((D233/D39)*100)," "),"")</f>
        <v>73.183100352798817</v>
      </c>
      <c r="E273" s="60">
        <f t="shared" si="90"/>
        <v>80.020179060151719</v>
      </c>
      <c r="F273" s="60">
        <f t="shared" si="90"/>
        <v>75.670206452503422</v>
      </c>
      <c r="G273" s="60">
        <f t="shared" si="90"/>
        <v>85.680502325169911</v>
      </c>
      <c r="H273" s="60">
        <f t="shared" si="90"/>
        <v>85.898835017868436</v>
      </c>
      <c r="I273" s="60">
        <f t="shared" si="90"/>
        <v>81.19298144847437</v>
      </c>
      <c r="J273" s="60">
        <f t="shared" si="90"/>
        <v>65.71003717641419</v>
      </c>
      <c r="K273" s="60">
        <f t="shared" si="90"/>
        <v>75.448397321193823</v>
      </c>
      <c r="L273" s="60">
        <f t="shared" si="90"/>
        <v>82.576303931267447</v>
      </c>
      <c r="M273" s="60">
        <f t="shared" si="90"/>
        <v>29.108923767482018</v>
      </c>
      <c r="N273" s="60">
        <f t="shared" si="90"/>
        <v>72.615802372508824</v>
      </c>
      <c r="O273" s="60">
        <f t="shared" si="90"/>
        <v>83.762816367324689</v>
      </c>
      <c r="P273" s="60">
        <f t="shared" si="90"/>
        <v>53.714702002826762</v>
      </c>
      <c r="Q273" s="60">
        <f t="shared" si="90"/>
        <v>51.263744155599255</v>
      </c>
      <c r="R273" s="60">
        <f t="shared" si="90"/>
        <v>51.481401934441806</v>
      </c>
      <c r="S273" s="60">
        <f t="shared" si="90"/>
        <v>80.338102636625536</v>
      </c>
      <c r="T273" s="60">
        <f t="shared" si="90"/>
        <v>93.67419100109511</v>
      </c>
      <c r="U273" s="60">
        <f t="shared" si="90"/>
        <v>89.324663618619155</v>
      </c>
      <c r="V273" s="60">
        <f t="shared" si="90"/>
        <v>90.424595997746522</v>
      </c>
    </row>
    <row r="274" spans="3:22" x14ac:dyDescent="0.2">
      <c r="C274" s="88" t="s">
        <v>150</v>
      </c>
      <c r="D274" s="62">
        <f t="shared" ref="D274:V274" si="91">+IFERROR(IF(D234&gt;0,+((D234/D40)*100)," "),"")</f>
        <v>47.22023532345009</v>
      </c>
      <c r="E274" s="62">
        <f t="shared" si="91"/>
        <v>65.966069012395138</v>
      </c>
      <c r="F274" s="62">
        <f t="shared" si="91"/>
        <v>35.389317707563677</v>
      </c>
      <c r="G274" s="62">
        <f t="shared" si="91"/>
        <v>73.762831788651027</v>
      </c>
      <c r="H274" s="62">
        <f t="shared" si="91"/>
        <v>71.945848792556973</v>
      </c>
      <c r="I274" s="62">
        <f t="shared" si="91"/>
        <v>73.28533348752147</v>
      </c>
      <c r="J274" s="62">
        <f t="shared" si="91"/>
        <v>54.798343705564179</v>
      </c>
      <c r="K274" s="62">
        <f t="shared" si="91"/>
        <v>71.532213248279604</v>
      </c>
      <c r="L274" s="62">
        <f t="shared" si="91"/>
        <v>74.814963609556244</v>
      </c>
      <c r="M274" s="62">
        <f t="shared" si="91"/>
        <v>72.342661530254574</v>
      </c>
      <c r="N274" s="62">
        <f t="shared" si="91"/>
        <v>68.394693637342641</v>
      </c>
      <c r="O274" s="62">
        <f t="shared" si="91"/>
        <v>73.248372915714583</v>
      </c>
      <c r="P274" s="62">
        <f t="shared" si="91"/>
        <v>73.218034699762526</v>
      </c>
      <c r="Q274" s="62">
        <f t="shared" si="91"/>
        <v>70.252966134658905</v>
      </c>
      <c r="R274" s="62">
        <f t="shared" si="91"/>
        <v>79.382211682804012</v>
      </c>
      <c r="S274" s="62">
        <f t="shared" si="91"/>
        <v>73.51541376362772</v>
      </c>
      <c r="T274" s="62">
        <f t="shared" si="91"/>
        <v>68.6238824438595</v>
      </c>
      <c r="U274" s="62">
        <f t="shared" si="91"/>
        <v>60.464419573707197</v>
      </c>
      <c r="V274" s="62">
        <f t="shared" si="91"/>
        <v>68.817050609556858</v>
      </c>
    </row>
    <row r="275" spans="3:22" x14ac:dyDescent="0.2">
      <c r="C275" s="87" t="s">
        <v>151</v>
      </c>
      <c r="D275" s="60">
        <f t="shared" ref="D275:V275" si="92">+IFERROR(IF(D235&gt;0,+((D235/D41)*100)," "),"")</f>
        <v>47.534145770268957</v>
      </c>
      <c r="E275" s="60">
        <f t="shared" si="92"/>
        <v>22.933092349854942</v>
      </c>
      <c r="F275" s="60">
        <f t="shared" si="92"/>
        <v>43.231068968976238</v>
      </c>
      <c r="G275" s="60">
        <f t="shared" si="92"/>
        <v>24.023485022478738</v>
      </c>
      <c r="H275" s="60">
        <f t="shared" si="92"/>
        <v>8.0915464000352504</v>
      </c>
      <c r="I275" s="60">
        <f t="shared" si="92"/>
        <v>16.584817488068687</v>
      </c>
      <c r="J275" s="60">
        <f t="shared" si="92"/>
        <v>55.376429338554644</v>
      </c>
      <c r="K275" s="60">
        <f t="shared" si="92"/>
        <v>75.199156844436573</v>
      </c>
      <c r="L275" s="60">
        <f t="shared" si="92"/>
        <v>47.68559892771767</v>
      </c>
      <c r="M275" s="60">
        <f t="shared" si="92"/>
        <v>34.220245691438585</v>
      </c>
      <c r="N275" s="60">
        <f t="shared" si="92"/>
        <v>29.026405123128836</v>
      </c>
      <c r="O275" s="60">
        <f t="shared" si="92"/>
        <v>68.991385617817684</v>
      </c>
      <c r="P275" s="60">
        <f t="shared" si="92"/>
        <v>67.669579693836809</v>
      </c>
      <c r="Q275" s="60">
        <f t="shared" si="92"/>
        <v>55.96133019524072</v>
      </c>
      <c r="R275" s="60">
        <f t="shared" si="92"/>
        <v>59.952103368201982</v>
      </c>
      <c r="S275" s="60">
        <f t="shared" si="92"/>
        <v>54.766628728115364</v>
      </c>
      <c r="T275" s="60">
        <f t="shared" si="92"/>
        <v>63.732317865196528</v>
      </c>
      <c r="U275" s="60">
        <f t="shared" si="92"/>
        <v>59.64231689257786</v>
      </c>
      <c r="V275" s="60">
        <f t="shared" si="92"/>
        <v>60.531093047790627</v>
      </c>
    </row>
    <row r="276" spans="3:22" x14ac:dyDescent="0.2">
      <c r="C276" s="91" t="s">
        <v>154</v>
      </c>
      <c r="D276" s="64">
        <f t="shared" ref="D276:V276" si="93">+IFERROR(IF(D236&gt;0,+((D236/D42)*100)," "),"")</f>
        <v>77.99511043588069</v>
      </c>
      <c r="E276" s="64">
        <f t="shared" si="93"/>
        <v>84.474791100733924</v>
      </c>
      <c r="F276" s="64">
        <f t="shared" si="93"/>
        <v>82.225392565613461</v>
      </c>
      <c r="G276" s="64">
        <f t="shared" si="93"/>
        <v>87.205439255281505</v>
      </c>
      <c r="H276" s="64">
        <f t="shared" si="93"/>
        <v>85.370834641796051</v>
      </c>
      <c r="I276" s="64">
        <f t="shared" si="93"/>
        <v>88.296629143304898</v>
      </c>
      <c r="J276" s="64">
        <f t="shared" si="93"/>
        <v>86.95665126555356</v>
      </c>
      <c r="K276" s="64">
        <f t="shared" si="93"/>
        <v>88.344826002156708</v>
      </c>
      <c r="L276" s="64">
        <f t="shared" si="93"/>
        <v>89.757838786206861</v>
      </c>
      <c r="M276" s="64">
        <f t="shared" si="93"/>
        <v>85.350469958783933</v>
      </c>
      <c r="N276" s="64">
        <f t="shared" si="93"/>
        <v>81.859426622289718</v>
      </c>
      <c r="O276" s="64">
        <f t="shared" si="93"/>
        <v>84.712557683830923</v>
      </c>
      <c r="P276" s="64">
        <f t="shared" si="93"/>
        <v>83.117239791750436</v>
      </c>
      <c r="Q276" s="64">
        <f t="shared" si="93"/>
        <v>84.30560634377548</v>
      </c>
      <c r="R276" s="64">
        <f t="shared" si="93"/>
        <v>84.477121977110031</v>
      </c>
      <c r="S276" s="64">
        <f t="shared" si="93"/>
        <v>86.999691175328437</v>
      </c>
      <c r="T276" s="64">
        <f t="shared" si="93"/>
        <v>88.327764031890467</v>
      </c>
      <c r="U276" s="64">
        <f t="shared" si="93"/>
        <v>89.483975447166202</v>
      </c>
      <c r="V276" s="64">
        <f t="shared" si="93"/>
        <v>90.670007384790679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C128:C129"/>
    <mergeCell ref="J245:J246"/>
    <mergeCell ref="J167:J168"/>
    <mergeCell ref="H50:H51"/>
    <mergeCell ref="T205:T206"/>
    <mergeCell ref="D9:V9"/>
    <mergeCell ref="P6:P7"/>
    <mergeCell ref="K89:K90"/>
    <mergeCell ref="R6:R7"/>
    <mergeCell ref="H11:H12"/>
    <mergeCell ref="T50:T51"/>
    <mergeCell ref="J11:J12"/>
    <mergeCell ref="S128:S129"/>
    <mergeCell ref="R205:R206"/>
    <mergeCell ref="E245:E246"/>
    <mergeCell ref="H128:H129"/>
    <mergeCell ref="E89:E90"/>
    <mergeCell ref="J128:J129"/>
    <mergeCell ref="T128:T129"/>
    <mergeCell ref="S245:S246"/>
    <mergeCell ref="V128:V129"/>
    <mergeCell ref="U245:U246"/>
    <mergeCell ref="K245:K246"/>
    <mergeCell ref="M50:M51"/>
    <mergeCell ref="P89:P90"/>
    <mergeCell ref="U6:U7"/>
    <mergeCell ref="S167:S168"/>
    <mergeCell ref="N50:N51"/>
    <mergeCell ref="P50:P51"/>
    <mergeCell ref="D11:D12"/>
    <mergeCell ref="M128:M129"/>
    <mergeCell ref="P11:P12"/>
    <mergeCell ref="O128:O129"/>
    <mergeCell ref="E128:E129"/>
    <mergeCell ref="G128:G129"/>
    <mergeCell ref="L6:L7"/>
    <mergeCell ref="M167:M168"/>
    <mergeCell ref="V11:V12"/>
    <mergeCell ref="D205:D206"/>
    <mergeCell ref="G167:G168"/>
    <mergeCell ref="M89:M90"/>
    <mergeCell ref="I167:I168"/>
    <mergeCell ref="O89:O90"/>
    <mergeCell ref="F167:F168"/>
    <mergeCell ref="G89:G90"/>
    <mergeCell ref="V89:V90"/>
    <mergeCell ref="V50:V51"/>
    <mergeCell ref="I128:I129"/>
    <mergeCell ref="L11:L12"/>
    <mergeCell ref="K128:K129"/>
    <mergeCell ref="D86:V86"/>
    <mergeCell ref="N11:N12"/>
    <mergeCell ref="D164:V165"/>
    <mergeCell ref="U128:U129"/>
    <mergeCell ref="R11:R12"/>
    <mergeCell ref="T11:T12"/>
    <mergeCell ref="V205:V206"/>
    <mergeCell ref="Q11:Q12"/>
    <mergeCell ref="E50:E51"/>
    <mergeCell ref="D167:D168"/>
    <mergeCell ref="G50:G51"/>
    <mergeCell ref="U89:U90"/>
    <mergeCell ref="F11:F12"/>
    <mergeCell ref="L167:L168"/>
    <mergeCell ref="N205:N206"/>
    <mergeCell ref="I245:I246"/>
    <mergeCell ref="P205:P206"/>
    <mergeCell ref="S6:S7"/>
    <mergeCell ref="O167:O168"/>
    <mergeCell ref="R50:R51"/>
    <mergeCell ref="Q167:Q168"/>
    <mergeCell ref="S205:S206"/>
    <mergeCell ref="N245:N246"/>
    <mergeCell ref="U205:U206"/>
    <mergeCell ref="F245:F246"/>
    <mergeCell ref="P245:P246"/>
    <mergeCell ref="J50:J51"/>
    <mergeCell ref="O11:O12"/>
    <mergeCell ref="L50:L51"/>
    <mergeCell ref="T6:T7"/>
    <mergeCell ref="L48:Q48"/>
    <mergeCell ref="U167:U168"/>
    <mergeCell ref="G205:G206"/>
    <mergeCell ref="J205:J206"/>
    <mergeCell ref="R245:R246"/>
    <mergeCell ref="C245:C246"/>
    <mergeCell ref="S50:S51"/>
    <mergeCell ref="G11:G12"/>
    <mergeCell ref="R167:R168"/>
    <mergeCell ref="I11:I12"/>
    <mergeCell ref="A7:C7"/>
    <mergeCell ref="U50:U51"/>
    <mergeCell ref="P128:P129"/>
    <mergeCell ref="S11:S12"/>
    <mergeCell ref="R128:R129"/>
    <mergeCell ref="U11:U12"/>
    <mergeCell ref="M11:M12"/>
    <mergeCell ref="F89:F90"/>
    <mergeCell ref="O205:O206"/>
    <mergeCell ref="C50:C51"/>
    <mergeCell ref="Q205:Q206"/>
    <mergeCell ref="L245:L246"/>
    <mergeCell ref="K11:K12"/>
    <mergeCell ref="J89:J90"/>
    <mergeCell ref="G6:G7"/>
    <mergeCell ref="L89:L90"/>
    <mergeCell ref="Q6:Q7"/>
    <mergeCell ref="C167:C168"/>
    <mergeCell ref="F50:F51"/>
    <mergeCell ref="M245:M246"/>
    <mergeCell ref="O245:O246"/>
    <mergeCell ref="Q245:Q246"/>
    <mergeCell ref="F205:F206"/>
    <mergeCell ref="G245:G246"/>
    <mergeCell ref="L128:L129"/>
    <mergeCell ref="N128:N129"/>
    <mergeCell ref="D203:V203"/>
    <mergeCell ref="D245:D246"/>
    <mergeCell ref="M205:M206"/>
    <mergeCell ref="D242:V242"/>
    <mergeCell ref="Q128:Q129"/>
    <mergeCell ref="V245:V246"/>
    <mergeCell ref="T245:T246"/>
    <mergeCell ref="L243:Q243"/>
    <mergeCell ref="P167:P168"/>
    <mergeCell ref="I205:I206"/>
    <mergeCell ref="R89:R90"/>
    <mergeCell ref="O50:O51"/>
    <mergeCell ref="N167:N168"/>
    <mergeCell ref="Q50:Q51"/>
    <mergeCell ref="T89:T90"/>
    <mergeCell ref="E11:E12"/>
    <mergeCell ref="E6:E7"/>
    <mergeCell ref="C11:C12"/>
    <mergeCell ref="H205:H206"/>
    <mergeCell ref="D6:D7"/>
    <mergeCell ref="I89:I90"/>
    <mergeCell ref="D128:D129"/>
    <mergeCell ref="F6:F7"/>
    <mergeCell ref="F128:F129"/>
    <mergeCell ref="D50:D51"/>
    <mergeCell ref="D89:D90"/>
    <mergeCell ref="N6:N7"/>
    <mergeCell ref="Q89:Q90"/>
    <mergeCell ref="S89:S90"/>
    <mergeCell ref="I50:I51"/>
    <mergeCell ref="I6:I7"/>
    <mergeCell ref="N89:N90"/>
    <mergeCell ref="K6:K7"/>
    <mergeCell ref="D2:V2"/>
    <mergeCell ref="H245:H246"/>
    <mergeCell ref="A5:C6"/>
    <mergeCell ref="K205:K206"/>
    <mergeCell ref="D126:V126"/>
    <mergeCell ref="O6:O7"/>
    <mergeCell ref="D47:V47"/>
    <mergeCell ref="L87:Q87"/>
    <mergeCell ref="K167:K168"/>
    <mergeCell ref="C89:C90"/>
    <mergeCell ref="H89:H90"/>
    <mergeCell ref="D4:V4"/>
    <mergeCell ref="H6:H7"/>
    <mergeCell ref="J6:J7"/>
    <mergeCell ref="C205:C206"/>
    <mergeCell ref="E205:E206"/>
    <mergeCell ref="H167:H168"/>
    <mergeCell ref="V6:V7"/>
    <mergeCell ref="K50:K51"/>
    <mergeCell ref="T167:T168"/>
    <mergeCell ref="L205:L206"/>
    <mergeCell ref="V167:V168"/>
    <mergeCell ref="E167:E168"/>
    <mergeCell ref="M6:M7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K298"/>
  <sheetViews>
    <sheetView showGridLines="0" zoomScaleNormal="100" workbookViewId="0">
      <pane xSplit="3" ySplit="9" topLeftCell="D18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67" sqref="K167"/>
    </sheetView>
  </sheetViews>
  <sheetFormatPr baseColWidth="10" defaultColWidth="11.42578125" defaultRowHeight="11.25" x14ac:dyDescent="0.2"/>
  <cols>
    <col min="1" max="2" width="2.7109375" style="3" customWidth="1"/>
    <col min="3" max="3" width="52.855468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5"/>
      <c r="E6" s="182"/>
      <c r="F6" s="182"/>
      <c r="G6" s="182"/>
      <c r="H6" s="182"/>
      <c r="I6" s="182"/>
      <c r="J6" s="182"/>
      <c r="K6" s="182"/>
    </row>
    <row r="7" spans="1:11" ht="16.5" customHeight="1" x14ac:dyDescent="0.2">
      <c r="A7" s="169" t="s">
        <v>11</v>
      </c>
      <c r="B7" s="160"/>
      <c r="C7" s="160"/>
      <c r="D7" s="147"/>
      <c r="E7" s="147"/>
      <c r="F7" s="147"/>
      <c r="G7" s="147"/>
      <c r="H7" s="147"/>
      <c r="I7" s="147"/>
      <c r="J7" s="147"/>
      <c r="K7" s="147"/>
    </row>
    <row r="8" spans="1:11" ht="16.5" customHeight="1" x14ac:dyDescent="0.2">
      <c r="A8" s="160"/>
      <c r="B8" s="160"/>
      <c r="C8" s="16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1" ht="16.5" customHeight="1" x14ac:dyDescent="0.2">
      <c r="A9" s="166" t="s">
        <v>227</v>
      </c>
      <c r="B9" s="160"/>
      <c r="C9" s="160"/>
      <c r="D9" s="160"/>
      <c r="E9" s="182"/>
      <c r="F9" s="182"/>
      <c r="G9" s="182"/>
      <c r="H9" s="182"/>
      <c r="I9" s="182"/>
      <c r="J9" s="182"/>
      <c r="K9" s="182"/>
    </row>
    <row r="10" spans="1:11" s="102" customFormat="1" ht="16.5" customHeight="1" x14ac:dyDescent="0.25">
      <c r="A10" s="120"/>
      <c r="B10" s="98"/>
      <c r="C10" s="98"/>
      <c r="D10" s="98"/>
    </row>
    <row r="11" spans="1:11" ht="16.5" customHeight="1" x14ac:dyDescent="0.2">
      <c r="D11" s="164" t="s">
        <v>119</v>
      </c>
      <c r="E11" s="182"/>
      <c r="F11" s="182"/>
      <c r="G11" s="182"/>
      <c r="H11" s="182"/>
      <c r="I11" s="182"/>
      <c r="J11" s="182"/>
      <c r="K11" s="182"/>
    </row>
    <row r="12" spans="1:11" x14ac:dyDescent="0.2">
      <c r="C12" s="2"/>
      <c r="D12" s="2"/>
      <c r="E12" s="2"/>
      <c r="F12" s="2"/>
      <c r="G12" s="2"/>
      <c r="H12" s="2"/>
      <c r="I12" s="2"/>
      <c r="J12" s="2"/>
      <c r="K12" s="2"/>
    </row>
    <row r="13" spans="1:11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1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C15" s="87" t="s">
        <v>123</v>
      </c>
      <c r="D15" s="42">
        <f>2193.742180851*Deflactores!$T$5</f>
        <v>3412.0252308930912</v>
      </c>
      <c r="E15" s="42">
        <f>1754.409588688*Deflactores!$U$5</f>
        <v>2685.4754657992498</v>
      </c>
      <c r="F15" s="42">
        <f>2305.665630003*Deflactores!$V$5</f>
        <v>3341.491489136507</v>
      </c>
      <c r="G15" s="42">
        <f>2510.265185453*Deflactores!$W$5</f>
        <v>3216.0607227478936</v>
      </c>
      <c r="H15" s="42">
        <f>5299.275204156*Deflactores!$X$5</f>
        <v>6212.7006015617408</v>
      </c>
      <c r="I15" s="42">
        <f>7757.551166971*Deflactores!$Y$5</f>
        <v>8645.1565043787396</v>
      </c>
      <c r="J15" s="42">
        <f>4928.443349889*Deflactores!$Z$5</f>
        <v>5225.7791140053423</v>
      </c>
      <c r="K15" s="42">
        <f>4024.54225949*Deflactores!$AA$5</f>
        <v>4024.5422594900001</v>
      </c>
    </row>
    <row r="16" spans="1:11" x14ac:dyDescent="0.2">
      <c r="C16" s="88" t="s">
        <v>124</v>
      </c>
      <c r="D16" s="50">
        <f>493.464824051*Deflactores!$T$5</f>
        <v>767.50788899317365</v>
      </c>
      <c r="E16" s="50">
        <f>577.096483533*Deflactores!$U$5</f>
        <v>883.36182036366029</v>
      </c>
      <c r="F16" s="50">
        <f>968.877352388*Deflactores!$V$5</f>
        <v>1404.1478455908639</v>
      </c>
      <c r="G16" s="50">
        <f>1123.75782107*Deflactores!$W$5</f>
        <v>1439.7177681336445</v>
      </c>
      <c r="H16" s="50">
        <f>1755.882291883*Deflactores!$X$5</f>
        <v>2058.5401872501038</v>
      </c>
      <c r="I16" s="50">
        <f>1762.908120112*Deflactores!$Y$5</f>
        <v>1964.6169613547233</v>
      </c>
      <c r="J16" s="50">
        <f>1496.596743646*Deflactores!$Z$5</f>
        <v>1586.887268413021</v>
      </c>
      <c r="K16" s="50">
        <f>1503.29955163*Deflactores!$AA$5</f>
        <v>1503.29955163</v>
      </c>
    </row>
    <row r="17" spans="3:11" x14ac:dyDescent="0.2">
      <c r="C17" s="87" t="s">
        <v>125</v>
      </c>
      <c r="D17" s="42">
        <f>350.968983876*Deflactores!$T$5</f>
        <v>545.87774201491652</v>
      </c>
      <c r="E17" s="42">
        <f>270.045579608*Deflactores!$U$5</f>
        <v>413.35887774481967</v>
      </c>
      <c r="F17" s="42">
        <f>412.035071887*Deflactores!$V$5</f>
        <v>597.14282418928542</v>
      </c>
      <c r="G17" s="42">
        <f>330.504086272*Deflactores!$W$5</f>
        <v>423.42984985279423</v>
      </c>
      <c r="H17" s="42">
        <f>484.836286945*Deflactores!$X$5</f>
        <v>568.40654155871437</v>
      </c>
      <c r="I17" s="42">
        <f>375.665563998*Deflactores!$Y$5</f>
        <v>418.6485559896737</v>
      </c>
      <c r="J17" s="42">
        <f>281.450237264*Deflactores!$Z$5</f>
        <v>298.43028865477072</v>
      </c>
      <c r="K17" s="42">
        <f>379.855765201*Deflactores!$AA$5</f>
        <v>379.855765201</v>
      </c>
    </row>
    <row r="18" spans="3:11" x14ac:dyDescent="0.2">
      <c r="C18" s="88" t="s">
        <v>126</v>
      </c>
      <c r="D18" s="50">
        <f>649.80718938*Deflactores!$T$5</f>
        <v>1010.6741552100718</v>
      </c>
      <c r="E18" s="50">
        <f>729.492084062*Deflactores!$U$5</f>
        <v>1116.6338276276115</v>
      </c>
      <c r="F18" s="50">
        <f>756.860043066*Deflactores!$V$5</f>
        <v>1096.8812474206152</v>
      </c>
      <c r="G18" s="50">
        <f>722.198435191*Deflactores!$W$5</f>
        <v>925.25444519066821</v>
      </c>
      <c r="H18" s="50">
        <f>957.891217249*Deflactores!$X$5</f>
        <v>1123.0009977527452</v>
      </c>
      <c r="I18" s="50">
        <f>957.151438402*Deflactores!$Y$5</f>
        <v>1066.6670196914024</v>
      </c>
      <c r="J18" s="50">
        <f>920.436549416*Deflactores!$Z$5</f>
        <v>975.96700504097532</v>
      </c>
      <c r="K18" s="50">
        <f>1193.52991612*Deflactores!$AA$5</f>
        <v>1193.5299161200001</v>
      </c>
    </row>
    <row r="19" spans="3:11" x14ac:dyDescent="0.2">
      <c r="C19" s="87" t="s">
        <v>127</v>
      </c>
      <c r="D19" s="42">
        <f>647.367*Deflactores!$T$5</f>
        <v>1006.8788196390124</v>
      </c>
      <c r="E19" s="42">
        <f>690.460829558*Deflactores!$U$5</f>
        <v>1056.8886705983205</v>
      </c>
      <c r="F19" s="42">
        <f>776.347897349*Deflactores!$V$5</f>
        <v>1125.1240673598152</v>
      </c>
      <c r="G19" s="42">
        <f>971.637279727*Deflactores!$W$5</f>
        <v>1244.8264471005307</v>
      </c>
      <c r="H19" s="42">
        <f>1183.665725483*Deflactores!$X$5</f>
        <v>1387.6918033977554</v>
      </c>
      <c r="I19" s="42">
        <f>1371.608*Deflactores!$Y$5</f>
        <v>1528.5449708851713</v>
      </c>
      <c r="J19" s="42">
        <f>1566.670325863*Deflactores!$Z$5</f>
        <v>1661.1884293265136</v>
      </c>
      <c r="K19" s="42">
        <f>1332.772*Deflactores!$AA$5</f>
        <v>1332.7719999999999</v>
      </c>
    </row>
    <row r="20" spans="3:11" x14ac:dyDescent="0.2">
      <c r="C20" s="88" t="s">
        <v>128</v>
      </c>
      <c r="D20" s="50">
        <f>372.932811057*Deflactores!$T$5</f>
        <v>580.03906377948056</v>
      </c>
      <c r="E20" s="50">
        <f>368.359243969*Deflactores!$U$5</f>
        <v>563.84764347923897</v>
      </c>
      <c r="F20" s="50">
        <f>598.645211057*Deflactores!$V$5</f>
        <v>867.58801958490858</v>
      </c>
      <c r="G20" s="50">
        <f>548.947605809*Deflactores!$W$5</f>
        <v>703.29176539578521</v>
      </c>
      <c r="H20" s="50">
        <f>788.20390568*Deflactores!$X$5</f>
        <v>924.06502593619518</v>
      </c>
      <c r="I20" s="50">
        <f>1305.349852005*Deflactores!$Y$5</f>
        <v>1454.7056823290222</v>
      </c>
      <c r="J20" s="50">
        <f>1056.187262962*Deflactores!$Z$5</f>
        <v>1119.9076356208086</v>
      </c>
      <c r="K20" s="50">
        <f>1153.678108214*Deflactores!$AA$5</f>
        <v>1153.6781082140001</v>
      </c>
    </row>
    <row r="21" spans="3:11" x14ac:dyDescent="0.2">
      <c r="C21" s="87" t="s">
        <v>129</v>
      </c>
      <c r="D21" s="42">
        <f>31357.899513172*Deflactores!$T$5</f>
        <v>48772.342192576063</v>
      </c>
      <c r="E21" s="42">
        <f>33511.759638076*Deflactores!$U$5</f>
        <v>51296.464009362608</v>
      </c>
      <c r="F21" s="42">
        <f>36472.325436507*Deflactores!$V$5</f>
        <v>52857.605825067752</v>
      </c>
      <c r="G21" s="42">
        <f>39645.505738811*Deflactores!$W$5</f>
        <v>50792.384238503197</v>
      </c>
      <c r="H21" s="42">
        <f>45303.012*Deflactores!$X$5</f>
        <v>53111.800965578492</v>
      </c>
      <c r="I21" s="42">
        <f>52970.342283668*Deflactores!$Y$5</f>
        <v>59031.115525548747</v>
      </c>
      <c r="J21" s="42">
        <f>57290.4742089203*Deflactores!$Z$5</f>
        <v>60746.840796938515</v>
      </c>
      <c r="K21" s="42">
        <f>62605.792324886*Deflactores!$AA$5</f>
        <v>62605.792324886002</v>
      </c>
    </row>
    <row r="22" spans="3:11" x14ac:dyDescent="0.2">
      <c r="C22" s="88" t="s">
        <v>130</v>
      </c>
      <c r="D22" s="50">
        <f>499.630371065*Deflactores!$T$5</f>
        <v>777.09743974241667</v>
      </c>
      <c r="E22" s="50">
        <f>461.981328593*Deflactores!$U$5</f>
        <v>707.15500621586909</v>
      </c>
      <c r="F22" s="50">
        <f>767.722084933*Deflactores!$V$5</f>
        <v>1112.6230878596289</v>
      </c>
      <c r="G22" s="50">
        <f>898.135598597*Deflactores!$W$5</f>
        <v>1150.6587587192432</v>
      </c>
      <c r="H22" s="50">
        <f>948.780870577*Deflactores!$X$5</f>
        <v>1112.3203189676196</v>
      </c>
      <c r="I22" s="50">
        <f>1058.666759556*Deflactores!$Y$5</f>
        <v>1179.7975450439374</v>
      </c>
      <c r="J22" s="50">
        <f>449.600696578*Deflactores!$Z$5</f>
        <v>476.72535991967567</v>
      </c>
      <c r="K22" s="50">
        <f>496.087196266*Deflactores!$AA$5</f>
        <v>496.08719626599998</v>
      </c>
    </row>
    <row r="23" spans="3:11" x14ac:dyDescent="0.2">
      <c r="C23" s="87" t="s">
        <v>131</v>
      </c>
      <c r="D23" s="42">
        <f>41436.619001368*Deflactores!$T$5</f>
        <v>64448.224932579033</v>
      </c>
      <c r="E23" s="42">
        <f>44586.195241894*Deflactores!$U$5</f>
        <v>68248.107059756265</v>
      </c>
      <c r="F23" s="42">
        <f>48065.263487952*Deflactores!$V$5</f>
        <v>69658.699326617585</v>
      </c>
      <c r="G23" s="42">
        <f>49722.974844481*Deflactores!$W$5</f>
        <v>63703.272204948073</v>
      </c>
      <c r="H23" s="42">
        <f>59011.675314875*Deflactores!$X$5</f>
        <v>69183.398975083212</v>
      </c>
      <c r="I23" s="42">
        <f>70075.896899264*Deflactores!$Y$5</f>
        <v>78093.857563996251</v>
      </c>
      <c r="J23" s="42">
        <f>80158.0865108663*Deflactores!$Z$5</f>
        <v>84994.069033288732</v>
      </c>
      <c r="K23" s="42">
        <f>88159.15625474*Deflactores!$AA$5</f>
        <v>88159.156254739995</v>
      </c>
    </row>
    <row r="24" spans="3:11" x14ac:dyDescent="0.2">
      <c r="C24" s="88" t="s">
        <v>132</v>
      </c>
      <c r="D24" s="50">
        <f>43.89019714*Deflactores!$T$5</f>
        <v>68.264384638152336</v>
      </c>
      <c r="E24" s="50">
        <f>47.15463742*Deflactores!$U$5</f>
        <v>72.179622538867278</v>
      </c>
      <c r="F24" s="50">
        <f>52.401741241*Deflactores!$V$5</f>
        <v>75.943350195365142</v>
      </c>
      <c r="G24" s="50">
        <f>53.619991985*Deflactores!$W$5</f>
        <v>68.695989243023377</v>
      </c>
      <c r="H24" s="50">
        <f>55.628389568*Deflactores!$X$5</f>
        <v>65.216943075910251</v>
      </c>
      <c r="I24" s="50">
        <f>59.810945242*Deflactores!$Y$5</f>
        <v>66.654408222719226</v>
      </c>
      <c r="J24" s="50">
        <f>63.051262597*Deflactores!$Z$5</f>
        <v>66.855180794254181</v>
      </c>
      <c r="K24" s="50">
        <f>62.804200049*Deflactores!$AA$5</f>
        <v>62.804200049000002</v>
      </c>
    </row>
    <row r="25" spans="3:11" x14ac:dyDescent="0.2">
      <c r="C25" s="87" t="s">
        <v>133</v>
      </c>
      <c r="D25" s="42">
        <f>3801.364715368*Deflactores!$T$5</f>
        <v>5912.4323878528294</v>
      </c>
      <c r="E25" s="42">
        <f>3938.500071956*Deflactores!$U$5</f>
        <v>6028.6636504284188</v>
      </c>
      <c r="F25" s="42">
        <f>4407.61265739*Deflactores!$V$5</f>
        <v>6387.7433008618273</v>
      </c>
      <c r="G25" s="42">
        <f>4727.547948948*Deflactores!$W$5</f>
        <v>6056.7629912675202</v>
      </c>
      <c r="H25" s="42">
        <f>5408.025041101*Deflactores!$X$5</f>
        <v>6340.1954289445639</v>
      </c>
      <c r="I25" s="42">
        <f>5975.962549919*Deflactores!$Y$5</f>
        <v>6659.7216565351118</v>
      </c>
      <c r="J25" s="42">
        <f>6814.249144023*Deflactores!$Z$5</f>
        <v>7225.3566342131508</v>
      </c>
      <c r="K25" s="42">
        <f>7157.63184582*Deflactores!$AA$5</f>
        <v>7157.6318458200003</v>
      </c>
    </row>
    <row r="26" spans="3:11" x14ac:dyDescent="0.2">
      <c r="C26" s="88" t="s">
        <v>134</v>
      </c>
      <c r="D26" s="50">
        <f>10278.962512542*Deflactores!$T$5</f>
        <v>15987.329662682756</v>
      </c>
      <c r="E26" s="50">
        <f>40603.961281009*Deflactores!$U$5</f>
        <v>62152.499927885387</v>
      </c>
      <c r="F26" s="50">
        <f>23818.0966236651*Deflactores!$V$5</f>
        <v>34518.434121475089</v>
      </c>
      <c r="G26" s="50">
        <f>17897.698561544*Deflactores!$W$5</f>
        <v>22929.882350647305</v>
      </c>
      <c r="H26" s="50">
        <f>41269.715902469*Deflactores!$X$5</f>
        <v>48383.293740334586</v>
      </c>
      <c r="I26" s="50">
        <f>32340.617698929*Deflactores!$Y$5</f>
        <v>36040.97419890952</v>
      </c>
      <c r="J26" s="50">
        <f>24492.8674779056*Deflactores!$Z$5</f>
        <v>25970.53597278794</v>
      </c>
      <c r="K26" s="50">
        <f>32240.597370103*Deflactores!$AA$5</f>
        <v>32240.597370103002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586.1839933024595</v>
      </c>
      <c r="I27" s="42">
        <f>7881.726289979*Deflactores!$Y$5</f>
        <v>8783.5395261917693</v>
      </c>
      <c r="J27" s="42">
        <f>6854.864793304*Deflactores!$Z$5</f>
        <v>7268.4226484992232</v>
      </c>
      <c r="K27" s="42">
        <f>6686.881982519*Deflactores!$AA$5</f>
        <v>6686.8819825190003</v>
      </c>
    </row>
    <row r="28" spans="3:11" x14ac:dyDescent="0.2">
      <c r="C28" s="88" t="s">
        <v>136</v>
      </c>
      <c r="D28" s="50">
        <f>8846.272112976*Deflactores!$T$5</f>
        <v>13759.002271229128</v>
      </c>
      <c r="E28" s="50">
        <f>15516.748561204*Deflactores!$U$5</f>
        <v>23751.493287979069</v>
      </c>
      <c r="F28" s="50">
        <f>20941.657735447*Deflactores!$V$5</f>
        <v>30349.748107801213</v>
      </c>
      <c r="G28" s="50">
        <f>20202.332456994*Deflactores!$W$5</f>
        <v>25882.495721705429</v>
      </c>
      <c r="H28" s="50">
        <f>18011.266579252*Deflactores!$X$5</f>
        <v>21115.832335722134</v>
      </c>
      <c r="I28" s="50">
        <f>13356.452735708*Deflactores!$Y$5</f>
        <v>14884.674526564408</v>
      </c>
      <c r="J28" s="50">
        <f>10911.027645757*Deflactores!$Z$5</f>
        <v>11569.296091191958</v>
      </c>
      <c r="K28" s="50">
        <f>13165.404989941*Deflactores!$AA$5</f>
        <v>13165.404989941</v>
      </c>
    </row>
    <row r="29" spans="3:11" x14ac:dyDescent="0.2">
      <c r="C29" s="87" t="s">
        <v>137</v>
      </c>
      <c r="D29" s="42">
        <f>339.51981743*Deflactores!$T$5</f>
        <v>528.07034188948683</v>
      </c>
      <c r="E29" s="42">
        <f>341.34847086*Deflactores!$U$5</f>
        <v>522.50224217489779</v>
      </c>
      <c r="F29" s="42">
        <f>501.513935051*Deflactores!$V$5</f>
        <v>726.82028298010187</v>
      </c>
      <c r="G29" s="42">
        <f>584.669015718*Deflactores!$W$5</f>
        <v>749.05674036148014</v>
      </c>
      <c r="H29" s="42">
        <f>972.068612575*Deflactores!$X$5</f>
        <v>1139.6221221663898</v>
      </c>
      <c r="I29" s="42">
        <f>1228.01033096*Deflactores!$Y$5</f>
        <v>1368.5171095414598</v>
      </c>
      <c r="J29" s="42">
        <f>967.051821949*Deflactores!$Z$5</f>
        <v>1025.3946032301894</v>
      </c>
      <c r="K29" s="42">
        <f>763.939555053*Deflactores!$AA$5</f>
        <v>763.93955505300005</v>
      </c>
    </row>
    <row r="30" spans="3:11" x14ac:dyDescent="0.2">
      <c r="C30" s="88" t="s">
        <v>138</v>
      </c>
      <c r="D30" s="50">
        <f>97.627789965*Deflactores!$T$5</f>
        <v>151.84486376958452</v>
      </c>
      <c r="E30" s="50">
        <f>99.695353307*Deflactores!$U$5</f>
        <v>152.60371756195923</v>
      </c>
      <c r="F30" s="50">
        <f>117.173050941*Deflactores!$V$5</f>
        <v>169.81332738823906</v>
      </c>
      <c r="G30" s="50">
        <f>111.804*Deflactores!$W$5</f>
        <v>143.23923031311855</v>
      </c>
      <c r="H30" s="50">
        <f>143.794*Deflactores!$X$5</f>
        <v>168.57948226586774</v>
      </c>
      <c r="I30" s="50">
        <f>168.585191002*Deflactores!$Y$5</f>
        <v>187.87441154602709</v>
      </c>
      <c r="J30" s="50">
        <f>175.85005386*Deflactores!$Z$5</f>
        <v>186.45918668802381</v>
      </c>
      <c r="K30" s="50">
        <f>177.658336299*Deflactores!$AA$5</f>
        <v>177.65833629900001</v>
      </c>
    </row>
    <row r="31" spans="3:11" x14ac:dyDescent="0.2">
      <c r="C31" s="87" t="s">
        <v>160</v>
      </c>
      <c r="D31" s="42">
        <f>1285.20619975*Deflactores!$T$5</f>
        <v>1998.9386258444142</v>
      </c>
      <c r="E31" s="42">
        <f>1676.087913982*Deflactores!$U$5</f>
        <v>2565.5884467020933</v>
      </c>
      <c r="F31" s="42">
        <f>2109.198288477*Deflactores!$V$5</f>
        <v>3056.760719392782</v>
      </c>
      <c r="G31" s="42">
        <f>2897.118471822*Deflactores!$W$5</f>
        <v>3711.6831243041529</v>
      </c>
      <c r="H31" s="42">
        <f>3212.847733221*Deflactores!$X$5</f>
        <v>3766.6398282644818</v>
      </c>
      <c r="I31" s="42">
        <f>3888.787990604*Deflactores!$Y$5</f>
        <v>4333.7362612906854</v>
      </c>
      <c r="J31" s="42">
        <f>4257.375653839*Deflactores!$Z$5</f>
        <v>4514.2255257550569</v>
      </c>
      <c r="K31" s="42">
        <f>4365.416797682*Deflactores!$AA$5</f>
        <v>4365.4167976819999</v>
      </c>
    </row>
    <row r="32" spans="3:11" x14ac:dyDescent="0.2">
      <c r="C32" s="88" t="s">
        <v>161</v>
      </c>
      <c r="D32" s="50">
        <f>2301.560290903*Deflactores!$T$5</f>
        <v>3579.7195548003447</v>
      </c>
      <c r="E32" s="50">
        <f>2491.243376664*Deflactores!$U$5</f>
        <v>3813.3472425724508</v>
      </c>
      <c r="F32" s="50">
        <f>2946.372463849*Deflactores!$V$5</f>
        <v>4270.037417248911</v>
      </c>
      <c r="G32" s="50">
        <f>3242.16466669*Deflactores!$W$5</f>
        <v>4153.7437963316534</v>
      </c>
      <c r="H32" s="50">
        <f>3358.93627396*Deflactores!$X$5</f>
        <v>3937.9093566367142</v>
      </c>
      <c r="I32" s="50">
        <f>3988.868321567*Deflactores!$Y$5</f>
        <v>4445.2676074027067</v>
      </c>
      <c r="J32" s="50">
        <f>4292.477049383*Deflactores!$Z$5</f>
        <v>4551.4446082692966</v>
      </c>
      <c r="K32" s="50">
        <f>4636.128941332*Deflactores!$AA$5</f>
        <v>4636.1289413320001</v>
      </c>
    </row>
    <row r="33" spans="1:11" x14ac:dyDescent="0.2">
      <c r="C33" s="87" t="s">
        <v>140</v>
      </c>
      <c r="D33" s="42">
        <f>3203.654942707*Deflactores!$T$5</f>
        <v>4982.7876725929991</v>
      </c>
      <c r="E33" s="42">
        <f>3205.21845397*Deflactores!$U$5</f>
        <v>4906.2291816932047</v>
      </c>
      <c r="F33" s="42">
        <f>4618.342935265*Deflactores!$V$5</f>
        <v>6693.1446655956061</v>
      </c>
      <c r="G33" s="42">
        <f>4584.405172311*Deflactores!$W$5</f>
        <v>5873.3736568039349</v>
      </c>
      <c r="H33" s="42">
        <f>7044.622799663*Deflactores!$X$5</f>
        <v>8258.8902480320194</v>
      </c>
      <c r="I33" s="42">
        <f>7278.596406651*Deflactores!$Y$5</f>
        <v>8111.4005841969902</v>
      </c>
      <c r="J33" s="42">
        <f>6856.308400891*Deflactores!$Z$5</f>
        <v>7269.9533497453149</v>
      </c>
      <c r="K33" s="42">
        <f>9964.096562025*Deflactores!$AA$5</f>
        <v>9964.0965620250008</v>
      </c>
    </row>
    <row r="34" spans="1:11" x14ac:dyDescent="0.2">
      <c r="C34" s="88" t="s">
        <v>141</v>
      </c>
      <c r="D34" s="50">
        <f>1878.302755191*Deflactores!$T$5</f>
        <v>2921.4081982421394</v>
      </c>
      <c r="E34" s="50">
        <f>2344.760585884*Deflactores!$U$5</f>
        <v>3589.1259755787651</v>
      </c>
      <c r="F34" s="50">
        <f>2842.980710026*Deflactores!$V$5</f>
        <v>4120.1966680306468</v>
      </c>
      <c r="G34" s="50">
        <f>3170.574440704*Deflactores!$W$5</f>
        <v>4062.024994963394</v>
      </c>
      <c r="H34" s="50">
        <f>3986.415878127*Deflactores!$X$5</f>
        <v>4673.5463568096311</v>
      </c>
      <c r="I34" s="50">
        <f>4266.732677902*Deflactores!$Y$5</f>
        <v>4754.9247138530272</v>
      </c>
      <c r="J34" s="50">
        <f>4243.35196867*Deflactores!$Z$5</f>
        <v>4499.3557837584895</v>
      </c>
      <c r="K34" s="50">
        <f>5018.016822036*Deflactores!$AA$5</f>
        <v>5018.0168220360001</v>
      </c>
    </row>
    <row r="35" spans="1:11" x14ac:dyDescent="0.2">
      <c r="C35" s="87" t="s">
        <v>142</v>
      </c>
      <c r="D35" s="42">
        <f>362.193820179*Deflactores!$T$5</f>
        <v>563.33623144580474</v>
      </c>
      <c r="E35" s="42">
        <f>277.053739159*Deflactores!$U$5</f>
        <v>424.08627039928604</v>
      </c>
      <c r="F35" s="42">
        <f>840.748478704*Deflactores!$V$5</f>
        <v>1218.4567656023162</v>
      </c>
      <c r="G35" s="42">
        <f>1541.479384987*Deflactores!$W$5</f>
        <v>1974.8874874698331</v>
      </c>
      <c r="H35" s="42">
        <f>1624.539382176*Deflactores!$X$5</f>
        <v>1904.5579646420761</v>
      </c>
      <c r="I35" s="42">
        <f>1222.976248454*Deflactores!$Y$5</f>
        <v>1362.9070361840813</v>
      </c>
      <c r="J35" s="42">
        <f>886.631702761*Deflactores!$Z$5</f>
        <v>940.12269294071939</v>
      </c>
      <c r="K35" s="42">
        <f>1429.057830379*Deflactores!$AA$5</f>
        <v>1429.0578303790001</v>
      </c>
    </row>
    <row r="36" spans="1:11" x14ac:dyDescent="0.2">
      <c r="C36" s="88" t="s">
        <v>143</v>
      </c>
      <c r="D36" s="50">
        <f>1581.380102079*Deflactores!$T$5</f>
        <v>2459.5911292696792</v>
      </c>
      <c r="E36" s="50">
        <f>5313.440677923*Deflactores!$U$5</f>
        <v>8133.2857911548599</v>
      </c>
      <c r="F36" s="50">
        <f>8718.338260364*Deflactores!$V$5</f>
        <v>12635.072803848658</v>
      </c>
      <c r="G36" s="50">
        <f>5981.66412421076*Deflactores!$W$5</f>
        <v>7663.491155446527</v>
      </c>
      <c r="H36" s="50">
        <f>5520.030805745*Deflactores!$X$5</f>
        <v>6471.5074017283951</v>
      </c>
      <c r="I36" s="50">
        <f>2881.107216984*Deflactores!$Y$5</f>
        <v>3210.7584288673334</v>
      </c>
      <c r="J36" s="50">
        <f>4070.934755621*Deflactores!$Z$5</f>
        <v>4316.5365431017481</v>
      </c>
      <c r="K36" s="50">
        <f>9523.462965367*Deflactores!$AA$5</f>
        <v>9523.4629653669999</v>
      </c>
    </row>
    <row r="37" spans="1:11" x14ac:dyDescent="0.2">
      <c r="C37" s="87" t="s">
        <v>144</v>
      </c>
      <c r="D37" s="42">
        <f>4676.900083947*Deflactores!$T$5</f>
        <v>7274.1916657694228</v>
      </c>
      <c r="E37" s="42">
        <f>4875.879900141*Deflactores!$U$5</f>
        <v>7463.5113319259035</v>
      </c>
      <c r="F37" s="42">
        <f>5437.736589865*Deflactores!$V$5</f>
        <v>7880.6529007315021</v>
      </c>
      <c r="G37" s="42">
        <f>6036.03122774*Deflactores!$W$5</f>
        <v>7733.1443169065997</v>
      </c>
      <c r="H37" s="42">
        <f>7903.13935*Deflactores!$X$5</f>
        <v>9265.3875676176085</v>
      </c>
      <c r="I37" s="42">
        <f>9329.619831189*Deflactores!$Y$5</f>
        <v>10397.098495513666</v>
      </c>
      <c r="J37" s="42">
        <f>10674.585282309*Deflactores!$Z$5</f>
        <v>11318.589026739155</v>
      </c>
      <c r="K37" s="42">
        <f>10909.093609956*Deflactores!$AA$5</f>
        <v>10909.093609956</v>
      </c>
    </row>
    <row r="38" spans="1:11" x14ac:dyDescent="0.2">
      <c r="C38" s="88" t="s">
        <v>145</v>
      </c>
      <c r="D38" s="50">
        <f>1461.293723561*Deflactores!$T$5</f>
        <v>2272.8154192675825</v>
      </c>
      <c r="E38" s="50">
        <f>644.113059438*Deflactores!$U$5</f>
        <v>985.94412016135971</v>
      </c>
      <c r="F38" s="50">
        <f>1353.943460913*Deflactores!$V$5</f>
        <v>1962.2058344196812</v>
      </c>
      <c r="G38" s="50">
        <f>3219.539810582*Deflactores!$W$5</f>
        <v>4124.7576511592533</v>
      </c>
      <c r="H38" s="50">
        <f>3287.579677065*Deflactores!$X$5</f>
        <v>3854.2531668039437</v>
      </c>
      <c r="I38" s="50">
        <f>1434.743967482*Deflactores!$Y$5</f>
        <v>1598.9048445346257</v>
      </c>
      <c r="J38" s="50">
        <f>2915.768021621*Deflactores!$Z$5</f>
        <v>3091.6779491875209</v>
      </c>
      <c r="K38" s="50">
        <f>6828.103497767*Deflactores!$AA$5</f>
        <v>6828.1034977669997</v>
      </c>
    </row>
    <row r="39" spans="1:11" x14ac:dyDescent="0.2">
      <c r="C39" s="87" t="s">
        <v>146</v>
      </c>
      <c r="D39" s="42">
        <f>736.17901762*Deflactores!$T$5</f>
        <v>1145.0121187892391</v>
      </c>
      <c r="E39" s="42">
        <f>813.606604506999*Deflactores!$U$5</f>
        <v>1245.3879580364858</v>
      </c>
      <c r="F39" s="42">
        <f>947.536223412999*Deflactores!$V$5</f>
        <v>1373.2191628232599</v>
      </c>
      <c r="G39" s="42">
        <f>1202.41594112*Deflactores!$W$5</f>
        <v>1540.4916990649072</v>
      </c>
      <c r="H39" s="42">
        <f>1272.521463919*Deflactores!$X$5</f>
        <v>1491.8634265662622</v>
      </c>
      <c r="I39" s="42">
        <f>1222.96157046*Deflactores!$Y$5</f>
        <v>1362.8906787598676</v>
      </c>
      <c r="J39" s="42">
        <f>1300.070342079*Deflactores!$Z$5</f>
        <v>1378.5043183112236</v>
      </c>
      <c r="K39" s="42">
        <f>1278.947845812*Deflactores!$AA$5</f>
        <v>1278.947845812</v>
      </c>
    </row>
    <row r="40" spans="1:11" x14ac:dyDescent="0.2">
      <c r="C40" s="88" t="s">
        <v>162</v>
      </c>
      <c r="D40" s="50">
        <f>28987.696216655*Deflactores!$T$5</f>
        <v>45085.859104155534</v>
      </c>
      <c r="E40" s="50">
        <f>34848.320764675*Deflactores!$U$5</f>
        <v>53342.33866552361</v>
      </c>
      <c r="F40" s="50">
        <f>43181.5796681788*Deflactores!$V$5</f>
        <v>62581.008742582395</v>
      </c>
      <c r="G40" s="50">
        <f>41807.9954097972*Deflactores!$W$5</f>
        <v>53562.887583930307</v>
      </c>
      <c r="H40" s="50">
        <f>53116.799123168*Deflactores!$X$5</f>
        <v>62272.434842926399</v>
      </c>
      <c r="I40" s="50">
        <f>60651.159432722*Deflactores!$Y$5</f>
        <v>67590.758240869065</v>
      </c>
      <c r="J40" s="50">
        <f>66093.289680738*Deflactores!$Z$5</f>
        <v>70080.735085913984</v>
      </c>
      <c r="K40" s="50">
        <f>77737.181162227*Deflactores!$AA$5</f>
        <v>77737.181162227003</v>
      </c>
    </row>
    <row r="41" spans="1:11" x14ac:dyDescent="0.2">
      <c r="C41" s="87" t="s">
        <v>148</v>
      </c>
      <c r="D41" s="42">
        <f>429.800784122*Deflactores!$T$5</f>
        <v>668.48836316445136</v>
      </c>
      <c r="E41" s="42">
        <f>503.025491789*Deflactores!$U$5</f>
        <v>769.98132339277572</v>
      </c>
      <c r="F41" s="42">
        <f>582.429387376*Deflactores!$V$5</f>
        <v>844.08719790707971</v>
      </c>
      <c r="G41" s="42">
        <f>620.080899014*Deflactores!$W$5</f>
        <v>794.42516105534639</v>
      </c>
      <c r="H41" s="42">
        <f>739.291751364*Deflactores!$X$5</f>
        <v>866.72198206023711</v>
      </c>
      <c r="I41" s="42">
        <f>855.471019958*Deflactores!$Y$5</f>
        <v>953.35250690781118</v>
      </c>
      <c r="J41" s="42">
        <f>967.948137067*Deflactores!$Z$5</f>
        <v>1026.3449935442663</v>
      </c>
      <c r="K41" s="42">
        <f>942.637932855*Deflactores!$AA$5</f>
        <v>942.63793285500003</v>
      </c>
    </row>
    <row r="42" spans="1:11" x14ac:dyDescent="0.2">
      <c r="C42" s="88" t="s">
        <v>149</v>
      </c>
      <c r="D42" s="50">
        <f>83.518496183*Deflactores!$T$5</f>
        <v>129.90004874323901</v>
      </c>
      <c r="E42" s="50">
        <f>54.421210989*Deflactores!$U$5</f>
        <v>83.302569635028618</v>
      </c>
      <c r="F42" s="50">
        <f>81.8916*Deflactores!$V$5</f>
        <v>118.68159930519289</v>
      </c>
      <c r="G42" s="50">
        <f>106.793*Deflactores!$W$5</f>
        <v>136.8193188332159</v>
      </c>
      <c r="H42" s="50">
        <f>108.200203899*Deflactores!$X$5</f>
        <v>126.85045519531234</v>
      </c>
      <c r="I42" s="50">
        <f>926.436055307*Deflactores!$Y$5</f>
        <v>1032.4372365764937</v>
      </c>
      <c r="J42" s="50">
        <f>631.671777708*Deflactores!$Z$5</f>
        <v>669.78089195799271</v>
      </c>
      <c r="K42" s="50">
        <f>305.78732957*Deflactores!$AA$5</f>
        <v>305.78732957</v>
      </c>
    </row>
    <row r="43" spans="1:11" x14ac:dyDescent="0.2">
      <c r="C43" s="87" t="s">
        <v>163</v>
      </c>
      <c r="D43" s="42">
        <f>26383.610593279*Deflactores!$T$5</f>
        <v>41035.608382843282</v>
      </c>
      <c r="E43" s="42">
        <f>30833.183675652*Deflactores!$U$5</f>
        <v>47196.366702126281</v>
      </c>
      <c r="F43" s="42">
        <f>26181.119856046*Deflactores!$V$5</f>
        <v>37943.051254542355</v>
      </c>
      <c r="G43" s="42">
        <f>32827.56258787*Deflactores!$W$5</f>
        <v>42057.482721031673</v>
      </c>
      <c r="H43" s="42">
        <f>32404.528468452*Deflactores!$X$5</f>
        <v>37990.031797440854</v>
      </c>
      <c r="I43" s="42">
        <f>37890.077656283*Deflactores!$Y$5</f>
        <v>42225.393587643106</v>
      </c>
      <c r="J43" s="42">
        <f>48752.785180547*Deflactores!$Z$5</f>
        <v>51694.068179119822</v>
      </c>
      <c r="K43" s="42">
        <f>53722.331052785*Deflactores!$AA$5</f>
        <v>53722.331052784997</v>
      </c>
    </row>
    <row r="44" spans="1:11" x14ac:dyDescent="0.2">
      <c r="C44" s="88" t="s">
        <v>150</v>
      </c>
      <c r="D44" s="50">
        <f>4690.830839722*Deflactores!$T$5</f>
        <v>7295.8587926563523</v>
      </c>
      <c r="E44" s="50">
        <f>5054.289106832*Deflactores!$U$5</f>
        <v>7736.6023766457874</v>
      </c>
      <c r="F44" s="50">
        <f>7939.956777833*Deflactores!$V$5</f>
        <v>11507.001558246837</v>
      </c>
      <c r="G44" s="50">
        <f>9000.564474142*Deflactores!$W$5</f>
        <v>11531.19680565721</v>
      </c>
      <c r="H44" s="50">
        <f>9325.25861041*Deflactores!$X$5</f>
        <v>10932.634661656555</v>
      </c>
      <c r="I44" s="50">
        <f>10153.55116797*Deflactores!$Y$5</f>
        <v>11315.302604261422</v>
      </c>
      <c r="J44" s="50">
        <f>8832.279947778*Deflactores!$Z$5</f>
        <v>9365.1363733715243</v>
      </c>
      <c r="K44" s="50">
        <f>10550.745938111*Deflactores!$AA$5</f>
        <v>10550.745938111</v>
      </c>
    </row>
    <row r="45" spans="1:11" x14ac:dyDescent="0.2">
      <c r="C45" s="87" t="s">
        <v>151</v>
      </c>
      <c r="D45" s="42">
        <f>4150.67212431*Deflactores!$T$5</f>
        <v>6455.725808133262</v>
      </c>
      <c r="E45" s="42">
        <f>4367.675378358*Deflactores!$U$5</f>
        <v>6685.6024652301267</v>
      </c>
      <c r="F45" s="42">
        <f>5976.574657216*Deflactores!$V$5</f>
        <v>8661.5652726931676</v>
      </c>
      <c r="G45" s="42">
        <f>5824.493172477*Deflactores!$W$5</f>
        <v>7462.1294317700576</v>
      </c>
      <c r="H45" s="42">
        <f>7950.394320144*Deflactores!$X$5</f>
        <v>9320.7877818224042</v>
      </c>
      <c r="I45" s="42">
        <f>9141.143100719*Deflactores!$Y$5</f>
        <v>10187.056589598275</v>
      </c>
      <c r="J45" s="42">
        <f>8343.751804098*Deflactores!$Z$5</f>
        <v>8847.1350515334125</v>
      </c>
      <c r="K45" s="42">
        <f>7330.752100161*Deflactores!$AA$5</f>
        <v>7330.7521001610003</v>
      </c>
    </row>
    <row r="46" spans="1:11" ht="21.75" customHeight="1" x14ac:dyDescent="0.2">
      <c r="C46" s="79" t="s">
        <v>152</v>
      </c>
      <c r="D46" s="44">
        <f t="shared" ref="D46:K46" si="0">SUM(D15:D45)</f>
        <v>285596.85249320691</v>
      </c>
      <c r="E46" s="44">
        <f t="shared" si="0"/>
        <v>368591.93525029422</v>
      </c>
      <c r="F46" s="44">
        <f t="shared" si="0"/>
        <v>369154.94878649915</v>
      </c>
      <c r="G46" s="44">
        <f t="shared" si="0"/>
        <v>335811.56812885788</v>
      </c>
      <c r="H46" s="44">
        <f t="shared" si="0"/>
        <v>378614.86630110134</v>
      </c>
      <c r="I46" s="44">
        <f t="shared" si="0"/>
        <v>394257.25558318786</v>
      </c>
      <c r="J46" s="44">
        <f t="shared" si="0"/>
        <v>393961.72562186263</v>
      </c>
      <c r="K46" s="44">
        <f t="shared" si="0"/>
        <v>425645.39204439591</v>
      </c>
    </row>
    <row r="47" spans="1:11" s="31" customFormat="1" x14ac:dyDescent="0.2">
      <c r="A47" s="5"/>
      <c r="B47" s="5"/>
      <c r="C47" s="72" t="str">
        <f>+'C1 Aprop Resumen 2000-2026'!B20</f>
        <v>* Información con corte a 30 de Junio</v>
      </c>
      <c r="D47" s="123">
        <f>+D46-'C6 Ejec. Nac 19-26'!D33</f>
        <v>1.2223608791828156E-9</v>
      </c>
      <c r="E47" s="123">
        <f>+E46-'C6 Ejec. Nac 19-26'!E33</f>
        <v>6.4028427004814148E-10</v>
      </c>
      <c r="F47" s="123">
        <f>+F46-'C6 Ejec. Nac 19-26'!F33</f>
        <v>0</v>
      </c>
      <c r="G47" s="123">
        <f>+G46-'C6 Ejec. Nac 19-26'!G33</f>
        <v>0</v>
      </c>
      <c r="H47" s="123">
        <f>+H46-'C6 Ejec. Nac 19-26'!H33</f>
        <v>0</v>
      </c>
      <c r="I47" s="123">
        <f>+I46-'C6 Ejec. Nac 19-26'!I33</f>
        <v>0</v>
      </c>
      <c r="J47" s="123">
        <f>+J46-'C6 Ejec. Nac 19-26'!J33</f>
        <v>7.5669959187507629E-10</v>
      </c>
      <c r="K47" s="123">
        <f>+K46-'C6 Ejec. Nac 19-26'!K33</f>
        <v>0</v>
      </c>
    </row>
    <row r="48" spans="1:11" x14ac:dyDescent="0.2">
      <c r="C48" s="1" t="s">
        <v>52</v>
      </c>
      <c r="D48" s="10"/>
    </row>
    <row r="49" spans="3:11" x14ac:dyDescent="0.2">
      <c r="D49" s="10"/>
    </row>
    <row r="50" spans="3:11" x14ac:dyDescent="0.2">
      <c r="D50" s="10"/>
    </row>
    <row r="52" spans="3:11" ht="18" customHeight="1" x14ac:dyDescent="0.2">
      <c r="D52" s="164" t="s">
        <v>153</v>
      </c>
      <c r="E52" s="182"/>
      <c r="F52" s="182"/>
      <c r="G52" s="182"/>
      <c r="H52" s="182"/>
      <c r="I52" s="182"/>
      <c r="J52" s="182"/>
      <c r="K52" s="182"/>
    </row>
    <row r="53" spans="3:11" ht="11.25" hidden="1" customHeight="1" x14ac:dyDescent="0.2">
      <c r="D53" s="28"/>
    </row>
    <row r="54" spans="3:11" x14ac:dyDescent="0.2">
      <c r="C54" s="2"/>
      <c r="D54" s="2"/>
      <c r="E54" s="2"/>
      <c r="F54" s="2"/>
      <c r="G54" s="2"/>
      <c r="H54" s="2"/>
      <c r="I54" s="2"/>
    </row>
    <row r="55" spans="3:11" ht="12" thickBot="1" x14ac:dyDescent="0.25">
      <c r="C55" s="181" t="s">
        <v>120</v>
      </c>
      <c r="D55" s="155">
        <v>2019</v>
      </c>
      <c r="E55" s="155">
        <v>2020</v>
      </c>
      <c r="F55" s="155">
        <v>2021</v>
      </c>
      <c r="G55" s="155">
        <v>2022</v>
      </c>
      <c r="H55" s="155">
        <v>2023</v>
      </c>
      <c r="I55" s="155">
        <v>2024</v>
      </c>
      <c r="J55" s="155">
        <v>2025</v>
      </c>
      <c r="K55" s="155" t="s">
        <v>36</v>
      </c>
    </row>
    <row r="56" spans="3:11" ht="12" customHeight="1" thickBot="1" x14ac:dyDescent="0.25">
      <c r="C56" s="162"/>
      <c r="D56" s="156"/>
      <c r="E56" s="156"/>
      <c r="F56" s="156"/>
      <c r="G56" s="156"/>
      <c r="H56" s="156"/>
      <c r="I56" s="156"/>
      <c r="J56" s="156"/>
      <c r="K56" s="156"/>
    </row>
    <row r="57" spans="3:11" x14ac:dyDescent="0.2">
      <c r="C57" s="87" t="s">
        <v>123</v>
      </c>
      <c r="D57" s="42">
        <f>2109.46148441399*Deflactores!$T$5</f>
        <v>3280.9396980394699</v>
      </c>
      <c r="E57" s="42">
        <f>1605.26097287806*Deflactores!$U$5</f>
        <v>2457.1736193558299</v>
      </c>
      <c r="F57" s="42">
        <f>2151.57635932346*Deflactores!$V$5</f>
        <v>3118.1772410326898</v>
      </c>
      <c r="G57" s="42">
        <f>2251.80277596243*Deflactores!$W$5</f>
        <v>2884.9280566509447</v>
      </c>
      <c r="H57" s="42">
        <f>4813.81641969647*Deflactores!$X$5</f>
        <v>5643.56426384525</v>
      </c>
      <c r="I57" s="42">
        <f>7529.68804314529*Deflactores!$Y$5</f>
        <v>8391.2216833701332</v>
      </c>
      <c r="J57" s="42">
        <f>4689.28010698354*Deflactores!$Z$5</f>
        <v>4972.1870179043917</v>
      </c>
      <c r="K57" s="42">
        <f>2366.13420343968*Deflactores!$AA$5</f>
        <v>2366.1342034396798</v>
      </c>
    </row>
    <row r="58" spans="3:11" x14ac:dyDescent="0.2">
      <c r="C58" s="88" t="s">
        <v>124</v>
      </c>
      <c r="D58" s="50">
        <f>476.37925131732*Deflactores!$T$5</f>
        <v>740.93393433230244</v>
      </c>
      <c r="E58" s="50">
        <f>556.352925991079*Deflactores!$U$5</f>
        <v>851.60964845841977</v>
      </c>
      <c r="F58" s="50">
        <f>790.93639237373*Deflactores!$V$5</f>
        <v>1146.266479047837</v>
      </c>
      <c r="G58" s="50">
        <f>961.8216149836*Deflactores!$W$5</f>
        <v>1232.2509733888905</v>
      </c>
      <c r="H58" s="50">
        <f>1508.05714265367*Deflactores!$X$5</f>
        <v>1767.9979160180503</v>
      </c>
      <c r="I58" s="50">
        <f>1742.36881339849*Deflactores!$Y$5</f>
        <v>1941.7275833528424</v>
      </c>
      <c r="J58" s="50">
        <f>1464.82353425646*Deflactores!$Z$5</f>
        <v>1553.1971633991295</v>
      </c>
      <c r="K58" s="50">
        <f>761.53302928254*Deflactores!$AA$5</f>
        <v>761.53302928254004</v>
      </c>
    </row>
    <row r="59" spans="3:11" x14ac:dyDescent="0.2">
      <c r="C59" s="87" t="s">
        <v>125</v>
      </c>
      <c r="D59" s="42">
        <f>350.05227755947*Deflactores!$T$5</f>
        <v>544.45194772212221</v>
      </c>
      <c r="E59" s="42">
        <f>266.59040046537*Deflactores!$U$5</f>
        <v>408.07003363606555</v>
      </c>
      <c r="F59" s="42">
        <f>407.942990848219*Deflactores!$V$5</f>
        <v>591.21236584961457</v>
      </c>
      <c r="G59" s="42">
        <f>327.212574684229*Deflactores!$W$5</f>
        <v>419.21288457070216</v>
      </c>
      <c r="H59" s="42">
        <f>477.96120264284*Deflactores!$X$5</f>
        <v>560.34641281765209</v>
      </c>
      <c r="I59" s="42">
        <f>368.51494771048*Deflactores!$Y$5</f>
        <v>410.67977878436557</v>
      </c>
      <c r="J59" s="42">
        <f>274.46519305375*Deflactores!$Z$5</f>
        <v>291.0238327917545</v>
      </c>
      <c r="K59" s="42">
        <f>228.77591948532*Deflactores!$AA$5</f>
        <v>228.77591948532</v>
      </c>
    </row>
    <row r="60" spans="3:11" x14ac:dyDescent="0.2">
      <c r="C60" s="88" t="s">
        <v>126</v>
      </c>
      <c r="D60" s="50">
        <f>639.75747425612*Deflactores!$T$5</f>
        <v>995.04338425381275</v>
      </c>
      <c r="E60" s="50">
        <f>716.79254142148*Deflactores!$U$5</f>
        <v>1097.1946325799533</v>
      </c>
      <c r="F60" s="50">
        <f>740.33408287456*Deflactores!$V$5</f>
        <v>1072.9309596551539</v>
      </c>
      <c r="G60" s="50">
        <f>706.76809537421*Deflactores!$W$5</f>
        <v>905.48565338691458</v>
      </c>
      <c r="H60" s="50">
        <f>945.01795190465*Deflactores!$X$5</f>
        <v>1107.9087935799587</v>
      </c>
      <c r="I60" s="50">
        <f>935.29392817523*Deflactores!$Y$5</f>
        <v>1042.308611652662</v>
      </c>
      <c r="J60" s="50">
        <f>906.60455047624*Deflactores!$Z$5</f>
        <v>961.30051381185933</v>
      </c>
      <c r="K60" s="50">
        <f>1021.7666549106*Deflactores!$AA$5</f>
        <v>1021.7666549106</v>
      </c>
    </row>
    <row r="61" spans="3:11" x14ac:dyDescent="0.2">
      <c r="C61" s="87" t="s">
        <v>127</v>
      </c>
      <c r="D61" s="42">
        <f>636.93320394978*Deflactores!$T$5</f>
        <v>990.65067045717331</v>
      </c>
      <c r="E61" s="42">
        <f>684.61391961214*Deflactores!$U$5</f>
        <v>1047.9388031833305</v>
      </c>
      <c r="F61" s="42">
        <f>745.77291119638*Deflactores!$V$5</f>
        <v>1080.813194751061</v>
      </c>
      <c r="G61" s="42">
        <f>918.75331715076*Deflactores!$W$5</f>
        <v>1177.0734320444649</v>
      </c>
      <c r="H61" s="42">
        <f>1160.37816599848*Deflactores!$X$5</f>
        <v>1360.3902141719466</v>
      </c>
      <c r="I61" s="42">
        <f>1303.64901856052*Deflactores!$Y$5</f>
        <v>1452.8102425183233</v>
      </c>
      <c r="J61" s="42">
        <f>1355.00451363828*Deflactores!$Z$5</f>
        <v>1436.7526993920646</v>
      </c>
      <c r="K61" s="42">
        <f>905.73986229169*Deflactores!$AA$5</f>
        <v>905.73986229168997</v>
      </c>
    </row>
    <row r="62" spans="3:11" x14ac:dyDescent="0.2">
      <c r="C62" s="88" t="s">
        <v>128</v>
      </c>
      <c r="D62" s="50">
        <f>370.97818661516*Deflactores!$T$5</f>
        <v>576.99894905191888</v>
      </c>
      <c r="E62" s="50">
        <f>367.53482156345*Deflactores!$U$5</f>
        <v>562.58569977017885</v>
      </c>
      <c r="F62" s="50">
        <f>584.76850981389*Deflactores!$V$5</f>
        <v>847.4771767559414</v>
      </c>
      <c r="G62" s="50">
        <f>536.076814312962*Deflactores!$W$5</f>
        <v>686.80217408050919</v>
      </c>
      <c r="H62" s="50">
        <f>779.016601113635*Deflactores!$X$5</f>
        <v>913.29412417939966</v>
      </c>
      <c r="I62" s="50">
        <f>1291.96489769429*Deflactores!$Y$5</f>
        <v>1439.7892451274574</v>
      </c>
      <c r="J62" s="50">
        <f>1051.92169154398*Deflactores!$Z$5</f>
        <v>1115.3847198758017</v>
      </c>
      <c r="K62" s="50">
        <f>748.825922697759*Deflactores!$AA$5</f>
        <v>748.82592269775898</v>
      </c>
    </row>
    <row r="63" spans="3:11" x14ac:dyDescent="0.2">
      <c r="C63" s="87" t="s">
        <v>129</v>
      </c>
      <c r="D63" s="42">
        <f>31328.0848319591*Deflactores!$T$5</f>
        <v>48725.970086757319</v>
      </c>
      <c r="E63" s="42">
        <f>33428.715498006*Deflactores!$U$5</f>
        <v>51169.348310625945</v>
      </c>
      <c r="F63" s="42">
        <f>35946.5156150983*Deflactores!$V$5</f>
        <v>52095.574670038885</v>
      </c>
      <c r="G63" s="42">
        <f>39018.4015798964*Deflactores!$W$5</f>
        <v>49988.961131556374</v>
      </c>
      <c r="H63" s="42">
        <f>44900.6101253405*Deflactores!$X$5</f>
        <v>52640.037889977881</v>
      </c>
      <c r="I63" s="42">
        <f>52543.7171166216*Deflactores!$Y$5</f>
        <v>58555.676658509605</v>
      </c>
      <c r="J63" s="42">
        <f>57125.446765525*Deflactores!$Z$5</f>
        <v>60571.857154902274</v>
      </c>
      <c r="K63" s="42">
        <f>31967.271726828*Deflactores!$AA$5</f>
        <v>31967.271726827999</v>
      </c>
    </row>
    <row r="64" spans="3:11" x14ac:dyDescent="0.2">
      <c r="C64" s="88" t="s">
        <v>130</v>
      </c>
      <c r="D64" s="50">
        <f>481.20349976978*Deflactores!$T$5</f>
        <v>748.43730349918656</v>
      </c>
      <c r="E64" s="50">
        <f>442.03751439524*Deflactores!$U$5</f>
        <v>676.62700177045565</v>
      </c>
      <c r="F64" s="50">
        <f>733.24381649454*Deflactores!$V$5</f>
        <v>1062.6553739603987</v>
      </c>
      <c r="G64" s="50">
        <f>878.91889869088*Deflactores!$W$5</f>
        <v>1126.039019678504</v>
      </c>
      <c r="H64" s="50">
        <f>698.67283655832*Deflactores!$X$5</f>
        <v>819.10166669142529</v>
      </c>
      <c r="I64" s="50">
        <f>992.07376549019*Deflactores!$Y$5</f>
        <v>1105.585097919482</v>
      </c>
      <c r="J64" s="50">
        <f>442.66369772782*Deflactores!$Z$5</f>
        <v>469.36984802037261</v>
      </c>
      <c r="K64" s="50">
        <f>412.07137142799*Deflactores!$AA$5</f>
        <v>412.07137142799002</v>
      </c>
    </row>
    <row r="65" spans="3:11" x14ac:dyDescent="0.2">
      <c r="C65" s="87" t="s">
        <v>131</v>
      </c>
      <c r="D65" s="42">
        <f>41429.5954202998*Deflactores!$T$5</f>
        <v>64437.300843128083</v>
      </c>
      <c r="E65" s="42">
        <f>44580.3060162541*Deflactores!$U$5</f>
        <v>68239.092419691326</v>
      </c>
      <c r="F65" s="42">
        <f>48053.2547193227*Deflactores!$V$5</f>
        <v>69641.295589645655</v>
      </c>
      <c r="G65" s="42">
        <f>49689.2435639159*Deflactores!$W$5</f>
        <v>63660.056911527252</v>
      </c>
      <c r="H65" s="42">
        <f>58498.9910696492*Deflactores!$X$5</f>
        <v>68582.344378743772</v>
      </c>
      <c r="I65" s="42">
        <f>69982.1293204175*Deflactores!$Y$5</f>
        <v>77989.3612639762</v>
      </c>
      <c r="J65" s="42">
        <f>79842.2684107054*Deflactores!$Z$5</f>
        <v>84659.197449204716</v>
      </c>
      <c r="K65" s="42">
        <f>55028.1519504548*Deflactores!$AA$5</f>
        <v>55028.151950454798</v>
      </c>
    </row>
    <row r="66" spans="3:11" x14ac:dyDescent="0.2">
      <c r="C66" s="88" t="s">
        <v>132</v>
      </c>
      <c r="D66" s="50">
        <f>39.99647523325*Deflactores!$T$5</f>
        <v>62.208304983997884</v>
      </c>
      <c r="E66" s="50">
        <f>43.08739883447*Deflactores!$U$5</f>
        <v>65.953898793729181</v>
      </c>
      <c r="F66" s="50">
        <f>49.49284182321*Deflactores!$V$5</f>
        <v>71.727620680723078</v>
      </c>
      <c r="G66" s="50">
        <f>49.44353830894*Deflactores!$W$5</f>
        <v>63.345268249166004</v>
      </c>
      <c r="H66" s="50">
        <f>53.9701232038699*Deflactores!$X$5</f>
        <v>63.27284467734038</v>
      </c>
      <c r="I66" s="50">
        <f>56.53164470031*Deflactores!$Y$5</f>
        <v>62.999895890463016</v>
      </c>
      <c r="J66" s="50">
        <f>60.97380561627*Deflactores!$Z$5</f>
        <v>64.652389663381612</v>
      </c>
      <c r="K66" s="50">
        <f>31.40860873296*Deflactores!$AA$5</f>
        <v>31.408608732960001</v>
      </c>
    </row>
    <row r="67" spans="3:11" x14ac:dyDescent="0.2">
      <c r="C67" s="87" t="s">
        <v>133</v>
      </c>
      <c r="D67" s="42">
        <f>3776.17322268774*Deflactores!$T$5</f>
        <v>5873.2509337242664</v>
      </c>
      <c r="E67" s="42">
        <f>3896.74692604511*Deflactores!$U$5</f>
        <v>5964.7520931235567</v>
      </c>
      <c r="F67" s="42">
        <f>4209.52690074424*Deflactores!$V$5</f>
        <v>6100.6670390926347</v>
      </c>
      <c r="G67" s="42">
        <f>4683.04628814377*Deflactores!$W$5</f>
        <v>5999.7490772639649</v>
      </c>
      <c r="H67" s="42">
        <f>5368.64045222389*Deflactores!$X$5</f>
        <v>6294.0221977794436</v>
      </c>
      <c r="I67" s="42">
        <f>5900.95665718845*Deflactores!$Y$5</f>
        <v>6576.1337217023938</v>
      </c>
      <c r="J67" s="42">
        <f>6790.3031862481*Deflactores!$Z$5</f>
        <v>7199.9660033138953</v>
      </c>
      <c r="K67" s="42">
        <f>3227.48699665239*Deflactores!$AA$5</f>
        <v>3227.4869966523902</v>
      </c>
    </row>
    <row r="68" spans="3:11" x14ac:dyDescent="0.2">
      <c r="C68" s="88" t="s">
        <v>134</v>
      </c>
      <c r="D68" s="50">
        <f>9381.31700132766*Deflactores!$T$5</f>
        <v>14591.181492038046</v>
      </c>
      <c r="E68" s="50">
        <f>20557.4860423517*Deflactores!$U$5</f>
        <v>31467.352185718031</v>
      </c>
      <c r="F68" s="50">
        <f>21336.1792113233*Deflactores!$V$5</f>
        <v>30921.509310625977</v>
      </c>
      <c r="G68" s="50">
        <f>16616.518723527*Deflactores!$W$5</f>
        <v>21288.481203190677</v>
      </c>
      <c r="H68" s="50">
        <f>36879.4709318675*Deflactores!$X$5</f>
        <v>43236.311083448141</v>
      </c>
      <c r="I68" s="50">
        <f>27525.7246014054*Deflactores!$Y$5</f>
        <v>30675.169515961166</v>
      </c>
      <c r="J68" s="50">
        <f>22551.9363828367*Deflactores!$Z$5</f>
        <v>23912.507411180752</v>
      </c>
      <c r="K68" s="50">
        <f>12507.2675957903*Deflactores!$AA$5</f>
        <v>12507.267595790299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553.31213175369078</v>
      </c>
      <c r="I69" s="42">
        <f>7848.14138458895*Deflactores!$Y$5</f>
        <v>8746.1118950962846</v>
      </c>
      <c r="J69" s="42">
        <f>6843.82566051525*Deflactores!$Z$5</f>
        <v>7256.7175186095837</v>
      </c>
      <c r="K69" s="42">
        <f>4950.45365642856*Deflactores!$AA$5</f>
        <v>4950.45365642856</v>
      </c>
    </row>
    <row r="70" spans="3:11" x14ac:dyDescent="0.2">
      <c r="C70" s="88" t="s">
        <v>136</v>
      </c>
      <c r="D70" s="50">
        <f>8776.14877050845*Deflactores!$T$5</f>
        <v>13649.93630355875</v>
      </c>
      <c r="E70" s="50">
        <f>15395.5957675269*Deflactores!$U$5</f>
        <v>23566.044657778526</v>
      </c>
      <c r="F70" s="50">
        <f>20513.9891297609*Deflactores!$V$5</f>
        <v>29729.948346953359</v>
      </c>
      <c r="G70" s="50">
        <f>19955.5047535154*Deflactores!$W$5</f>
        <v>25566.269019027266</v>
      </c>
      <c r="H70" s="50">
        <f>16463.0455528234*Deflactores!$X$5</f>
        <v>19300.747568148636</v>
      </c>
      <c r="I70" s="50">
        <f>12989.1261231777*Deflactores!$Y$5</f>
        <v>14475.31905017795</v>
      </c>
      <c r="J70" s="50">
        <f>10727.7152514365*Deflactores!$Z$5</f>
        <v>11374.92435683897</v>
      </c>
      <c r="K70" s="50">
        <f>6164.67865467304*Deflactores!$AA$5</f>
        <v>6164.67865467304</v>
      </c>
    </row>
    <row r="71" spans="3:11" x14ac:dyDescent="0.2">
      <c r="C71" s="87" t="s">
        <v>137</v>
      </c>
      <c r="D71" s="42">
        <f>319.239698987329*Deflactores!$T$5</f>
        <v>496.52776755422423</v>
      </c>
      <c r="E71" s="42">
        <f>313.229944314829*Deflactores!$U$5</f>
        <v>479.46120223852159</v>
      </c>
      <c r="F71" s="42">
        <f>365.42320398323*Deflactores!$V$5</f>
        <v>529.59046192719973</v>
      </c>
      <c r="G71" s="42">
        <f>420.412891809299*Deflactores!$W$5</f>
        <v>538.61775103284651</v>
      </c>
      <c r="H71" s="42">
        <f>840.5584357774*Deflactores!$X$5</f>
        <v>985.44380097613055</v>
      </c>
      <c r="I71" s="42">
        <f>1179.05805734666*Deflactores!$Y$5</f>
        <v>1313.9638030245355</v>
      </c>
      <c r="J71" s="42">
        <f>938.976579536959*Deflactores!$Z$5</f>
        <v>995.62556562508337</v>
      </c>
      <c r="K71" s="42">
        <f>445.08184988833*Deflactores!$AA$5</f>
        <v>445.08184988833</v>
      </c>
    </row>
    <row r="72" spans="3:11" x14ac:dyDescent="0.2">
      <c r="C72" s="88" t="s">
        <v>138</v>
      </c>
      <c r="D72" s="50">
        <f>94.5223990089999*Deflactores!$T$5</f>
        <v>147.01491046597923</v>
      </c>
      <c r="E72" s="50">
        <f>98.9260034643899*Deflactores!$U$5</f>
        <v>151.4260734472283</v>
      </c>
      <c r="F72" s="50">
        <f>113.94134567572*Deflactores!$V$5</f>
        <v>165.12977071861184</v>
      </c>
      <c r="G72" s="50">
        <f>107.24716079672*Deflactores!$W$5</f>
        <v>137.40117317617825</v>
      </c>
      <c r="H72" s="50">
        <f>134.17444472116*Deflactores!$X$5</f>
        <v>157.30182361157935</v>
      </c>
      <c r="I72" s="50">
        <f>163.26377849481*Deflactores!$Y$5</f>
        <v>181.94413239493531</v>
      </c>
      <c r="J72" s="50">
        <f>172.35737484458*Deflactores!$Z$5</f>
        <v>182.75579237973423</v>
      </c>
      <c r="K72" s="50">
        <f>71.08585717263*Deflactores!$AA$5</f>
        <v>71.08585717263</v>
      </c>
    </row>
    <row r="73" spans="3:11" x14ac:dyDescent="0.2">
      <c r="C73" s="87" t="s">
        <v>160</v>
      </c>
      <c r="D73" s="42">
        <f>1262.55101449317*Deflactores!$T$5</f>
        <v>1963.7020039744391</v>
      </c>
      <c r="E73" s="42">
        <f>1631.42376734728*Deflactores!$U$5</f>
        <v>2497.2210194138634</v>
      </c>
      <c r="F73" s="42">
        <f>2040.38636780977*Deflactores!$V$5</f>
        <v>2957.034876985882</v>
      </c>
      <c r="G73" s="42">
        <f>2488.08585807416*Deflactores!$W$5</f>
        <v>3187.6453728265337</v>
      </c>
      <c r="H73" s="42">
        <f>3078.79725587678*Deflactores!$X$5</f>
        <v>3609.4833400370103</v>
      </c>
      <c r="I73" s="42">
        <f>3500.60392681727*Deflactores!$Y$5</f>
        <v>3901.1368608213284</v>
      </c>
      <c r="J73" s="42">
        <f>4181.83613740413*Deflactores!$Z$5</f>
        <v>4434.1286677326752</v>
      </c>
      <c r="K73" s="42">
        <f>3007.61213361196*Deflactores!$AA$5</f>
        <v>3007.61213361196</v>
      </c>
    </row>
    <row r="74" spans="3:11" x14ac:dyDescent="0.2">
      <c r="C74" s="88" t="s">
        <v>161</v>
      </c>
      <c r="D74" s="50">
        <f>2225.03082430177*Deflactores!$T$5</f>
        <v>3460.6898560374329</v>
      </c>
      <c r="E74" s="50">
        <f>2394.59860659834*Deflactores!$U$5</f>
        <v>3665.4130540097735</v>
      </c>
      <c r="F74" s="50">
        <f>2563.71247213923*Deflactores!$V$5</f>
        <v>3715.4664990323013</v>
      </c>
      <c r="G74" s="50">
        <f>2866.41884592789*Deflactores!$W$5</f>
        <v>3672.3518769071629</v>
      </c>
      <c r="H74" s="50">
        <f>3236.10447559342*Deflactores!$X$5</f>
        <v>3793.905288494625</v>
      </c>
      <c r="I74" s="50">
        <f>3928.84958786917*Deflactores!$Y$5</f>
        <v>4378.3816359351204</v>
      </c>
      <c r="J74" s="50">
        <f>4255.19767819898*Deflactores!$Z$5</f>
        <v>4511.9161516175436</v>
      </c>
      <c r="K74" s="50">
        <f>2699.13810946964*Deflactores!$AA$5</f>
        <v>2699.1381094696399</v>
      </c>
    </row>
    <row r="75" spans="3:11" x14ac:dyDescent="0.2">
      <c r="C75" s="87" t="s">
        <v>140</v>
      </c>
      <c r="D75" s="42">
        <f>3129.34593960251*Deflactores!$T$5</f>
        <v>4867.2115599174995</v>
      </c>
      <c r="E75" s="42">
        <f>3161.3289520747*Deflactores!$U$5</f>
        <v>4839.0475034203901</v>
      </c>
      <c r="F75" s="42">
        <f>4501.80914441736*Deflactores!$V$5</f>
        <v>6524.2577874433318</v>
      </c>
      <c r="G75" s="42">
        <f>4332.67394108354*Deflactores!$W$5</f>
        <v>5550.8647321966309</v>
      </c>
      <c r="H75" s="42">
        <f>6649.23927619015*Deflactores!$X$5</f>
        <v>7795.3552626813953</v>
      </c>
      <c r="I75" s="42">
        <f>7056.04337306585*Deflactores!$Y$5</f>
        <v>7863.3834245990438</v>
      </c>
      <c r="J75" s="42">
        <f>6471.55894019615*Deflactores!$Z$5</f>
        <v>6861.9917373085491</v>
      </c>
      <c r="K75" s="42">
        <f>5930.14275300332*Deflactores!$AA$5</f>
        <v>5930.1427530033197</v>
      </c>
    </row>
    <row r="76" spans="3:11" x14ac:dyDescent="0.2">
      <c r="C76" s="88" t="s">
        <v>141</v>
      </c>
      <c r="D76" s="50">
        <f>1799.95076226553*Deflactores!$T$5</f>
        <v>2799.5438428561506</v>
      </c>
      <c r="E76" s="50">
        <f>2033.15458949765*Deflactores!$U$5</f>
        <v>3112.1505510900829</v>
      </c>
      <c r="F76" s="50">
        <f>2533.43707549369*Deflactores!$V$5</f>
        <v>3671.5898072410582</v>
      </c>
      <c r="G76" s="50">
        <f>2886.5636131342*Deflactores!$W$5</f>
        <v>3698.1606221172519</v>
      </c>
      <c r="H76" s="50">
        <f>3706.38987532065*Deflactores!$X$5</f>
        <v>4345.2528357025276</v>
      </c>
      <c r="I76" s="50">
        <f>3889.22123621085*Deflactores!$Y$5</f>
        <v>4334.2190780965875</v>
      </c>
      <c r="J76" s="50">
        <f>4122.59480747749*Deflactores!$Z$5</f>
        <v>4371.313274993403</v>
      </c>
      <c r="K76" s="50">
        <f>2253.41943581555*Deflactores!$AA$5</f>
        <v>2253.4194358155501</v>
      </c>
    </row>
    <row r="77" spans="3:11" x14ac:dyDescent="0.2">
      <c r="C77" s="87" t="s">
        <v>142</v>
      </c>
      <c r="D77" s="42">
        <f>348.55154809633*Deflactores!$T$5</f>
        <v>542.11779613508759</v>
      </c>
      <c r="E77" s="42">
        <f>268.542062594899*Deflactores!$U$5</f>
        <v>411.05744364577663</v>
      </c>
      <c r="F77" s="42">
        <f>741.39338348313*Deflactores!$V$5</f>
        <v>1074.4661536234005</v>
      </c>
      <c r="G77" s="42">
        <f>1438.91352813125*Deflactores!$W$5</f>
        <v>1843.4838311389044</v>
      </c>
      <c r="H77" s="42">
        <f>1513.24663421543*Deflactores!$X$5</f>
        <v>1774.081909791814</v>
      </c>
      <c r="I77" s="42">
        <f>1068.64599234911*Deflactores!$Y$5</f>
        <v>1190.9185840719983</v>
      </c>
      <c r="J77" s="42">
        <f>842.911123740589*Deflactores!$Z$5</f>
        <v>893.76442675465682</v>
      </c>
      <c r="K77" s="42">
        <f>855.68430897411*Deflactores!$AA$5</f>
        <v>855.68430897410997</v>
      </c>
    </row>
    <row r="78" spans="3:11" x14ac:dyDescent="0.2">
      <c r="C78" s="88" t="s">
        <v>143</v>
      </c>
      <c r="D78" s="50">
        <f>1556.5290810042*Deflactores!$T$5</f>
        <v>2420.9392258414559</v>
      </c>
      <c r="E78" s="50">
        <f>5286.29498937136*Deflactores!$U$5</f>
        <v>8091.7338747279928</v>
      </c>
      <c r="F78" s="50">
        <f>8633.81645777572*Deflactores!$V$5</f>
        <v>12512.57937708285</v>
      </c>
      <c r="G78" s="50">
        <f>5920.29487984452*Deflactores!$W$5</f>
        <v>7584.8671050733938</v>
      </c>
      <c r="H78" s="50">
        <f>5402.41678110902*Deflactores!$X$5</f>
        <v>6333.6204844694093</v>
      </c>
      <c r="I78" s="50">
        <f>2735.09259165966*Deflactores!$Y$5</f>
        <v>3048.0370673593784</v>
      </c>
      <c r="J78" s="50">
        <f>4029.72198793832*Deflactores!$Z$5</f>
        <v>4272.8373859243902</v>
      </c>
      <c r="K78" s="50">
        <f>8901.55238363977*Deflactores!$AA$5</f>
        <v>8901.5523836397697</v>
      </c>
    </row>
    <row r="79" spans="3:11" x14ac:dyDescent="0.2">
      <c r="C79" s="87" t="s">
        <v>144</v>
      </c>
      <c r="D79" s="42">
        <f>4626.32897868672*Deflactores!$T$5</f>
        <v>7195.5361662269506</v>
      </c>
      <c r="E79" s="42">
        <f>4814.99562553242*Deflactores!$U$5</f>
        <v>7370.3157481987319</v>
      </c>
      <c r="F79" s="42">
        <f>5248.11138993475*Deflactores!$V$5</f>
        <v>7605.8381212389913</v>
      </c>
      <c r="G79" s="42">
        <f>5888.869694292*Deflactores!$W$5</f>
        <v>7544.6062969539171</v>
      </c>
      <c r="H79" s="42">
        <f>7248.83290953504*Deflactores!$X$5</f>
        <v>8498.2996433870721</v>
      </c>
      <c r="I79" s="42">
        <f>9048.40157833253*Deflactores!$Y$5</f>
        <v>10083.703745610726</v>
      </c>
      <c r="J79" s="42">
        <f>10484.8778535153*Deflactores!$Z$5</f>
        <v>11117.436441880061</v>
      </c>
      <c r="K79" s="42">
        <f>4621.88346378626*Deflactores!$AA$5</f>
        <v>4621.8834637862601</v>
      </c>
    </row>
    <row r="80" spans="3:11" x14ac:dyDescent="0.2">
      <c r="C80" s="88" t="s">
        <v>145</v>
      </c>
      <c r="D80" s="50">
        <f>1399.94985729061*Deflactores!$T$5</f>
        <v>2177.4045631961058</v>
      </c>
      <c r="E80" s="50">
        <f>625.26477317853*Deflactores!$U$5</f>
        <v>957.09304077343847</v>
      </c>
      <c r="F80" s="50">
        <f>1274.58704465004*Deflactores!$V$5</f>
        <v>1847.1983562751986</v>
      </c>
      <c r="G80" s="50">
        <f>3134.51912316638*Deflactores!$W$5</f>
        <v>4015.8322296528163</v>
      </c>
      <c r="H80" s="50">
        <f>3132.01089535081*Deflactores!$X$5</f>
        <v>3671.8693074070993</v>
      </c>
      <c r="I80" s="50">
        <f>973.244289906709*Deflactores!$Y$5</f>
        <v>1084.6011869131778</v>
      </c>
      <c r="J80" s="50">
        <f>2779.9624562727*Deflactores!$Z$5</f>
        <v>2947.6791575652496</v>
      </c>
      <c r="K80" s="50">
        <f>4398.27488650169*Deflactores!$AA$5</f>
        <v>4398.2748865016902</v>
      </c>
    </row>
    <row r="81" spans="1:11" x14ac:dyDescent="0.2">
      <c r="C81" s="87" t="s">
        <v>146</v>
      </c>
      <c r="D81" s="42">
        <f>711.020672472754*Deflactores!$T$5</f>
        <v>1105.8822204998146</v>
      </c>
      <c r="E81" s="42">
        <f>761.156663979979*Deflactores!$U$5</f>
        <v>1165.1028128935686</v>
      </c>
      <c r="F81" s="42">
        <f>858.84292757712*Deflactores!$V$5</f>
        <v>1244.6801893821412</v>
      </c>
      <c r="G81" s="42">
        <f>1159.08910678208*Deflactores!$W$5</f>
        <v>1484.9829301258026</v>
      </c>
      <c r="H81" s="42">
        <f>1194.24043644937*Deflactores!$X$5</f>
        <v>1400.0892560023276</v>
      </c>
      <c r="I81" s="42">
        <f>1164.85417254854*Deflactores!$Y$5</f>
        <v>1298.1347347519688</v>
      </c>
      <c r="J81" s="42">
        <f>1246.62531000697*Deflactores!$Z$5</f>
        <v>1321.8349173419194</v>
      </c>
      <c r="K81" s="42">
        <f>660.94067321878*Deflactores!$AA$5</f>
        <v>660.94067321878003</v>
      </c>
    </row>
    <row r="82" spans="1:11" x14ac:dyDescent="0.2">
      <c r="C82" s="88" t="s">
        <v>162</v>
      </c>
      <c r="D82" s="50">
        <f>28956.5939454297*Deflactores!$T$5</f>
        <v>45037.48435206063</v>
      </c>
      <c r="E82" s="50">
        <f>34054.627209408*Deflactores!$U$5</f>
        <v>52127.431619999261</v>
      </c>
      <c r="F82" s="50">
        <f>43056.3147320253*Deflactores!$V$5</f>
        <v>62399.468230984618</v>
      </c>
      <c r="G82" s="50">
        <f>41743.7333637966*Deflactores!$W$5</f>
        <v>53480.557381008475</v>
      </c>
      <c r="H82" s="50">
        <f>52625.9340019895*Deflactores!$X$5</f>
        <v>61696.960289115785</v>
      </c>
      <c r="I82" s="50">
        <f>59900.5591686111*Deflactores!$Y$5</f>
        <v>66754.275616932922</v>
      </c>
      <c r="J82" s="50">
        <f>65497.2020690874*Deflactores!$Z$5</f>
        <v>69448.685172800702</v>
      </c>
      <c r="K82" s="50">
        <f>41042.5660261503*Deflactores!$AA$5</f>
        <v>41042.5660261503</v>
      </c>
    </row>
    <row r="83" spans="1:11" x14ac:dyDescent="0.2">
      <c r="C83" s="87" t="s">
        <v>148</v>
      </c>
      <c r="D83" s="42">
        <f>395.93703267237*Deflactores!$T$5</f>
        <v>615.81855749293527</v>
      </c>
      <c r="E83" s="42">
        <f>487.15641910575*Deflactores!$U$5</f>
        <v>745.69052742891961</v>
      </c>
      <c r="F83" s="42">
        <f>555.2356866964*Deflactores!$V$5</f>
        <v>804.67666144568875</v>
      </c>
      <c r="G83" s="42">
        <f>602.38589612996*Deflactores!$W$5</f>
        <v>771.75496505611284</v>
      </c>
      <c r="H83" s="42">
        <f>684.59175392637*Deflactores!$X$5</f>
        <v>802.59345619698854</v>
      </c>
      <c r="I83" s="42">
        <f>840.28836694924*Deflactores!$Y$5</f>
        <v>936.43268149031951</v>
      </c>
      <c r="J83" s="42">
        <f>962.0780591807*Deflactores!$Z$5</f>
        <v>1020.1207705517263</v>
      </c>
      <c r="K83" s="42">
        <f>586.42830882711*Deflactores!$AA$5</f>
        <v>586.42830882710996</v>
      </c>
    </row>
    <row r="84" spans="1:11" x14ac:dyDescent="0.2">
      <c r="C84" s="88" t="s">
        <v>149</v>
      </c>
      <c r="D84" s="50">
        <f>78.72085952353*Deflactores!$T$5</f>
        <v>122.43807008701462</v>
      </c>
      <c r="E84" s="50">
        <f>53.71154523094*Deflactores!$U$5</f>
        <v>82.216283972617731</v>
      </c>
      <c r="F84" s="50">
        <f>65.78004969265*Deflactores!$V$5</f>
        <v>95.331896066248106</v>
      </c>
      <c r="G84" s="50">
        <f>93.64234653543*Deflactores!$W$5</f>
        <v>119.97117851283778</v>
      </c>
      <c r="H84" s="50">
        <f>94.20563140713*Deflactores!$X$5</f>
        <v>110.44366641962212</v>
      </c>
      <c r="I84" s="50">
        <f>904.26955045929*Deflactores!$Y$5</f>
        <v>1007.7344792966668</v>
      </c>
      <c r="J84" s="50">
        <f>607.12201219546*Deflactores!$Z$5</f>
        <v>643.75002526008291</v>
      </c>
      <c r="K84" s="50">
        <f>109.50377649597*Deflactores!$AA$5</f>
        <v>109.50377649597</v>
      </c>
    </row>
    <row r="85" spans="1:11" x14ac:dyDescent="0.2">
      <c r="C85" s="87" t="s">
        <v>163</v>
      </c>
      <c r="D85" s="42">
        <f>26211.2781298117*Deflactores!$T$5</f>
        <v>40767.572002549816</v>
      </c>
      <c r="E85" s="42">
        <f>30515.519866477*Deflactores!$U$5</f>
        <v>46710.118581155992</v>
      </c>
      <c r="F85" s="42">
        <f>25722.2268060704*Deflactores!$V$5</f>
        <v>37277.99939231055</v>
      </c>
      <c r="G85" s="42">
        <f>28207.5201190497*Deflactores!$W$5</f>
        <v>36138.451852299426</v>
      </c>
      <c r="H85" s="42">
        <f>31781.8902211575*Deflactores!$X$5</f>
        <v>37260.070649076981</v>
      </c>
      <c r="I85" s="42">
        <f>34649.1041897659*Deflactores!$Y$5</f>
        <v>38613.593646977119</v>
      </c>
      <c r="J85" s="42">
        <f>48408.3455622162*Deflactores!$Z$5</f>
        <v>51328.848324548584</v>
      </c>
      <c r="K85" s="42">
        <f>20246.4705277426*Deflactores!$AA$5</f>
        <v>20246.4705277426</v>
      </c>
    </row>
    <row r="86" spans="1:11" x14ac:dyDescent="0.2">
      <c r="C86" s="88" t="s">
        <v>150</v>
      </c>
      <c r="D86" s="50">
        <f>4672.027525428*Deflactores!$T$5</f>
        <v>7266.613157797542</v>
      </c>
      <c r="E86" s="50">
        <f>4978.1880835465*Deflactores!$U$5</f>
        <v>7620.1145095746442</v>
      </c>
      <c r="F86" s="50">
        <f>7893.25341230116*Deflactores!$V$5</f>
        <v>11439.316592826039</v>
      </c>
      <c r="G86" s="50">
        <f>8818.84699641385*Deflactores!$W$5</f>
        <v>11298.38696303779</v>
      </c>
      <c r="H86" s="50">
        <f>9172.54433115609*Deflactores!$X$5</f>
        <v>10753.59732956183</v>
      </c>
      <c r="I86" s="50">
        <f>10024.2076381672*Deflactores!$Y$5</f>
        <v>11171.15981565374</v>
      </c>
      <c r="J86" s="50">
        <f>8795.64043590807*Deflactores!$Z$5</f>
        <v>9326.2863791067921</v>
      </c>
      <c r="K86" s="50">
        <f>8808.44167986226*Deflactores!$AA$5</f>
        <v>8808.4416798622606</v>
      </c>
    </row>
    <row r="87" spans="1:11" x14ac:dyDescent="0.2">
      <c r="C87" s="87" t="s">
        <v>151</v>
      </c>
      <c r="D87" s="42">
        <f>4116.00261322804*Deflactores!$T$5</f>
        <v>6401.802768504017</v>
      </c>
      <c r="E87" s="42">
        <f>4322.03503306087*Deflactores!$U$5</f>
        <v>6615.7407702551764</v>
      </c>
      <c r="F87" s="42">
        <f>5949.62559731739*Deflactores!$V$5</f>
        <v>8622.5092824751428</v>
      </c>
      <c r="G87" s="42">
        <f>5755.35965229809*Deflactores!$W$5</f>
        <v>7373.5580727912766</v>
      </c>
      <c r="H87" s="42">
        <f>7851.71537372369*Deflactores!$X$5</f>
        <v>9205.0997440873325</v>
      </c>
      <c r="I87" s="42">
        <f>9078.12873302914*Deflactores!$Y$5</f>
        <v>10116.832228974943</v>
      </c>
      <c r="J87" s="42">
        <f>8330.75467886576*Deflactores!$Z$5</f>
        <v>8833.3538024129812</v>
      </c>
      <c r="K87" s="42">
        <f>4200.34035861199*Deflactores!$AA$5</f>
        <v>4200.3403586119903</v>
      </c>
    </row>
    <row r="88" spans="1:11" x14ac:dyDescent="0.2">
      <c r="C88" s="79" t="s">
        <v>154</v>
      </c>
      <c r="D88" s="44">
        <f t="shared" ref="D88:K88" si="1">SUM(D57:D87)</f>
        <v>282605.60267274355</v>
      </c>
      <c r="E88" s="44">
        <f t="shared" si="1"/>
        <v>334215.07762073138</v>
      </c>
      <c r="F88" s="44">
        <f t="shared" si="1"/>
        <v>359967.38882514922</v>
      </c>
      <c r="G88" s="44">
        <f t="shared" si="1"/>
        <v>323440.14913852303</v>
      </c>
      <c r="H88" s="44">
        <f t="shared" si="1"/>
        <v>365036.11957285216</v>
      </c>
      <c r="I88" s="44">
        <f t="shared" si="1"/>
        <v>380143.34696694388</v>
      </c>
      <c r="J88" s="44">
        <f t="shared" si="1"/>
        <v>388351.36607271311</v>
      </c>
      <c r="K88" s="44">
        <f t="shared" si="1"/>
        <v>229160.13268586787</v>
      </c>
    </row>
    <row r="89" spans="1:11" s="31" customFormat="1" x14ac:dyDescent="0.2">
      <c r="A89" s="5"/>
      <c r="B89" s="5"/>
      <c r="C89" s="72" t="str">
        <f>+'C1 Aprop Resumen 2000-2026'!B20</f>
        <v>* Información con corte a 30 de Junio</v>
      </c>
      <c r="D89" s="123">
        <f>+D88-'C6 Ejec. Nac 19-26'!D66</f>
        <v>0</v>
      </c>
      <c r="E89" s="123">
        <f>+E88-'C6 Ejec. Nac 19-26'!E66</f>
        <v>1.280568540096283E-9</v>
      </c>
      <c r="F89" s="123">
        <f>+F88-'C6 Ejec. Nac 19-26'!F66</f>
        <v>0</v>
      </c>
      <c r="G89" s="123">
        <f>+G88-'C6 Ejec. Nac 19-26'!G66</f>
        <v>0</v>
      </c>
      <c r="H89" s="123">
        <f>+H88-'C6 Ejec. Nac 19-26'!H66</f>
        <v>0</v>
      </c>
      <c r="I89" s="123">
        <f>+I88-'C6 Ejec. Nac 19-26'!I66</f>
        <v>4.6566128730773926E-10</v>
      </c>
      <c r="J89" s="123">
        <f>+J88-'C6 Ejec. Nac 19-26'!J66</f>
        <v>0</v>
      </c>
      <c r="K89" s="123">
        <f>+K88-'C6 Ejec. Nac 19-26'!K66</f>
        <v>6.4028427004814148E-10</v>
      </c>
    </row>
    <row r="90" spans="1:11" x14ac:dyDescent="0.2">
      <c r="C90" s="1" t="s">
        <v>52</v>
      </c>
      <c r="D90" s="11"/>
      <c r="E90" s="11"/>
      <c r="F90" s="11"/>
      <c r="G90" s="11"/>
      <c r="H90" s="11"/>
    </row>
    <row r="91" spans="1:11" x14ac:dyDescent="0.2">
      <c r="D91" s="11"/>
      <c r="E91" s="11"/>
      <c r="F91" s="11"/>
      <c r="G91" s="11"/>
      <c r="H91" s="11"/>
      <c r="I91" s="11"/>
    </row>
    <row r="92" spans="1:11" x14ac:dyDescent="0.2">
      <c r="D92" s="11"/>
      <c r="E92" s="11"/>
      <c r="F92" s="11"/>
      <c r="G92" s="11"/>
      <c r="H92" s="11"/>
    </row>
    <row r="93" spans="1:11" x14ac:dyDescent="0.2">
      <c r="D93" s="11"/>
      <c r="E93" s="11"/>
      <c r="F93" s="11"/>
      <c r="G93" s="11"/>
      <c r="H93" s="11"/>
    </row>
    <row r="94" spans="1:11" ht="18" customHeight="1" x14ac:dyDescent="0.2">
      <c r="D94" s="164" t="s">
        <v>155</v>
      </c>
      <c r="E94" s="182"/>
      <c r="F94" s="182"/>
      <c r="G94" s="182"/>
      <c r="H94" s="182"/>
      <c r="I94" s="182"/>
      <c r="J94" s="182"/>
      <c r="K94" s="182"/>
    </row>
    <row r="95" spans="1:11" x14ac:dyDescent="0.2">
      <c r="D95" s="29"/>
      <c r="E95" s="29"/>
      <c r="F95" s="29"/>
      <c r="G95" s="29"/>
      <c r="H95" s="29"/>
    </row>
    <row r="96" spans="1:11" x14ac:dyDescent="0.2">
      <c r="C96" s="181" t="s">
        <v>120</v>
      </c>
      <c r="D96" s="155">
        <v>2019</v>
      </c>
      <c r="E96" s="155">
        <v>2020</v>
      </c>
      <c r="F96" s="155">
        <v>2021</v>
      </c>
      <c r="G96" s="155">
        <v>2022</v>
      </c>
      <c r="H96" s="155">
        <v>2023</v>
      </c>
      <c r="I96" s="155">
        <v>2024</v>
      </c>
      <c r="J96" s="155">
        <v>2025</v>
      </c>
      <c r="K96" s="155" t="s">
        <v>36</v>
      </c>
    </row>
    <row r="97" spans="3:11" ht="12" customHeight="1" thickBot="1" x14ac:dyDescent="0.25">
      <c r="C97" s="162"/>
      <c r="D97" s="156"/>
      <c r="E97" s="156"/>
      <c r="F97" s="156"/>
      <c r="G97" s="156"/>
      <c r="H97" s="156"/>
      <c r="I97" s="156"/>
      <c r="J97" s="156"/>
      <c r="K97" s="156"/>
    </row>
    <row r="98" spans="3:11" x14ac:dyDescent="0.2">
      <c r="C98" s="87" t="s">
        <v>123</v>
      </c>
      <c r="D98" s="47">
        <f t="shared" ref="D98:I107" si="2">+IFERROR(IF(D57&gt;0,+((D57/D15)*100)," "),"0")</f>
        <v>96.158131198247034</v>
      </c>
      <c r="E98" s="47">
        <f t="shared" si="2"/>
        <v>91.498643374294502</v>
      </c>
      <c r="F98" s="47">
        <f t="shared" si="2"/>
        <v>93.316929017181934</v>
      </c>
      <c r="G98" s="47">
        <f t="shared" si="2"/>
        <v>89.703780660769993</v>
      </c>
      <c r="H98" s="47">
        <f t="shared" si="2"/>
        <v>90.839147510610402</v>
      </c>
      <c r="I98" s="47">
        <f t="shared" si="2"/>
        <v>97.062692608514496</v>
      </c>
      <c r="J98" s="47">
        <f t="shared" ref="J98:K129" si="3">+IFERROR(IF(J57&gt;0,+((J57/J15)*100)," "),"")</f>
        <v>95.147286355419965</v>
      </c>
      <c r="K98" s="47">
        <f t="shared" si="3"/>
        <v>58.792629096147749</v>
      </c>
    </row>
    <row r="99" spans="3:11" x14ac:dyDescent="0.2">
      <c r="C99" s="88" t="s">
        <v>124</v>
      </c>
      <c r="D99" s="116">
        <f t="shared" si="2"/>
        <v>96.537631072987239</v>
      </c>
      <c r="E99" s="116">
        <f t="shared" si="2"/>
        <v>96.405530421026256</v>
      </c>
      <c r="F99" s="116">
        <f t="shared" si="2"/>
        <v>81.634315264393649</v>
      </c>
      <c r="G99" s="116">
        <f t="shared" si="2"/>
        <v>85.589759372512276</v>
      </c>
      <c r="H99" s="116">
        <f t="shared" si="2"/>
        <v>85.886004410719138</v>
      </c>
      <c r="I99" s="116">
        <f t="shared" si="2"/>
        <v>98.834919047726373</v>
      </c>
      <c r="J99" s="116">
        <f t="shared" si="3"/>
        <v>97.876969228722615</v>
      </c>
      <c r="K99" s="116">
        <f t="shared" si="3"/>
        <v>50.657437398742246</v>
      </c>
    </row>
    <row r="100" spans="3:11" x14ac:dyDescent="0.2">
      <c r="C100" s="87" t="s">
        <v>125</v>
      </c>
      <c r="D100" s="47">
        <f t="shared" si="2"/>
        <v>99.738807028927127</v>
      </c>
      <c r="E100" s="47">
        <f t="shared" si="2"/>
        <v>98.720520014567313</v>
      </c>
      <c r="F100" s="47">
        <f t="shared" si="2"/>
        <v>99.006860988789015</v>
      </c>
      <c r="G100" s="47">
        <f t="shared" si="2"/>
        <v>99.004093527284837</v>
      </c>
      <c r="H100" s="47">
        <f t="shared" si="2"/>
        <v>98.581978187837294</v>
      </c>
      <c r="I100" s="47">
        <f t="shared" si="2"/>
        <v>98.096547308882947</v>
      </c>
      <c r="J100" s="47">
        <f t="shared" si="3"/>
        <v>97.518195657551317</v>
      </c>
      <c r="K100" s="47">
        <f t="shared" si="3"/>
        <v>60.227049433951244</v>
      </c>
    </row>
    <row r="101" spans="3:11" x14ac:dyDescent="0.2">
      <c r="C101" s="88" t="s">
        <v>126</v>
      </c>
      <c r="D101" s="116">
        <f t="shared" si="2"/>
        <v>98.453431219579358</v>
      </c>
      <c r="E101" s="116">
        <f t="shared" si="2"/>
        <v>98.259125367090263</v>
      </c>
      <c r="F101" s="116">
        <f t="shared" si="2"/>
        <v>97.816510417897845</v>
      </c>
      <c r="G101" s="116">
        <f t="shared" si="2"/>
        <v>97.863421039854629</v>
      </c>
      <c r="H101" s="116">
        <f t="shared" si="2"/>
        <v>98.656082745875764</v>
      </c>
      <c r="I101" s="116">
        <f t="shared" si="2"/>
        <v>97.716400002149911</v>
      </c>
      <c r="J101" s="116">
        <f t="shared" si="3"/>
        <v>98.497234931779261</v>
      </c>
      <c r="K101" s="116">
        <f t="shared" si="3"/>
        <v>85.608801347202217</v>
      </c>
    </row>
    <row r="102" spans="3:11" x14ac:dyDescent="0.2">
      <c r="C102" s="87" t="s">
        <v>127</v>
      </c>
      <c r="D102" s="47">
        <f t="shared" si="2"/>
        <v>98.388271868936812</v>
      </c>
      <c r="E102" s="47">
        <f t="shared" si="2"/>
        <v>99.15318730685955</v>
      </c>
      <c r="F102" s="47">
        <f t="shared" si="2"/>
        <v>96.061690093188318</v>
      </c>
      <c r="G102" s="47">
        <f t="shared" si="2"/>
        <v>94.557232037134398</v>
      </c>
      <c r="H102" s="47">
        <f t="shared" si="2"/>
        <v>98.032589861887118</v>
      </c>
      <c r="I102" s="47">
        <f t="shared" si="2"/>
        <v>95.045305842523533</v>
      </c>
      <c r="J102" s="47">
        <f t="shared" si="3"/>
        <v>86.489447796994298</v>
      </c>
      <c r="K102" s="47">
        <f t="shared" si="3"/>
        <v>67.959100453167537</v>
      </c>
    </row>
    <row r="103" spans="3:11" x14ac:dyDescent="0.2">
      <c r="C103" s="88" t="s">
        <v>128</v>
      </c>
      <c r="D103" s="116">
        <f t="shared" si="2"/>
        <v>99.475877588700229</v>
      </c>
      <c r="E103" s="116">
        <f t="shared" si="2"/>
        <v>99.776190656526779</v>
      </c>
      <c r="F103" s="116">
        <f t="shared" si="2"/>
        <v>97.681982418499842</v>
      </c>
      <c r="G103" s="116">
        <f t="shared" si="2"/>
        <v>97.6553697730278</v>
      </c>
      <c r="H103" s="116">
        <f t="shared" si="2"/>
        <v>98.83440002007616</v>
      </c>
      <c r="I103" s="116">
        <f t="shared" si="2"/>
        <v>98.974607896101489</v>
      </c>
      <c r="J103" s="116">
        <f t="shared" si="3"/>
        <v>99.596134931029411</v>
      </c>
      <c r="K103" s="116">
        <f t="shared" si="3"/>
        <v>64.907699761852157</v>
      </c>
    </row>
    <row r="104" spans="3:11" x14ac:dyDescent="0.2">
      <c r="C104" s="87" t="s">
        <v>129</v>
      </c>
      <c r="D104" s="47">
        <f t="shared" si="2"/>
        <v>99.904921306350957</v>
      </c>
      <c r="E104" s="47">
        <f t="shared" si="2"/>
        <v>99.752194032880197</v>
      </c>
      <c r="F104" s="47">
        <f t="shared" si="2"/>
        <v>98.558332063788868</v>
      </c>
      <c r="G104" s="47">
        <f t="shared" si="2"/>
        <v>98.418221316065356</v>
      </c>
      <c r="H104" s="47">
        <f t="shared" si="2"/>
        <v>99.111754700417038</v>
      </c>
      <c r="I104" s="47">
        <f t="shared" si="2"/>
        <v>99.194596167112294</v>
      </c>
      <c r="J104" s="47">
        <f t="shared" si="3"/>
        <v>99.711946103302452</v>
      </c>
      <c r="K104" s="47">
        <f t="shared" si="3"/>
        <v>51.061204626142732</v>
      </c>
    </row>
    <row r="105" spans="3:11" x14ac:dyDescent="0.2">
      <c r="C105" s="88" t="s">
        <v>130</v>
      </c>
      <c r="D105" s="116">
        <f t="shared" si="2"/>
        <v>96.311899283475952</v>
      </c>
      <c r="E105" s="116">
        <f t="shared" si="2"/>
        <v>95.682982630813157</v>
      </c>
      <c r="F105" s="116">
        <f t="shared" si="2"/>
        <v>95.509016984776594</v>
      </c>
      <c r="G105" s="116">
        <f t="shared" si="2"/>
        <v>97.860378773969231</v>
      </c>
      <c r="H105" s="116">
        <f t="shared" si="2"/>
        <v>73.639009620147917</v>
      </c>
      <c r="I105" s="116">
        <f t="shared" si="2"/>
        <v>93.709730331597569</v>
      </c>
      <c r="J105" s="116">
        <f t="shared" si="3"/>
        <v>98.45707559997598</v>
      </c>
      <c r="K105" s="116">
        <f t="shared" si="3"/>
        <v>83.064302914812373</v>
      </c>
    </row>
    <row r="106" spans="3:11" x14ac:dyDescent="0.2">
      <c r="C106" s="87" t="s">
        <v>131</v>
      </c>
      <c r="D106" s="47">
        <f t="shared" si="2"/>
        <v>99.983049821058103</v>
      </c>
      <c r="E106" s="47">
        <f t="shared" si="2"/>
        <v>99.9867913698221</v>
      </c>
      <c r="F106" s="47">
        <f t="shared" si="2"/>
        <v>99.975015702072866</v>
      </c>
      <c r="G106" s="47">
        <f t="shared" si="2"/>
        <v>99.932161579892181</v>
      </c>
      <c r="H106" s="47">
        <f t="shared" si="2"/>
        <v>99.131215573036656</v>
      </c>
      <c r="I106" s="47">
        <f t="shared" si="2"/>
        <v>99.866191396763284</v>
      </c>
      <c r="J106" s="47">
        <f t="shared" si="3"/>
        <v>99.606005939128693</v>
      </c>
      <c r="K106" s="47">
        <f t="shared" si="3"/>
        <v>62.419100055186995</v>
      </c>
    </row>
    <row r="107" spans="3:11" x14ac:dyDescent="0.2">
      <c r="C107" s="88" t="s">
        <v>132</v>
      </c>
      <c r="D107" s="116">
        <f t="shared" si="2"/>
        <v>91.128493011025014</v>
      </c>
      <c r="E107" s="116">
        <f t="shared" si="2"/>
        <v>91.374679547838213</v>
      </c>
      <c r="F107" s="116">
        <f t="shared" si="2"/>
        <v>94.448849696784436</v>
      </c>
      <c r="G107" s="116">
        <f t="shared" si="2"/>
        <v>92.211013986670594</v>
      </c>
      <c r="H107" s="116">
        <f t="shared" si="2"/>
        <v>97.019028634465414</v>
      </c>
      <c r="I107" s="116">
        <f t="shared" si="2"/>
        <v>94.517223346961515</v>
      </c>
      <c r="J107" s="116">
        <f t="shared" si="3"/>
        <v>96.70513024614857</v>
      </c>
      <c r="K107" s="116">
        <f t="shared" si="3"/>
        <v>50.010363492337973</v>
      </c>
    </row>
    <row r="108" spans="3:11" x14ac:dyDescent="0.2">
      <c r="C108" s="87" t="s">
        <v>133</v>
      </c>
      <c r="D108" s="47">
        <f t="shared" ref="D108:I117" si="4">+IFERROR(IF(D67&gt;0,+((D67/D25)*100)," "),"0")</f>
        <v>99.337303979846567</v>
      </c>
      <c r="E108" s="47">
        <f t="shared" si="4"/>
        <v>98.939871901788379</v>
      </c>
      <c r="F108" s="47">
        <f t="shared" si="4"/>
        <v>95.505826576805916</v>
      </c>
      <c r="G108" s="47">
        <f t="shared" si="4"/>
        <v>99.058673517755992</v>
      </c>
      <c r="H108" s="47">
        <f t="shared" si="4"/>
        <v>99.271738045260747</v>
      </c>
      <c r="I108" s="47">
        <f t="shared" si="4"/>
        <v>98.744873447515729</v>
      </c>
      <c r="J108" s="47">
        <f t="shared" si="3"/>
        <v>99.648589928709853</v>
      </c>
      <c r="K108" s="47">
        <f t="shared" si="3"/>
        <v>45.091547961316522</v>
      </c>
    </row>
    <row r="109" spans="3:11" x14ac:dyDescent="0.2">
      <c r="C109" s="88" t="s">
        <v>134</v>
      </c>
      <c r="D109" s="116">
        <f t="shared" si="4"/>
        <v>91.267158430444042</v>
      </c>
      <c r="E109" s="116">
        <f t="shared" si="4"/>
        <v>50.629262253697163</v>
      </c>
      <c r="F109" s="116">
        <f t="shared" si="4"/>
        <v>89.579698783000879</v>
      </c>
      <c r="G109" s="116">
        <f t="shared" si="4"/>
        <v>92.841650374144663</v>
      </c>
      <c r="H109" s="116">
        <f t="shared" si="4"/>
        <v>89.362066409720924</v>
      </c>
      <c r="I109" s="116">
        <f t="shared" si="4"/>
        <v>85.111932176598302</v>
      </c>
      <c r="J109" s="116">
        <f t="shared" si="3"/>
        <v>92.075525265386887</v>
      </c>
      <c r="K109" s="116">
        <f t="shared" si="3"/>
        <v>38.793535529798845</v>
      </c>
    </row>
    <row r="110" spans="3:11" x14ac:dyDescent="0.2">
      <c r="C110" s="87" t="s">
        <v>135</v>
      </c>
      <c r="D110" s="47" t="str">
        <f t="shared" si="4"/>
        <v xml:space="preserve"> </v>
      </c>
      <c r="E110" s="47" t="str">
        <f t="shared" si="4"/>
        <v xml:space="preserve"> </v>
      </c>
      <c r="F110" s="47" t="str">
        <f t="shared" si="4"/>
        <v xml:space="preserve"> </v>
      </c>
      <c r="G110" s="47" t="str">
        <f t="shared" si="4"/>
        <v xml:space="preserve"> </v>
      </c>
      <c r="H110" s="47">
        <f t="shared" si="4"/>
        <v>94.392228050518014</v>
      </c>
      <c r="I110" s="47">
        <f t="shared" si="4"/>
        <v>99.573888966015602</v>
      </c>
      <c r="J110" s="47">
        <f t="shared" si="3"/>
        <v>99.838959146217832</v>
      </c>
      <c r="K110" s="47">
        <f t="shared" si="3"/>
        <v>74.032316846179569</v>
      </c>
    </row>
    <row r="111" spans="3:11" x14ac:dyDescent="0.2">
      <c r="C111" s="88" t="s">
        <v>136</v>
      </c>
      <c r="D111" s="116">
        <f t="shared" si="4"/>
        <v>99.207311943697832</v>
      </c>
      <c r="E111" s="116">
        <f t="shared" si="4"/>
        <v>99.219212754532776</v>
      </c>
      <c r="F111" s="116">
        <f t="shared" si="4"/>
        <v>97.957809209333973</v>
      </c>
      <c r="G111" s="116">
        <f t="shared" si="4"/>
        <v>98.778221752344493</v>
      </c>
      <c r="H111" s="116">
        <f t="shared" si="4"/>
        <v>91.404152397521742</v>
      </c>
      <c r="I111" s="116">
        <f t="shared" si="4"/>
        <v>97.249819096441186</v>
      </c>
      <c r="J111" s="116">
        <f t="shared" si="3"/>
        <v>98.319934654443074</v>
      </c>
      <c r="K111" s="116">
        <f t="shared" si="3"/>
        <v>46.824831134197161</v>
      </c>
    </row>
    <row r="112" spans="3:11" x14ac:dyDescent="0.2">
      <c r="C112" s="87" t="s">
        <v>137</v>
      </c>
      <c r="D112" s="47">
        <f t="shared" si="4"/>
        <v>94.026823354176599</v>
      </c>
      <c r="E112" s="47">
        <f t="shared" si="4"/>
        <v>91.762515744005356</v>
      </c>
      <c r="F112" s="47">
        <f t="shared" si="4"/>
        <v>72.864018014986826</v>
      </c>
      <c r="G112" s="47">
        <f t="shared" si="4"/>
        <v>71.906135010936566</v>
      </c>
      <c r="H112" s="47">
        <f t="shared" si="4"/>
        <v>86.471101412354955</v>
      </c>
      <c r="I112" s="47">
        <f t="shared" si="4"/>
        <v>96.013692036689037</v>
      </c>
      <c r="J112" s="47">
        <f t="shared" si="3"/>
        <v>97.096821310417681</v>
      </c>
      <c r="K112" s="47">
        <f t="shared" si="3"/>
        <v>58.26139606784092</v>
      </c>
    </row>
    <row r="113" spans="3:11" x14ac:dyDescent="0.2">
      <c r="C113" s="88" t="s">
        <v>138</v>
      </c>
      <c r="D113" s="116">
        <f t="shared" si="4"/>
        <v>96.819152664304497</v>
      </c>
      <c r="E113" s="116">
        <f t="shared" si="4"/>
        <v>99.228299196411911</v>
      </c>
      <c r="F113" s="116">
        <f t="shared" si="4"/>
        <v>97.24193810835628</v>
      </c>
      <c r="G113" s="116">
        <f t="shared" si="4"/>
        <v>95.924261025294243</v>
      </c>
      <c r="H113" s="116">
        <f t="shared" si="4"/>
        <v>93.310183123885551</v>
      </c>
      <c r="I113" s="116">
        <f t="shared" si="4"/>
        <v>96.843487571143271</v>
      </c>
      <c r="J113" s="116">
        <f t="shared" si="3"/>
        <v>98.013831136952263</v>
      </c>
      <c r="K113" s="116">
        <f t="shared" si="3"/>
        <v>40.012677509819802</v>
      </c>
    </row>
    <row r="114" spans="3:11" x14ac:dyDescent="0.2">
      <c r="C114" s="87" t="s">
        <v>160</v>
      </c>
      <c r="D114" s="47">
        <f t="shared" si="4"/>
        <v>98.237233429060879</v>
      </c>
      <c r="E114" s="47">
        <f t="shared" si="4"/>
        <v>97.335214563500543</v>
      </c>
      <c r="F114" s="47">
        <f t="shared" si="4"/>
        <v>96.737531931295223</v>
      </c>
      <c r="G114" s="47">
        <f t="shared" si="4"/>
        <v>85.881398440340647</v>
      </c>
      <c r="H114" s="47">
        <f t="shared" si="4"/>
        <v>95.827674123546785</v>
      </c>
      <c r="I114" s="47">
        <f t="shared" si="4"/>
        <v>90.017865084837467</v>
      </c>
      <c r="J114" s="47">
        <f t="shared" si="3"/>
        <v>98.225678855311855</v>
      </c>
      <c r="K114" s="47">
        <f t="shared" si="3"/>
        <v>68.896333912697116</v>
      </c>
    </row>
    <row r="115" spans="3:11" x14ac:dyDescent="0.2">
      <c r="C115" s="88" t="s">
        <v>161</v>
      </c>
      <c r="D115" s="116">
        <f t="shared" si="4"/>
        <v>96.674887601088884</v>
      </c>
      <c r="E115" s="116">
        <f t="shared" si="4"/>
        <v>96.12062109342861</v>
      </c>
      <c r="F115" s="116">
        <f t="shared" si="4"/>
        <v>87.012504481192408</v>
      </c>
      <c r="G115" s="116">
        <f t="shared" si="4"/>
        <v>88.410649692703046</v>
      </c>
      <c r="H115" s="116">
        <f t="shared" si="4"/>
        <v>96.343134005880728</v>
      </c>
      <c r="I115" s="116">
        <f t="shared" si="4"/>
        <v>98.495344321763639</v>
      </c>
      <c r="J115" s="116">
        <f t="shared" si="3"/>
        <v>99.131518450648926</v>
      </c>
      <c r="K115" s="116">
        <f t="shared" si="3"/>
        <v>58.219651429585859</v>
      </c>
    </row>
    <row r="116" spans="3:11" x14ac:dyDescent="0.2">
      <c r="C116" s="87" t="s">
        <v>140</v>
      </c>
      <c r="D116" s="47">
        <f t="shared" si="4"/>
        <v>97.680492923445101</v>
      </c>
      <c r="E116" s="47">
        <f t="shared" si="4"/>
        <v>98.630686097512694</v>
      </c>
      <c r="F116" s="47">
        <f t="shared" si="4"/>
        <v>97.476718544268223</v>
      </c>
      <c r="G116" s="47">
        <f t="shared" si="4"/>
        <v>94.508966337707847</v>
      </c>
      <c r="H116" s="47">
        <f t="shared" si="4"/>
        <v>94.387442241878944</v>
      </c>
      <c r="I116" s="47">
        <f t="shared" si="4"/>
        <v>96.942363319090106</v>
      </c>
      <c r="J116" s="47">
        <f t="shared" si="3"/>
        <v>94.388387479115565</v>
      </c>
      <c r="K116" s="47">
        <f t="shared" si="3"/>
        <v>59.515107226120044</v>
      </c>
    </row>
    <row r="117" spans="3:11" x14ac:dyDescent="0.2">
      <c r="C117" s="88" t="s">
        <v>141</v>
      </c>
      <c r="D117" s="116">
        <f t="shared" si="4"/>
        <v>95.828574881821837</v>
      </c>
      <c r="E117" s="116">
        <f t="shared" si="4"/>
        <v>86.710541013769586</v>
      </c>
      <c r="F117" s="116">
        <f t="shared" si="4"/>
        <v>89.112003699473604</v>
      </c>
      <c r="G117" s="116">
        <f t="shared" si="4"/>
        <v>91.042291140568892</v>
      </c>
      <c r="H117" s="116">
        <f t="shared" si="4"/>
        <v>92.975494495122305</v>
      </c>
      <c r="I117" s="116">
        <f t="shared" si="4"/>
        <v>91.152212472875675</v>
      </c>
      <c r="J117" s="116">
        <f t="shared" si="3"/>
        <v>97.154203514483413</v>
      </c>
      <c r="K117" s="116">
        <f t="shared" si="3"/>
        <v>44.906573966032504</v>
      </c>
    </row>
    <row r="118" spans="3:11" x14ac:dyDescent="0.2">
      <c r="C118" s="87" t="s">
        <v>142</v>
      </c>
      <c r="D118" s="47">
        <f t="shared" ref="D118:I127" si="5">+IFERROR(IF(D77&gt;0,+((D77/D35)*100)," "),"0")</f>
        <v>96.233433227566437</v>
      </c>
      <c r="E118" s="47">
        <f t="shared" si="5"/>
        <v>96.927788598003303</v>
      </c>
      <c r="F118" s="47">
        <f t="shared" si="5"/>
        <v>88.182542372955083</v>
      </c>
      <c r="G118" s="47">
        <f t="shared" si="5"/>
        <v>93.346271260279281</v>
      </c>
      <c r="H118" s="47">
        <f t="shared" si="5"/>
        <v>93.149273622933165</v>
      </c>
      <c r="I118" s="47">
        <f t="shared" si="5"/>
        <v>87.380764238064046</v>
      </c>
      <c r="J118" s="47">
        <f t="shared" si="3"/>
        <v>95.068913181847236</v>
      </c>
      <c r="K118" s="47">
        <f t="shared" si="3"/>
        <v>59.877514456302592</v>
      </c>
    </row>
    <row r="119" spans="3:11" x14ac:dyDescent="0.2">
      <c r="C119" s="88" t="s">
        <v>143</v>
      </c>
      <c r="D119" s="116">
        <f t="shared" si="5"/>
        <v>98.428523222081225</v>
      </c>
      <c r="E119" s="116">
        <f t="shared" si="5"/>
        <v>99.489112795322455</v>
      </c>
      <c r="F119" s="116">
        <f t="shared" si="5"/>
        <v>99.030528524311336</v>
      </c>
      <c r="G119" s="116">
        <f t="shared" si="5"/>
        <v>98.974043960144016</v>
      </c>
      <c r="H119" s="116">
        <f t="shared" si="5"/>
        <v>97.869323038676299</v>
      </c>
      <c r="I119" s="116">
        <f t="shared" si="5"/>
        <v>94.931996127614042</v>
      </c>
      <c r="J119" s="116">
        <f t="shared" si="3"/>
        <v>98.987633795265936</v>
      </c>
      <c r="K119" s="116">
        <f t="shared" si="3"/>
        <v>93.469701263197337</v>
      </c>
    </row>
    <row r="120" spans="3:11" x14ac:dyDescent="0.2">
      <c r="C120" s="87" t="s">
        <v>144</v>
      </c>
      <c r="D120" s="47">
        <f t="shared" si="5"/>
        <v>98.918704604490898</v>
      </c>
      <c r="E120" s="47">
        <f t="shared" si="5"/>
        <v>98.751317180580699</v>
      </c>
      <c r="F120" s="47">
        <f t="shared" si="5"/>
        <v>96.512791732433726</v>
      </c>
      <c r="G120" s="47">
        <f t="shared" si="5"/>
        <v>97.561948772370755</v>
      </c>
      <c r="H120" s="47">
        <f t="shared" si="5"/>
        <v>91.720929981261691</v>
      </c>
      <c r="I120" s="47">
        <f t="shared" si="5"/>
        <v>96.985747994614371</v>
      </c>
      <c r="J120" s="47">
        <f t="shared" si="3"/>
        <v>98.222812186360969</v>
      </c>
      <c r="K120" s="47">
        <f t="shared" si="3"/>
        <v>42.367254595452145</v>
      </c>
    </row>
    <row r="121" spans="3:11" x14ac:dyDescent="0.2">
      <c r="C121" s="88" t="s">
        <v>145</v>
      </c>
      <c r="D121" s="116">
        <f t="shared" si="5"/>
        <v>95.802085146790176</v>
      </c>
      <c r="E121" s="116">
        <f t="shared" si="5"/>
        <v>97.073761200259554</v>
      </c>
      <c r="F121" s="116">
        <f t="shared" si="5"/>
        <v>94.138867792201026</v>
      </c>
      <c r="G121" s="116">
        <f t="shared" si="5"/>
        <v>97.359228572475672</v>
      </c>
      <c r="H121" s="116">
        <f t="shared" si="5"/>
        <v>95.267984444621163</v>
      </c>
      <c r="I121" s="116">
        <f t="shared" si="5"/>
        <v>67.834004670169094</v>
      </c>
      <c r="J121" s="116">
        <f t="shared" si="3"/>
        <v>95.342374141520352</v>
      </c>
      <c r="K121" s="116">
        <f t="shared" si="3"/>
        <v>64.414297292653245</v>
      </c>
    </row>
    <row r="122" spans="3:11" x14ac:dyDescent="0.2">
      <c r="C122" s="87" t="s">
        <v>146</v>
      </c>
      <c r="D122" s="47">
        <f t="shared" si="5"/>
        <v>96.582577804433953</v>
      </c>
      <c r="E122" s="47">
        <f t="shared" si="5"/>
        <v>93.553402807146384</v>
      </c>
      <c r="F122" s="47">
        <f t="shared" si="5"/>
        <v>90.639587844313937</v>
      </c>
      <c r="G122" s="47">
        <f t="shared" si="5"/>
        <v>96.396684969299159</v>
      </c>
      <c r="H122" s="47">
        <f t="shared" si="5"/>
        <v>93.848353077790364</v>
      </c>
      <c r="I122" s="47">
        <f t="shared" si="5"/>
        <v>95.248632556000601</v>
      </c>
      <c r="J122" s="47">
        <f t="shared" si="3"/>
        <v>95.889066126486384</v>
      </c>
      <c r="K122" s="47">
        <f t="shared" si="3"/>
        <v>51.678469562545047</v>
      </c>
    </row>
    <row r="123" spans="3:11" x14ac:dyDescent="0.2">
      <c r="C123" s="88" t="s">
        <v>162</v>
      </c>
      <c r="D123" s="116">
        <f t="shared" si="5"/>
        <v>99.892705267114565</v>
      </c>
      <c r="E123" s="116">
        <f t="shared" si="5"/>
        <v>97.722433856636343</v>
      </c>
      <c r="F123" s="116">
        <f t="shared" si="5"/>
        <v>99.709911177135993</v>
      </c>
      <c r="G123" s="116">
        <f t="shared" si="5"/>
        <v>99.846292448679463</v>
      </c>
      <c r="H123" s="116">
        <f t="shared" si="5"/>
        <v>99.075875938909135</v>
      </c>
      <c r="I123" s="116">
        <f t="shared" si="5"/>
        <v>98.762430477617642</v>
      </c>
      <c r="J123" s="116">
        <f t="shared" si="3"/>
        <v>99.098111753053914</v>
      </c>
      <c r="K123" s="116">
        <f t="shared" si="3"/>
        <v>52.796570974833791</v>
      </c>
    </row>
    <row r="124" spans="3:11" x14ac:dyDescent="0.2">
      <c r="C124" s="87" t="s">
        <v>148</v>
      </c>
      <c r="D124" s="47">
        <f t="shared" si="5"/>
        <v>92.121058708906943</v>
      </c>
      <c r="E124" s="47">
        <f t="shared" si="5"/>
        <v>96.845274654608076</v>
      </c>
      <c r="F124" s="47">
        <f t="shared" si="5"/>
        <v>95.330987537885932</v>
      </c>
      <c r="G124" s="47">
        <f t="shared" si="5"/>
        <v>97.146339628881151</v>
      </c>
      <c r="H124" s="47">
        <f t="shared" si="5"/>
        <v>92.60102695090157</v>
      </c>
      <c r="I124" s="47">
        <f t="shared" si="5"/>
        <v>98.22522883247342</v>
      </c>
      <c r="J124" s="47">
        <f t="shared" si="3"/>
        <v>99.393554503437869</v>
      </c>
      <c r="K124" s="47">
        <f t="shared" si="3"/>
        <v>62.211405714490432</v>
      </c>
    </row>
    <row r="125" spans="3:11" x14ac:dyDescent="0.2">
      <c r="C125" s="88" t="s">
        <v>149</v>
      </c>
      <c r="D125" s="116">
        <f t="shared" si="5"/>
        <v>94.255599802757757</v>
      </c>
      <c r="E125" s="116">
        <f t="shared" si="5"/>
        <v>98.695975805824233</v>
      </c>
      <c r="F125" s="116">
        <f t="shared" si="5"/>
        <v>80.325759531685776</v>
      </c>
      <c r="G125" s="116">
        <f t="shared" si="5"/>
        <v>87.685846951981844</v>
      </c>
      <c r="H125" s="116">
        <f t="shared" si="5"/>
        <v>87.066038706421196</v>
      </c>
      <c r="I125" s="116">
        <f t="shared" si="5"/>
        <v>97.607335690279839</v>
      </c>
      <c r="J125" s="116">
        <f t="shared" si="3"/>
        <v>96.113525033266782</v>
      </c>
      <c r="K125" s="116">
        <f t="shared" si="3"/>
        <v>35.810436177965542</v>
      </c>
    </row>
    <row r="126" spans="3:11" x14ac:dyDescent="0.2">
      <c r="C126" s="87" t="s">
        <v>163</v>
      </c>
      <c r="D126" s="47">
        <f t="shared" si="5"/>
        <v>99.346820015941248</v>
      </c>
      <c r="E126" s="47">
        <f t="shared" si="5"/>
        <v>98.969733996603637</v>
      </c>
      <c r="F126" s="47">
        <f t="shared" si="5"/>
        <v>98.247236739685789</v>
      </c>
      <c r="G126" s="47">
        <f t="shared" si="5"/>
        <v>85.926331093105773</v>
      </c>
      <c r="H126" s="47">
        <f t="shared" si="5"/>
        <v>98.078545571491077</v>
      </c>
      <c r="I126" s="47">
        <f t="shared" si="5"/>
        <v>91.446379456074638</v>
      </c>
      <c r="J126" s="47">
        <f t="shared" si="3"/>
        <v>99.293497557000634</v>
      </c>
      <c r="K126" s="47">
        <f t="shared" si="3"/>
        <v>37.687252453452523</v>
      </c>
    </row>
    <row r="127" spans="3:11" x14ac:dyDescent="0.2">
      <c r="C127" s="88" t="s">
        <v>150</v>
      </c>
      <c r="D127" s="116">
        <f t="shared" si="5"/>
        <v>99.599147465843956</v>
      </c>
      <c r="E127" s="116">
        <f t="shared" si="5"/>
        <v>98.494327853493147</v>
      </c>
      <c r="F127" s="116">
        <f t="shared" si="5"/>
        <v>99.411793201919835</v>
      </c>
      <c r="G127" s="116">
        <f t="shared" si="5"/>
        <v>97.981043541766596</v>
      </c>
      <c r="H127" s="116">
        <f t="shared" si="5"/>
        <v>98.362358775943974</v>
      </c>
      <c r="I127" s="116">
        <f t="shared" si="5"/>
        <v>98.726125198336305</v>
      </c>
      <c r="J127" s="116">
        <f t="shared" si="3"/>
        <v>99.58516360343458</v>
      </c>
      <c r="K127" s="116">
        <f t="shared" si="3"/>
        <v>83.486435286482873</v>
      </c>
    </row>
    <row r="128" spans="3:11" x14ac:dyDescent="0.2">
      <c r="C128" s="87" t="s">
        <v>151</v>
      </c>
      <c r="D128" s="47">
        <f t="shared" ref="D128:I128" si="6">+IFERROR(IF(D87&gt;0,+((D87/D45)*100)," "),"0")</f>
        <v>99.164725373538786</v>
      </c>
      <c r="E128" s="47">
        <f t="shared" si="6"/>
        <v>98.955042640685249</v>
      </c>
      <c r="F128" s="47">
        <f t="shared" si="6"/>
        <v>99.549088542446768</v>
      </c>
      <c r="G128" s="47">
        <f t="shared" si="6"/>
        <v>98.813055176962123</v>
      </c>
      <c r="H128" s="47">
        <f t="shared" si="6"/>
        <v>98.758816953641087</v>
      </c>
      <c r="I128" s="47">
        <f t="shared" si="6"/>
        <v>99.31065111884196</v>
      </c>
      <c r="J128" s="47">
        <f t="shared" si="3"/>
        <v>99.844229244380728</v>
      </c>
      <c r="K128" s="47">
        <f t="shared" si="3"/>
        <v>57.297536476778973</v>
      </c>
    </row>
    <row r="129" spans="1:11" x14ac:dyDescent="0.2">
      <c r="C129" s="91" t="s">
        <v>154</v>
      </c>
      <c r="D129" s="74">
        <f t="shared" ref="D129:I129" si="7">+IFERROR(IF(D88&gt;0,+((D88/D46)*100)," "),"")</f>
        <v>98.952632077577078</v>
      </c>
      <c r="E129" s="74">
        <f t="shared" si="7"/>
        <v>90.67346451673744</v>
      </c>
      <c r="F129" s="74">
        <f t="shared" si="7"/>
        <v>97.511191441005565</v>
      </c>
      <c r="G129" s="74">
        <f t="shared" si="7"/>
        <v>96.315964021350311</v>
      </c>
      <c r="H129" s="74">
        <f t="shared" si="7"/>
        <v>96.413572752462812</v>
      </c>
      <c r="I129" s="74">
        <f t="shared" si="7"/>
        <v>96.420127108284518</v>
      </c>
      <c r="J129" s="74">
        <f t="shared" si="3"/>
        <v>98.5759125355912</v>
      </c>
      <c r="K129" s="74">
        <f t="shared" si="3"/>
        <v>53.838274058412892</v>
      </c>
    </row>
    <row r="130" spans="1:11" s="31" customFormat="1" x14ac:dyDescent="0.2">
      <c r="A130" s="5"/>
      <c r="B130" s="5"/>
      <c r="C130" s="72" t="str">
        <f>+'C1 Aprop Resumen 2000-2026'!B20</f>
        <v>* Información con corte a 30 de Junio</v>
      </c>
      <c r="D130" s="69"/>
      <c r="E130" s="69"/>
      <c r="F130" s="69"/>
      <c r="G130" s="69"/>
      <c r="H130" s="69"/>
      <c r="I130" s="69"/>
    </row>
    <row r="131" spans="1:11" x14ac:dyDescent="0.2">
      <c r="C131" s="1" t="s">
        <v>52</v>
      </c>
      <c r="D131" s="11"/>
      <c r="E131" s="11"/>
      <c r="F131" s="11"/>
      <c r="G131" s="11"/>
      <c r="H131" s="11"/>
    </row>
    <row r="132" spans="1:11" x14ac:dyDescent="0.2">
      <c r="D132" s="11"/>
      <c r="E132" s="11"/>
      <c r="F132" s="11"/>
      <c r="G132" s="11"/>
      <c r="H132" s="11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x14ac:dyDescent="0.2">
      <c r="E135" s="3"/>
      <c r="F135" s="3"/>
      <c r="G135" s="3"/>
      <c r="H135" s="3"/>
    </row>
    <row r="136" spans="1:11" ht="18" customHeight="1" x14ac:dyDescent="0.2">
      <c r="D136" s="164" t="s">
        <v>156</v>
      </c>
      <c r="E136" s="182"/>
      <c r="F136" s="182"/>
      <c r="G136" s="182"/>
      <c r="H136" s="182"/>
      <c r="I136" s="182"/>
      <c r="J136" s="182"/>
      <c r="K136" s="182"/>
    </row>
    <row r="137" spans="1:11" x14ac:dyDescent="0.2">
      <c r="C137" s="2"/>
      <c r="D137" s="2"/>
      <c r="E137" s="2"/>
      <c r="F137" s="2"/>
      <c r="G137" s="2"/>
      <c r="H137" s="2"/>
      <c r="I137" s="2"/>
    </row>
    <row r="138" spans="1:11" x14ac:dyDescent="0.2">
      <c r="C138" s="181" t="s">
        <v>120</v>
      </c>
      <c r="D138" s="155">
        <v>2019</v>
      </c>
      <c r="E138" s="155">
        <v>2020</v>
      </c>
      <c r="F138" s="155">
        <v>2021</v>
      </c>
      <c r="G138" s="155">
        <v>2022</v>
      </c>
      <c r="H138" s="155">
        <v>2023</v>
      </c>
      <c r="I138" s="155">
        <v>2024</v>
      </c>
      <c r="J138" s="155">
        <v>2025</v>
      </c>
      <c r="K138" s="155" t="s">
        <v>36</v>
      </c>
    </row>
    <row r="139" spans="1:11" ht="12" customHeight="1" thickBot="1" x14ac:dyDescent="0.25">
      <c r="C139" s="162"/>
      <c r="D139" s="156"/>
      <c r="E139" s="156"/>
      <c r="F139" s="156"/>
      <c r="G139" s="156"/>
      <c r="H139" s="156"/>
      <c r="I139" s="156"/>
      <c r="J139" s="156"/>
      <c r="K139" s="156"/>
    </row>
    <row r="140" spans="1:11" x14ac:dyDescent="0.2">
      <c r="C140" s="87" t="s">
        <v>123</v>
      </c>
      <c r="D140" s="42">
        <f>1377.779585587*Deflactores!$T$5</f>
        <v>2142.9221490415271</v>
      </c>
      <c r="E140" s="42">
        <f>1356.09138730611*Deflactores!$U$5</f>
        <v>2075.7696341112887</v>
      </c>
      <c r="F140" s="42">
        <f>1826.79049403707*Deflactores!$V$5</f>
        <v>2647.4805404686549</v>
      </c>
      <c r="G140" s="42">
        <f>1858.10324526012*Deflactores!$W$5</f>
        <v>2380.5344951286834</v>
      </c>
      <c r="H140" s="42">
        <f>3935.52023172768*Deflactores!$X$5</f>
        <v>4613.8779303135043</v>
      </c>
      <c r="I140" s="42">
        <f>2942.84695213217*Deflactores!$Y$5</f>
        <v>3279.5623157391783</v>
      </c>
      <c r="J140" s="42">
        <f>2902.27066327869*Deflactores!$Z$5</f>
        <v>3077.3662876116446</v>
      </c>
      <c r="K140" s="42">
        <f>1248.75140418864*Deflactores!$AA$5</f>
        <v>1248.75140418864</v>
      </c>
    </row>
    <row r="141" spans="1:11" x14ac:dyDescent="0.2">
      <c r="C141" s="88" t="s">
        <v>124</v>
      </c>
      <c r="D141" s="50">
        <f>432.10044421666*Deflactores!$T$5</f>
        <v>672.06512725913365</v>
      </c>
      <c r="E141" s="50">
        <f>456.19283176687*Deflactores!$U$5</f>
        <v>698.29455178683588</v>
      </c>
      <c r="F141" s="50">
        <f>621.27072631497*Deflactores!$V$5</f>
        <v>900.37810227861507</v>
      </c>
      <c r="G141" s="50">
        <f>662.237670151389*Deflactores!$W$5</f>
        <v>848.43488745338129</v>
      </c>
      <c r="H141" s="50">
        <f>792.18176651453*Deflactores!$X$5</f>
        <v>928.72854263376757</v>
      </c>
      <c r="I141" s="50">
        <f>891.58703115912*Deflactores!$Y$5</f>
        <v>993.60084848201052</v>
      </c>
      <c r="J141" s="50">
        <f>1179.34744149356*Deflactores!$Z$5</f>
        <v>1250.4981371149347</v>
      </c>
      <c r="K141" s="50">
        <f>401.80711053652*Deflactores!$AA$5</f>
        <v>401.80711053651999</v>
      </c>
    </row>
    <row r="142" spans="1:11" x14ac:dyDescent="0.2">
      <c r="C142" s="87" t="s">
        <v>125</v>
      </c>
      <c r="D142" s="42">
        <f>156.9631704478*Deflactores!$T$5</f>
        <v>244.13183215591462</v>
      </c>
      <c r="E142" s="42">
        <f>182.164232197009*Deflactores!$U$5</f>
        <v>278.83886377813405</v>
      </c>
      <c r="F142" s="42">
        <f>360.28363559592*Deflactores!$V$5</f>
        <v>522.14193001496005</v>
      </c>
      <c r="G142" s="42">
        <f>289.96073695917*Deflactores!$W$5</f>
        <v>371.48718098687107</v>
      </c>
      <c r="H142" s="42">
        <f>319.52175787501*Deflactores!$X$5</f>
        <v>374.5970799563899</v>
      </c>
      <c r="I142" s="42">
        <f>328.486339277249*Deflactores!$Y$5</f>
        <v>366.07116749590193</v>
      </c>
      <c r="J142" s="42">
        <f>268.60777290051*Deflactores!$Z$5</f>
        <v>284.8130311804415</v>
      </c>
      <c r="K142" s="42">
        <f>104.906129813789*Deflactores!$AA$5</f>
        <v>104.90612981378899</v>
      </c>
    </row>
    <row r="143" spans="1:11" x14ac:dyDescent="0.2">
      <c r="C143" s="88" t="s">
        <v>126</v>
      </c>
      <c r="D143" s="50">
        <f>528.134674944709*Deflactores!$T$5</f>
        <v>821.43145714681486</v>
      </c>
      <c r="E143" s="50">
        <f>580.97923579246*Deflactores!$U$5</f>
        <v>889.30515081499141</v>
      </c>
      <c r="F143" s="50">
        <f>512.0789720137*Deflactores!$V$5</f>
        <v>742.1316883434323</v>
      </c>
      <c r="G143" s="50">
        <f>548.254746744429*Deflactores!$W$5</f>
        <v>702.40409948826289</v>
      </c>
      <c r="H143" s="50">
        <f>646.57835886373*Deflactores!$X$5</f>
        <v>758.02776876338396</v>
      </c>
      <c r="I143" s="50">
        <f>587.7503110224*Deflactores!$Y$5</f>
        <v>654.9996661214318</v>
      </c>
      <c r="J143" s="50">
        <f>775.78573017155*Deflactores!$Z$5</f>
        <v>822.58932037134548</v>
      </c>
      <c r="K143" s="50">
        <f>429.35027599288*Deflactores!$AA$5</f>
        <v>429.35027599287997</v>
      </c>
    </row>
    <row r="144" spans="1:11" x14ac:dyDescent="0.2">
      <c r="C144" s="87" t="s">
        <v>127</v>
      </c>
      <c r="D144" s="42">
        <f>590.74732759686*Deflactores!$T$5</f>
        <v>918.81571336757577</v>
      </c>
      <c r="E144" s="42">
        <f>641.05703782282*Deflactores!$U$5</f>
        <v>981.26626664104492</v>
      </c>
      <c r="F144" s="42">
        <f>722.891786365659*Deflactores!$V$5</f>
        <v>1047.6526692660082</v>
      </c>
      <c r="G144" s="42">
        <f>860.374365491189*Deflactores!$W$5</f>
        <v>1102.2804362464281</v>
      </c>
      <c r="H144" s="42">
        <f>1029.84790740124*Deflactores!$X$5</f>
        <v>1207.3607177092808</v>
      </c>
      <c r="I144" s="42">
        <f>1105.41480856526*Deflactores!$Y$5</f>
        <v>1231.8944234609471</v>
      </c>
      <c r="J144" s="42">
        <f>1241.12687203137*Deflactores!$Z$5</f>
        <v>1316.0047555052838</v>
      </c>
      <c r="K144" s="42">
        <f>692.68139726635*Deflactores!$AA$5</f>
        <v>692.68139726635002</v>
      </c>
    </row>
    <row r="145" spans="3:11" x14ac:dyDescent="0.2">
      <c r="C145" s="88" t="s">
        <v>128</v>
      </c>
      <c r="D145" s="50">
        <f>354.34218718658*Deflactores!$T$5</f>
        <v>551.12423583953102</v>
      </c>
      <c r="E145" s="50">
        <f>351.105345203089*Deflactores!$U$5</f>
        <v>537.43709367148938</v>
      </c>
      <c r="F145" s="50">
        <f>497.32687600367*Deflactores!$V$5</f>
        <v>720.75217753189474</v>
      </c>
      <c r="G145" s="50">
        <f>437.25570539451*Deflactores!$W$5</f>
        <v>560.19615300641601</v>
      </c>
      <c r="H145" s="50">
        <f>593.955817070179*Deflactores!$X$5</f>
        <v>696.33478539084535</v>
      </c>
      <c r="I145" s="50">
        <f>844.21138800199*Deflactores!$Y$5</f>
        <v>940.80456770041587</v>
      </c>
      <c r="J145" s="50">
        <f>696.61050948885*Deflactores!$Z$5</f>
        <v>738.63741401540938</v>
      </c>
      <c r="K145" s="50">
        <f>382.6997723565*Deflactores!$AA$5</f>
        <v>382.69977235649998</v>
      </c>
    </row>
    <row r="146" spans="3:11" x14ac:dyDescent="0.2">
      <c r="C146" s="87" t="s">
        <v>129</v>
      </c>
      <c r="D146" s="42">
        <f>30242.2161843504*Deflactores!$T$5</f>
        <v>47037.070062215978</v>
      </c>
      <c r="E146" s="42">
        <f>32462.0754285622*Deflactores!$U$5</f>
        <v>49689.711966018927</v>
      </c>
      <c r="F146" s="42">
        <f>34776.4338434385*Deflactores!$V$5</f>
        <v>50399.83083332744</v>
      </c>
      <c r="G146" s="42">
        <f>37727.2769819125*Deflactores!$W$5</f>
        <v>48334.819118269297</v>
      </c>
      <c r="H146" s="42">
        <f>42972.3794164656*Deflactores!$X$5</f>
        <v>50379.441936104442</v>
      </c>
      <c r="I146" s="42">
        <f>47663.3304184179*Deflactores!$Y$5</f>
        <v>53116.884712476807</v>
      </c>
      <c r="J146" s="42">
        <f>52860.2609563732*Deflactores!$Z$5</f>
        <v>56049.350282763946</v>
      </c>
      <c r="K146" s="42">
        <f>26692.5042461496*Deflactores!$AA$5</f>
        <v>26692.504246149601</v>
      </c>
    </row>
    <row r="147" spans="3:11" x14ac:dyDescent="0.2">
      <c r="C147" s="88" t="s">
        <v>130</v>
      </c>
      <c r="D147" s="50">
        <f>265.50080154778*Deflactores!$T$5</f>
        <v>412.94525929749341</v>
      </c>
      <c r="E147" s="50">
        <f>241.73299196914*Deflactores!$U$5</f>
        <v>370.02078841397571</v>
      </c>
      <c r="F147" s="50">
        <f>671.605856234279*Deflactores!$V$5</f>
        <v>973.32641101917272</v>
      </c>
      <c r="G147" s="50">
        <f>556.162676796399*Deflactores!$W$5</f>
        <v>712.53545269578819</v>
      </c>
      <c r="H147" s="50">
        <f>560.386603394199*Deflactores!$X$5</f>
        <v>656.9793139416264</v>
      </c>
      <c r="I147" s="50">
        <f>381.37251859876*Deflactores!$Y$5</f>
        <v>425.00849028144052</v>
      </c>
      <c r="J147" s="50">
        <f>303.56938040264*Deflactores!$Z$5</f>
        <v>321.88389216148499</v>
      </c>
      <c r="K147" s="50">
        <f>268.79058012281*Deflactores!$AA$5</f>
        <v>268.79058012281001</v>
      </c>
    </row>
    <row r="148" spans="3:11" x14ac:dyDescent="0.2">
      <c r="C148" s="87" t="s">
        <v>131</v>
      </c>
      <c r="D148" s="42">
        <f>41281.5327756594*Deflactores!$T$5</f>
        <v>64207.012396438404</v>
      </c>
      <c r="E148" s="42">
        <f>44542.6749018904*Deflactores!$U$5</f>
        <v>68181.490457740147</v>
      </c>
      <c r="F148" s="42">
        <f>48010.5696007512*Deflactores!$V$5</f>
        <v>69579.434078347826</v>
      </c>
      <c r="G148" s="42">
        <f>49615.994280471*Deflactores!$W$5</f>
        <v>63566.212585907102</v>
      </c>
      <c r="H148" s="42">
        <f>57855.2995852406*Deflactores!$X$5</f>
        <v>67827.70108917293</v>
      </c>
      <c r="I148" s="42">
        <f>67551.1626605053*Deflactores!$Y$5</f>
        <v>75280.247681671113</v>
      </c>
      <c r="J148" s="42">
        <f>77993.9807822656*Deflactores!$Z$5</f>
        <v>82699.40158676618</v>
      </c>
      <c r="K148" s="42">
        <f>43992.664520061*Deflactores!$AA$5</f>
        <v>43992.664520061</v>
      </c>
    </row>
    <row r="149" spans="3:11" x14ac:dyDescent="0.2">
      <c r="C149" s="88" t="s">
        <v>132</v>
      </c>
      <c r="D149" s="50">
        <f>39.17080623979*Deflactores!$T$5</f>
        <v>60.924105107347479</v>
      </c>
      <c r="E149" s="50">
        <f>41.99408569583*Deflactores!$U$5</f>
        <v>64.280363930955559</v>
      </c>
      <c r="F149" s="50">
        <f>48.7608599207*Deflactores!$V$5</f>
        <v>70.666794138655945</v>
      </c>
      <c r="G149" s="50">
        <f>48.62149333392*Deflactores!$W$5</f>
        <v>62.292094038005125</v>
      </c>
      <c r="H149" s="50">
        <f>51.63981058317*Deflactores!$X$5</f>
        <v>60.5408607620504</v>
      </c>
      <c r="I149" s="50">
        <f>55.3584679554*Deflactores!$Y$5</f>
        <v>61.692486329282559</v>
      </c>
      <c r="J149" s="50">
        <f>57.6751532041*Deflactores!$Z$5</f>
        <v>61.154727692635902</v>
      </c>
      <c r="K149" s="50">
        <f>25.56945574158*Deflactores!$AA$5</f>
        <v>25.569455741580001</v>
      </c>
    </row>
    <row r="150" spans="3:11" x14ac:dyDescent="0.2">
      <c r="C150" s="87" t="s">
        <v>133</v>
      </c>
      <c r="D150" s="42">
        <f>3593.55410590247*Deflactores!$T$5</f>
        <v>5589.215261914811</v>
      </c>
      <c r="E150" s="42">
        <f>3724.81310945764*Deflactores!$U$5</f>
        <v>5701.572930649776</v>
      </c>
      <c r="F150" s="42">
        <f>4068.94181844623*Deflactores!$V$5</f>
        <v>5896.923768652443</v>
      </c>
      <c r="G150" s="42">
        <f>4479.98557479999*Deflactores!$W$5</f>
        <v>5739.5950551699807</v>
      </c>
      <c r="H150" s="42">
        <f>5116.85767177538*Deflactores!$X$5</f>
        <v>5998.8401264032364</v>
      </c>
      <c r="I150" s="42">
        <f>5549.91535021863*Deflactores!$Y$5</f>
        <v>6184.9268868474819</v>
      </c>
      <c r="J150" s="42">
        <f>6286.90434103635*Deflactores!$Z$5</f>
        <v>6666.1968221420721</v>
      </c>
      <c r="K150" s="42">
        <f>2885.57702308952*Deflactores!$AA$5</f>
        <v>2885.57702308952</v>
      </c>
    </row>
    <row r="151" spans="3:11" x14ac:dyDescent="0.2">
      <c r="C151" s="88" t="s">
        <v>134</v>
      </c>
      <c r="D151" s="50">
        <f>8283.13178466186*Deflactores!$T$5</f>
        <v>12883.124957334434</v>
      </c>
      <c r="E151" s="50">
        <f>16677.9545756836*Deflactores!$U$5</f>
        <v>25528.951803214117</v>
      </c>
      <c r="F151" s="50">
        <f>18470.078400646*Deflactores!$V$5</f>
        <v>26767.805780824488</v>
      </c>
      <c r="G151" s="50">
        <f>13794.1112068227*Deflactores!$W$5</f>
        <v>17672.515045247452</v>
      </c>
      <c r="H151" s="50">
        <f>33730.3376486072*Deflactores!$X$5</f>
        <v>39544.368036601722</v>
      </c>
      <c r="I151" s="50">
        <f>22528.1669816146*Deflactores!$Y$5</f>
        <v>25105.800157922939</v>
      </c>
      <c r="J151" s="50">
        <f>16841.1183449539*Deflactores!$Z$5</f>
        <v>17857.152503444002</v>
      </c>
      <c r="K151" s="50">
        <f>8590.01657076508*Deflactores!$AA$5</f>
        <v>8590.0165707650795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3.4164447406132887</v>
      </c>
      <c r="I152" s="42">
        <f>6005.12004607376*Deflactores!$Y$5</f>
        <v>6692.2153020307369</v>
      </c>
      <c r="J152" s="42">
        <f>6404.65177944855*Deflactores!$Z$5</f>
        <v>6791.0480298557532</v>
      </c>
      <c r="K152" s="42">
        <f>3194.43887567444*Deflactores!$AA$5</f>
        <v>3194.4388756744402</v>
      </c>
    </row>
    <row r="153" spans="3:11" x14ac:dyDescent="0.2">
      <c r="C153" s="88" t="s">
        <v>136</v>
      </c>
      <c r="D153" s="50">
        <f>7787.016263653*Deflactores!$T$5</f>
        <v>12111.494320928818</v>
      </c>
      <c r="E153" s="50">
        <f>15096.5152304948*Deflactores!$U$5</f>
        <v>23108.241958980918</v>
      </c>
      <c r="F153" s="50">
        <f>19466.8125761489*Deflactores!$V$5</f>
        <v>28212.325194669458</v>
      </c>
      <c r="G153" s="50">
        <f>19559.5804834346*Deflactores!$W$5</f>
        <v>25059.025202091761</v>
      </c>
      <c r="H153" s="50">
        <f>15912.8921342202*Deflactores!$X$5</f>
        <v>18655.765312456988</v>
      </c>
      <c r="I153" s="50">
        <f>9671.1000122994*Deflactores!$Y$5</f>
        <v>10777.650237332944</v>
      </c>
      <c r="J153" s="50">
        <f>7974.29801792114*Deflactores!$Z$5</f>
        <v>8455.391910276303</v>
      </c>
      <c r="K153" s="50">
        <f>4858.7752785341*Deflactores!$AA$5</f>
        <v>4858.7752785340999</v>
      </c>
    </row>
    <row r="154" spans="3:11" x14ac:dyDescent="0.2">
      <c r="C154" s="87" t="s">
        <v>137</v>
      </c>
      <c r="D154" s="42">
        <f>296.376529705529*Deflactores!$T$5</f>
        <v>460.96765883742876</v>
      </c>
      <c r="E154" s="42">
        <f>294.18754924815*Deflactores!$U$5</f>
        <v>450.31300042102828</v>
      </c>
      <c r="F154" s="42">
        <f>332.961600099889*Deflactores!$V$5</f>
        <v>482.54540401055664</v>
      </c>
      <c r="G154" s="42">
        <f>369.440359111959*Deflactores!$W$5</f>
        <v>473.31359062107902</v>
      </c>
      <c r="H154" s="42">
        <f>546.71923308221*Deflactores!$X$5</f>
        <v>640.95612652677607</v>
      </c>
      <c r="I154" s="42">
        <f>764.36639362302*Deflactores!$Y$5</f>
        <v>851.82384973410956</v>
      </c>
      <c r="J154" s="42">
        <f>687.64497830521*Deflactores!$Z$5</f>
        <v>729.13098728403895</v>
      </c>
      <c r="K154" s="42">
        <f>269.48448867699*Deflactores!$AA$5</f>
        <v>269.48448867699</v>
      </c>
    </row>
    <row r="155" spans="3:11" x14ac:dyDescent="0.2">
      <c r="C155" s="88" t="s">
        <v>138</v>
      </c>
      <c r="D155" s="50">
        <f>91.27763542242*Deflactores!$T$5</f>
        <v>141.96818468282498</v>
      </c>
      <c r="E155" s="50">
        <f>97.64146220211*Deflactores!$U$5</f>
        <v>149.45982561838511</v>
      </c>
      <c r="F155" s="50">
        <f>110.959760434319*Deflactores!$V$5</f>
        <v>160.80870109835493</v>
      </c>
      <c r="G155" s="50">
        <f>106.51005576041*Deflactores!$W$5</f>
        <v>136.45682093421047</v>
      </c>
      <c r="H155" s="50">
        <f>122.721946485169*Deflactores!$X$5</f>
        <v>143.87528131305419</v>
      </c>
      <c r="I155" s="50">
        <f>137.65301361438*Deflactores!$Y$5</f>
        <v>153.40302891748121</v>
      </c>
      <c r="J155" s="50">
        <f>150.50415071102*Deflactores!$Z$5</f>
        <v>159.5841509215023</v>
      </c>
      <c r="K155" s="50">
        <f>64.20867063336*Deflactores!$AA$5</f>
        <v>64.208670633360001</v>
      </c>
    </row>
    <row r="156" spans="3:11" x14ac:dyDescent="0.2">
      <c r="C156" s="87" t="s">
        <v>160</v>
      </c>
      <c r="D156" s="42">
        <f>1101.35085533362*Deflactores!$T$5</f>
        <v>1712.9801939652966</v>
      </c>
      <c r="E156" s="42">
        <f>1441.81518426992*Deflactores!$U$5</f>
        <v>2206.9870847373004</v>
      </c>
      <c r="F156" s="42">
        <f>1739.11320851529*Deflactores!$V$5</f>
        <v>2520.4140224318489</v>
      </c>
      <c r="G156" s="42">
        <f>2031.24056989938*Deflactores!$W$5</f>
        <v>2602.3517567633312</v>
      </c>
      <c r="H156" s="42">
        <f>2200.92701256*Deflactores!$X$5</f>
        <v>2580.2963703793466</v>
      </c>
      <c r="I156" s="42">
        <f>2709.4885232417*Deflactores!$Y$5</f>
        <v>3019.5034265418331</v>
      </c>
      <c r="J156" s="42">
        <f>3366.59303680968*Deflactores!$Z$5</f>
        <v>3569.7014915494728</v>
      </c>
      <c r="K156" s="42">
        <f>1561.17179131538*Deflactores!$AA$5</f>
        <v>1561.17179131538</v>
      </c>
    </row>
    <row r="157" spans="3:11" x14ac:dyDescent="0.2">
      <c r="C157" s="88" t="s">
        <v>161</v>
      </c>
      <c r="D157" s="50">
        <f>1719.35079914496*Deflactores!$T$5</f>
        <v>2674.1831189857844</v>
      </c>
      <c r="E157" s="50">
        <f>1950.90544236698*Deflactores!$U$5</f>
        <v>2986.2517483666511</v>
      </c>
      <c r="F157" s="50">
        <f>1931.0487212112*Deflactores!$V$5</f>
        <v>2798.5770282860854</v>
      </c>
      <c r="G157" s="50">
        <f>2178.59154146719*Deflactores!$W$5</f>
        <v>2791.1324779652855</v>
      </c>
      <c r="H157" s="50">
        <f>2628.41823193799*Deflactores!$X$5</f>
        <v>3081.4733905328026</v>
      </c>
      <c r="I157" s="50">
        <f>3157.48196938839*Deflactores!$Y$5</f>
        <v>3518.7554935296603</v>
      </c>
      <c r="J157" s="50">
        <f>3513.0127806281*Deflactores!$Z$5</f>
        <v>3724.9548210092798</v>
      </c>
      <c r="K157" s="50">
        <f>1688.51469986962*Deflactores!$AA$5</f>
        <v>1688.51469986962</v>
      </c>
    </row>
    <row r="158" spans="3:11" x14ac:dyDescent="0.2">
      <c r="C158" s="87" t="s">
        <v>140</v>
      </c>
      <c r="D158" s="42">
        <f>2668.13281722145*Deflactores!$T$5</f>
        <v>4149.8661835466537</v>
      </c>
      <c r="E158" s="42">
        <f>2813.33060918866*Deflactores!$U$5</f>
        <v>4306.3662994501519</v>
      </c>
      <c r="F158" s="42">
        <f>4268.30702520684*Deflactores!$V$5</f>
        <v>6185.8542765941565</v>
      </c>
      <c r="G158" s="42">
        <f>3871.83149089502*Deflactores!$W$5</f>
        <v>4960.4500971154603</v>
      </c>
      <c r="H158" s="42">
        <f>6294.22653559743*Deflactores!$X$5</f>
        <v>7379.1496907736137</v>
      </c>
      <c r="I158" s="42">
        <f>4332.24577573847*Deflactores!$Y$5</f>
        <v>4827.933704924123</v>
      </c>
      <c r="J158" s="42">
        <f>4639.91181699171*Deflactores!$Z$5</f>
        <v>4919.8403111619327</v>
      </c>
      <c r="K158" s="42">
        <f>4853.55665968997*Deflactores!$AA$5</f>
        <v>4853.5566596899698</v>
      </c>
    </row>
    <row r="159" spans="3:11" x14ac:dyDescent="0.2">
      <c r="C159" s="88" t="s">
        <v>141</v>
      </c>
      <c r="D159" s="50">
        <f>1674.78236068006*Deflactores!$T$5</f>
        <v>2604.8638353110023</v>
      </c>
      <c r="E159" s="50">
        <f>1911.68713472567*Deflactores!$U$5</f>
        <v>2926.2202690245513</v>
      </c>
      <c r="F159" s="50">
        <f>2333.90491671326*Deflactores!$V$5</f>
        <v>3382.4173436809479</v>
      </c>
      <c r="G159" s="50">
        <f>2690.63397566848*Deflactores!$W$5</f>
        <v>3447.1426758352045</v>
      </c>
      <c r="H159" s="50">
        <f>3257.96976745032*Deflactores!$X$5</f>
        <v>3819.5394566854279</v>
      </c>
      <c r="I159" s="50">
        <f>3723.67253913006*Deflactores!$Y$5</f>
        <v>4149.7285907565938</v>
      </c>
      <c r="J159" s="50">
        <f>3844.76028019594*Deflactores!$Z$5</f>
        <v>4076.7168341415118</v>
      </c>
      <c r="K159" s="50">
        <f>1932.89146476733*Deflactores!$AA$5</f>
        <v>1932.89146476733</v>
      </c>
    </row>
    <row r="160" spans="3:11" x14ac:dyDescent="0.2">
      <c r="C160" s="87" t="s">
        <v>142</v>
      </c>
      <c r="D160" s="42">
        <f>220.51112983582*Deflactores!$T$5</f>
        <v>342.9708127327396</v>
      </c>
      <c r="E160" s="42">
        <f>196.99057631175*Deflactores!$U$5</f>
        <v>301.5335547011411</v>
      </c>
      <c r="F160" s="42">
        <f>599.26698136863*Deflactores!$V$5</f>
        <v>868.48912171241307</v>
      </c>
      <c r="G160" s="42">
        <f>650.88456699036*Deflactores!$W$5</f>
        <v>833.88970339510763</v>
      </c>
      <c r="H160" s="42">
        <f>585.245065703659*Deflactores!$X$5</f>
        <v>686.12257934946217</v>
      </c>
      <c r="I160" s="42">
        <f>612.00445429636*Deflactores!$Y$5</f>
        <v>682.02892573827569</v>
      </c>
      <c r="J160" s="42">
        <f>481.48612958059*Deflactores!$Z$5</f>
        <v>510.53445906042248</v>
      </c>
      <c r="K160" s="42">
        <f>484.44172508633*Deflactores!$AA$5</f>
        <v>484.44172508633</v>
      </c>
    </row>
    <row r="161" spans="1:11" x14ac:dyDescent="0.2">
      <c r="C161" s="88" t="s">
        <v>143</v>
      </c>
      <c r="D161" s="50">
        <f>655.624079112229*Deflactores!$T$5</f>
        <v>1019.7214237108714</v>
      </c>
      <c r="E161" s="50">
        <f>1829.40255491063*Deflactores!$U$5</f>
        <v>2800.2672294768481</v>
      </c>
      <c r="F161" s="50">
        <f>3921.93490400729*Deflactores!$V$5</f>
        <v>5683.8736424547005</v>
      </c>
      <c r="G161" s="50">
        <f>1138.15737782787*Deflactores!$W$5</f>
        <v>1458.1659580628721</v>
      </c>
      <c r="H161" s="50">
        <f>882.53803081483*Deflactores!$X$5</f>
        <v>1034.6593342886522</v>
      </c>
      <c r="I161" s="50">
        <f>804.09958575137*Deflactores!$Y$5</f>
        <v>896.10324370454691</v>
      </c>
      <c r="J161" s="50">
        <f>1664.05786411197*Deflactores!$Z$5</f>
        <v>1764.4514126288025</v>
      </c>
      <c r="K161" s="50">
        <f>420.01602211005*Deflactores!$AA$5</f>
        <v>420.01602211005002</v>
      </c>
    </row>
    <row r="162" spans="1:11" x14ac:dyDescent="0.2">
      <c r="C162" s="87" t="s">
        <v>144</v>
      </c>
      <c r="D162" s="42">
        <f>4305.35715077878*Deflactores!$T$5</f>
        <v>6696.314341170495</v>
      </c>
      <c r="E162" s="42">
        <f>4447.39013902944*Deflactores!$U$5</f>
        <v>6807.6218815770826</v>
      </c>
      <c r="F162" s="42">
        <f>4816.97245128618*Deflactores!$V$5</f>
        <v>6981.0089719543794</v>
      </c>
      <c r="G162" s="42">
        <f>5382.79974625188*Deflactores!$W$5</f>
        <v>6896.247831766028</v>
      </c>
      <c r="H162" s="42">
        <f>6583.43763757045*Deflactores!$X$5</f>
        <v>7718.2115280975131</v>
      </c>
      <c r="I162" s="42">
        <f>7941.61259140778*Deflactores!$Y$5</f>
        <v>8850.2779127233989</v>
      </c>
      <c r="J162" s="42">
        <f>9210.90295734786*Deflactores!$Z$5</f>
        <v>9766.6019224351185</v>
      </c>
      <c r="K162" s="42">
        <f>4095.17716983325*Deflactores!$AA$5</f>
        <v>4095.17716983325</v>
      </c>
    </row>
    <row r="163" spans="1:11" x14ac:dyDescent="0.2">
      <c r="C163" s="88" t="s">
        <v>145</v>
      </c>
      <c r="D163" s="50">
        <f>1338.77850526561*Deflactores!$T$5</f>
        <v>2082.2620262384689</v>
      </c>
      <c r="E163" s="50">
        <f>569.51337956188*Deflactores!$U$5</f>
        <v>871.75436005316556</v>
      </c>
      <c r="F163" s="50">
        <f>1150.17060825992*Deflactores!$V$5</f>
        <v>1666.8875350110857</v>
      </c>
      <c r="G163" s="50">
        <f>2975.67326257441*Deflactores!$W$5</f>
        <v>3812.3246734865011</v>
      </c>
      <c r="H163" s="50">
        <f>2548.89737463678*Deflactores!$X$5</f>
        <v>2988.2456831654858</v>
      </c>
      <c r="I163" s="50">
        <f>827.52328561536*Deflactores!$Y$5</f>
        <v>922.20704203951266</v>
      </c>
      <c r="J163" s="50">
        <f>2139.5435793151*Deflactores!$Z$5</f>
        <v>2268.623448931578</v>
      </c>
      <c r="K163" s="50">
        <f>2061.24955839493*Deflactores!$AA$5</f>
        <v>2061.2495583949299</v>
      </c>
    </row>
    <row r="164" spans="1:11" x14ac:dyDescent="0.2">
      <c r="C164" s="87" t="s">
        <v>146</v>
      </c>
      <c r="D164" s="42">
        <f>691.871854839797*Deflactores!$T$5</f>
        <v>1076.0992088607375</v>
      </c>
      <c r="E164" s="42">
        <f>735.23203250507*Deflactores!$U$5</f>
        <v>1125.4199690270921</v>
      </c>
      <c r="F164" s="42">
        <f>849.537216787919*Deflactores!$V$5</f>
        <v>1231.1938655206711</v>
      </c>
      <c r="G164" s="42">
        <f>1118.36147168782*Deflactores!$W$5</f>
        <v>1432.8041609996947</v>
      </c>
      <c r="H164" s="42">
        <f>1165.35423611068*Deflactores!$X$5</f>
        <v>1366.2239994705913</v>
      </c>
      <c r="I164" s="42">
        <f>1112.14508944866*Deflactores!$Y$5</f>
        <v>1239.3947712257352</v>
      </c>
      <c r="J164" s="42">
        <f>1192.38208578622*Deflactores!$Z$5</f>
        <v>1264.3191688418401</v>
      </c>
      <c r="K164" s="42">
        <f>535.98221332605*Deflactores!$AA$5</f>
        <v>535.98221332604999</v>
      </c>
    </row>
    <row r="165" spans="1:11" x14ac:dyDescent="0.2">
      <c r="C165" s="88" t="s">
        <v>162</v>
      </c>
      <c r="D165" s="50">
        <f>28841.4576036517*Deflactores!$T$5</f>
        <v>44858.407655369279</v>
      </c>
      <c r="E165" s="50">
        <f>33943.8942501427*Deflactores!$U$5</f>
        <v>51957.932634540179</v>
      </c>
      <c r="F165" s="50">
        <f>42889.5661263738*Deflactores!$V$5</f>
        <v>62157.807411063768</v>
      </c>
      <c r="G165" s="50">
        <f>41675.327169854*Deflactores!$W$5</f>
        <v>53392.917846027725</v>
      </c>
      <c r="H165" s="50">
        <f>49403.8875080793*Deflactores!$X$5</f>
        <v>57919.53612830284</v>
      </c>
      <c r="I165" s="50">
        <f>57115.5036660326*Deflactores!$Y$5</f>
        <v>63650.558970411155</v>
      </c>
      <c r="J165" s="50">
        <f>63577.9194071508*Deflactores!$Z$5</f>
        <v>67413.611106493991</v>
      </c>
      <c r="K165" s="50">
        <f>35377.6221550039*Deflactores!$AA$5</f>
        <v>35377.622155003897</v>
      </c>
    </row>
    <row r="166" spans="1:11" x14ac:dyDescent="0.2">
      <c r="C166" s="87" t="s">
        <v>148</v>
      </c>
      <c r="D166" s="42">
        <f>354.31167624808*Deflactores!$T$5</f>
        <v>551.07678081364475</v>
      </c>
      <c r="E166" s="42">
        <f>454.57663114662*Deflactores!$U$5</f>
        <v>695.8206328448307</v>
      </c>
      <c r="F166" s="42">
        <f>538.07943145689*Deflactores!$V$5</f>
        <v>779.81291705782553</v>
      </c>
      <c r="G166" s="42">
        <f>579.259625078809*Deflactores!$W$5</f>
        <v>742.12642524197895</v>
      </c>
      <c r="H166" s="42">
        <f>652.34916360862*Deflactores!$X$5</f>
        <v>764.79327550324069</v>
      </c>
      <c r="I166" s="42">
        <f>770.89363698376*Deflactores!$Y$5</f>
        <v>859.09792878060296</v>
      </c>
      <c r="J166" s="42">
        <f>849.50019022322*Deflactores!$Z$5</f>
        <v>900.75101533064219</v>
      </c>
      <c r="K166" s="42">
        <f>430.84886443435*Deflactores!$AA$5</f>
        <v>430.84886443434999</v>
      </c>
    </row>
    <row r="167" spans="1:11" x14ac:dyDescent="0.2">
      <c r="C167" s="88" t="s">
        <v>149</v>
      </c>
      <c r="D167" s="50">
        <f>77.5039550683*Deflactores!$T$5</f>
        <v>120.54536421616326</v>
      </c>
      <c r="E167" s="50">
        <f>53.53657371515*Deflactores!$U$5</f>
        <v>81.948455002748076</v>
      </c>
      <c r="F167" s="50">
        <f>65.62099625465*Deflactores!$V$5</f>
        <v>95.101387486652285</v>
      </c>
      <c r="G167" s="50">
        <f>93.64234653543*Deflactores!$W$5</f>
        <v>119.97117851283778</v>
      </c>
      <c r="H167" s="50">
        <f>94.08753600713*Deflactores!$X$5</f>
        <v>110.30521515329681</v>
      </c>
      <c r="I167" s="50">
        <f>285.00499830429*Deflactores!$Y$5</f>
        <v>317.61476809347806</v>
      </c>
      <c r="J167" s="50">
        <f>445.435665317*Deflactores!$Z$5</f>
        <v>472.30904997600885</v>
      </c>
      <c r="K167" s="50">
        <f>42.34735456197*Deflactores!$AA$5</f>
        <v>42.34735456197</v>
      </c>
    </row>
    <row r="168" spans="1:11" x14ac:dyDescent="0.2">
      <c r="C168" s="87" t="s">
        <v>163</v>
      </c>
      <c r="D168" s="42">
        <f>21532.9132789412*Deflactores!$T$5</f>
        <v>33491.10211933808</v>
      </c>
      <c r="E168" s="42">
        <f>26588.2851117734*Deflactores!$U$5</f>
        <v>40698.698756394522</v>
      </c>
      <c r="F168" s="42">
        <f>24456.4148159139*Deflactores!$V$5</f>
        <v>35443.518304977268</v>
      </c>
      <c r="G168" s="42">
        <f>20791.6210137925*Deflactores!$W$5</f>
        <v>26637.470850575108</v>
      </c>
      <c r="H168" s="42">
        <f>24754.4512957481*Deflactores!$X$5</f>
        <v>29021.326225105728</v>
      </c>
      <c r="I168" s="42">
        <f>30329.7227876883*Deflactores!$Y$5</f>
        <v>33799.996234683917</v>
      </c>
      <c r="J168" s="42">
        <f>41492.6695267386*Deflactores!$Z$5</f>
        <v>43995.945657372744</v>
      </c>
      <c r="K168" s="42">
        <f>18808.6767136965*Deflactores!$AA$5</f>
        <v>18808.676713696499</v>
      </c>
    </row>
    <row r="169" spans="1:11" x14ac:dyDescent="0.2">
      <c r="C169" s="88" t="s">
        <v>150</v>
      </c>
      <c r="D169" s="50">
        <f>3693.74226959689*Deflactores!$T$5</f>
        <v>5745.0423893439784</v>
      </c>
      <c r="E169" s="50">
        <f>4254.5619864172*Deflactores!$U$5</f>
        <v>6512.4597505134825</v>
      </c>
      <c r="F169" s="50">
        <f>6780.91804662888*Deflactores!$V$5</f>
        <v>9827.2618746166881</v>
      </c>
      <c r="G169" s="50">
        <f>7204.54741245015*Deflactores!$W$5</f>
        <v>9230.2048774080467</v>
      </c>
      <c r="H169" s="50">
        <f>8133.89692879355*Deflactores!$X$5</f>
        <v>9535.9203656616282</v>
      </c>
      <c r="I169" s="50">
        <f>3698.37552451618*Deflactores!$Y$5</f>
        <v>4121.5371362984288</v>
      </c>
      <c r="J169" s="50">
        <f>2875.68323670499*Deflactores!$Z$5</f>
        <v>3049.174826612682</v>
      </c>
      <c r="K169" s="50">
        <f>1502.62135903751*Deflactores!$AA$5</f>
        <v>1502.62135903751</v>
      </c>
    </row>
    <row r="170" spans="1:11" x14ac:dyDescent="0.2">
      <c r="C170" s="87" t="s">
        <v>151</v>
      </c>
      <c r="D170" s="42">
        <f>2870.22447396841*Deflactores!$T$5</f>
        <v>4464.1883667970696</v>
      </c>
      <c r="E170" s="42">
        <f>3325.26543245578*Deflactores!$U$5</f>
        <v>5089.9851401338901</v>
      </c>
      <c r="F170" s="42">
        <f>4634.47821648233*Deflactores!$V$5</f>
        <v>6716.5287609132183</v>
      </c>
      <c r="G170" s="42">
        <f>4681.19939014682*Deflactores!$W$5</f>
        <v>5997.3828985266218</v>
      </c>
      <c r="H170" s="42">
        <f>4982.25223349219*Deflactores!$X$5</f>
        <v>5841.0330197370995</v>
      </c>
      <c r="I170" s="42">
        <f>5369.42881557816*Deflactores!$Y$5</f>
        <v>5983.7894008914491</v>
      </c>
      <c r="J170" s="42">
        <f>5806.97264535231*Deflactores!$Z$5</f>
        <v>6157.3105768509877</v>
      </c>
      <c r="K170" s="42">
        <f>2606.70771459834*Deflactores!$AA$5</f>
        <v>2606.7077145983399</v>
      </c>
    </row>
    <row r="171" spans="1:11" x14ac:dyDescent="0.2">
      <c r="C171" s="79" t="s">
        <v>152</v>
      </c>
      <c r="D171" s="44">
        <f t="shared" ref="D171:K171" si="8">SUM(D140:D170)</f>
        <v>259844.8365419684</v>
      </c>
      <c r="E171" s="44">
        <f t="shared" si="8"/>
        <v>308074.2224216357</v>
      </c>
      <c r="F171" s="44">
        <f t="shared" si="8"/>
        <v>335462.9505377537</v>
      </c>
      <c r="G171" s="44">
        <f t="shared" si="8"/>
        <v>292076.68562896649</v>
      </c>
      <c r="H171" s="44">
        <f t="shared" si="8"/>
        <v>326337.6476149974</v>
      </c>
      <c r="I171" s="44">
        <f t="shared" si="8"/>
        <v>322955.11337288684</v>
      </c>
      <c r="J171" s="44">
        <f t="shared" si="8"/>
        <v>341135.04994150408</v>
      </c>
      <c r="K171" s="44">
        <f t="shared" si="8"/>
        <v>170504.05126532863</v>
      </c>
    </row>
    <row r="172" spans="1:11" s="31" customFormat="1" x14ac:dyDescent="0.2">
      <c r="A172" s="5"/>
      <c r="B172" s="5"/>
      <c r="C172" s="72" t="str">
        <f>+'C1 Aprop Resumen 2000-2026'!B20</f>
        <v>* Información con corte a 30 de Junio</v>
      </c>
      <c r="D172" s="123">
        <f>+D171-'C6 Ejec. Nac 19-26'!D98</f>
        <v>9.0221874415874481E-10</v>
      </c>
      <c r="E172" s="123">
        <f>+E171-'C6 Ejec. Nac 19-26'!E98</f>
        <v>1.1641532182693481E-9</v>
      </c>
      <c r="F172" s="123">
        <f>+F171-'C6 Ejec. Nac 19-26'!F98</f>
        <v>0</v>
      </c>
      <c r="G172" s="123">
        <f>+G171-'C6 Ejec. Nac 19-26'!G98</f>
        <v>0</v>
      </c>
      <c r="H172" s="123">
        <f>+H171-'C6 Ejec. Nac 19-26'!H98</f>
        <v>7.5669959187507629E-10</v>
      </c>
      <c r="I172" s="123">
        <f>+I171-'C6 Ejec. Nac 19-26'!I98</f>
        <v>6.4028427004814148E-10</v>
      </c>
      <c r="J172" s="123">
        <f>+J171-'C6 Ejec. Nac 19-26'!J98</f>
        <v>0</v>
      </c>
      <c r="K172" s="123">
        <f>+K171-'C6 Ejec. Nac 19-26'!K98</f>
        <v>4.0745362639427185E-10</v>
      </c>
    </row>
    <row r="173" spans="1:11" x14ac:dyDescent="0.2">
      <c r="C173" s="1" t="s">
        <v>52</v>
      </c>
      <c r="D173" s="11"/>
      <c r="E173" s="11"/>
      <c r="F173" s="11"/>
      <c r="G173" s="11"/>
      <c r="H173" s="11"/>
    </row>
    <row r="174" spans="1:11" x14ac:dyDescent="0.2">
      <c r="B174" s="9"/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x14ac:dyDescent="0.2">
      <c r="D176" s="11"/>
      <c r="E176" s="11"/>
      <c r="F176" s="11"/>
      <c r="G176" s="11"/>
      <c r="H176" s="11"/>
    </row>
    <row r="177" spans="3:11" ht="18" customHeight="1" x14ac:dyDescent="0.2">
      <c r="D177" s="164" t="s">
        <v>157</v>
      </c>
      <c r="E177" s="182"/>
      <c r="F177" s="182"/>
      <c r="G177" s="182"/>
      <c r="H177" s="182"/>
      <c r="I177" s="182"/>
      <c r="J177" s="182"/>
      <c r="K177" s="182"/>
    </row>
    <row r="178" spans="3:11" x14ac:dyDescent="0.2">
      <c r="D178" s="28"/>
      <c r="E178" s="28"/>
      <c r="F178" s="28"/>
      <c r="G178" s="28"/>
      <c r="H178" s="28"/>
    </row>
    <row r="179" spans="3:11" ht="0.75" customHeight="1" x14ac:dyDescent="0.2">
      <c r="D179" s="29"/>
      <c r="E179" s="29"/>
      <c r="F179" s="29"/>
      <c r="G179" s="29"/>
      <c r="H179" s="29"/>
    </row>
    <row r="180" spans="3:11" x14ac:dyDescent="0.2">
      <c r="C180" s="181" t="s">
        <v>120</v>
      </c>
      <c r="D180" s="155">
        <v>2019</v>
      </c>
      <c r="E180" s="155">
        <v>2020</v>
      </c>
      <c r="F180" s="155">
        <v>2021</v>
      </c>
      <c r="G180" s="155">
        <v>2022</v>
      </c>
      <c r="H180" s="155">
        <v>2023</v>
      </c>
      <c r="I180" s="155">
        <v>2024</v>
      </c>
      <c r="J180" s="155">
        <v>2025</v>
      </c>
      <c r="K180" s="155" t="s">
        <v>36</v>
      </c>
    </row>
    <row r="181" spans="3:11" ht="12" customHeight="1" thickBot="1" x14ac:dyDescent="0.25">
      <c r="C181" s="162"/>
      <c r="D181" s="156"/>
      <c r="E181" s="156"/>
      <c r="F181" s="156"/>
      <c r="G181" s="156"/>
      <c r="H181" s="156"/>
      <c r="I181" s="156"/>
      <c r="J181" s="156"/>
      <c r="K181" s="156"/>
    </row>
    <row r="182" spans="3:11" x14ac:dyDescent="0.2">
      <c r="C182" s="87" t="s">
        <v>123</v>
      </c>
      <c r="D182" s="47">
        <f t="shared" ref="D182:D212" si="9">+IFERROR(IF(D140&gt;0,+((D140/D15)*100),""),"0")</f>
        <v>62.80499128901873</v>
      </c>
      <c r="E182" s="47">
        <f t="shared" ref="E182:K191" si="10">+IFERROR(IF(E140&gt;0,+((E140/E15)*100)," "),"0")</f>
        <v>77.296168240863054</v>
      </c>
      <c r="F182" s="47">
        <f t="shared" si="10"/>
        <v>79.230503775809552</v>
      </c>
      <c r="G182" s="47">
        <f t="shared" si="10"/>
        <v>74.020197389018421</v>
      </c>
      <c r="H182" s="47">
        <f t="shared" si="10"/>
        <v>74.26525477750647</v>
      </c>
      <c r="I182" s="47">
        <f t="shared" si="10"/>
        <v>37.935256742640718</v>
      </c>
      <c r="J182" s="47">
        <f t="shared" si="10"/>
        <v>58.888181464925552</v>
      </c>
      <c r="K182" s="47">
        <f t="shared" si="10"/>
        <v>31.028408292745439</v>
      </c>
    </row>
    <row r="183" spans="3:11" x14ac:dyDescent="0.2">
      <c r="C183" s="88" t="s">
        <v>124</v>
      </c>
      <c r="D183" s="116">
        <f t="shared" si="9"/>
        <v>87.564588833185425</v>
      </c>
      <c r="E183" s="116">
        <f t="shared" si="10"/>
        <v>79.049664100194377</v>
      </c>
      <c r="F183" s="116">
        <f t="shared" si="10"/>
        <v>64.122742139004387</v>
      </c>
      <c r="G183" s="116">
        <f t="shared" si="10"/>
        <v>58.93063947896097</v>
      </c>
      <c r="H183" s="116">
        <f t="shared" si="10"/>
        <v>45.1158810688271</v>
      </c>
      <c r="I183" s="116">
        <f t="shared" si="10"/>
        <v>50.57478724997172</v>
      </c>
      <c r="J183" s="116">
        <f t="shared" si="10"/>
        <v>78.801951594551838</v>
      </c>
      <c r="K183" s="116">
        <f t="shared" si="10"/>
        <v>26.728346329967835</v>
      </c>
    </row>
    <row r="184" spans="3:11" x14ac:dyDescent="0.2">
      <c r="C184" s="87" t="s">
        <v>125</v>
      </c>
      <c r="D184" s="47">
        <f t="shared" si="9"/>
        <v>44.722803911144545</v>
      </c>
      <c r="E184" s="47">
        <f t="shared" si="10"/>
        <v>67.456846529922771</v>
      </c>
      <c r="F184" s="47">
        <f t="shared" si="10"/>
        <v>87.440040952321453</v>
      </c>
      <c r="G184" s="47">
        <f t="shared" si="10"/>
        <v>87.732875024285349</v>
      </c>
      <c r="H184" s="47">
        <f t="shared" si="10"/>
        <v>65.903020561506921</v>
      </c>
      <c r="I184" s="47">
        <f t="shared" si="10"/>
        <v>87.441163299971208</v>
      </c>
      <c r="J184" s="47">
        <f t="shared" si="10"/>
        <v>95.437039070091885</v>
      </c>
      <c r="K184" s="47">
        <f t="shared" si="10"/>
        <v>27.617358856796102</v>
      </c>
    </row>
    <row r="185" spans="3:11" x14ac:dyDescent="0.2">
      <c r="C185" s="88" t="s">
        <v>126</v>
      </c>
      <c r="D185" s="116">
        <f t="shared" si="9"/>
        <v>81.275597373525173</v>
      </c>
      <c r="E185" s="116">
        <f t="shared" si="10"/>
        <v>79.641609345151195</v>
      </c>
      <c r="F185" s="116">
        <f t="shared" si="10"/>
        <v>67.658344063097204</v>
      </c>
      <c r="G185" s="116">
        <f t="shared" si="10"/>
        <v>75.914696021105598</v>
      </c>
      <c r="H185" s="116">
        <f t="shared" si="10"/>
        <v>67.500186578666018</v>
      </c>
      <c r="I185" s="116">
        <f t="shared" si="10"/>
        <v>61.406198375846465</v>
      </c>
      <c r="J185" s="116">
        <f t="shared" si="10"/>
        <v>84.284542010394048</v>
      </c>
      <c r="K185" s="116">
        <f t="shared" si="10"/>
        <v>35.973147400329772</v>
      </c>
    </row>
    <row r="186" spans="3:11" x14ac:dyDescent="0.2">
      <c r="C186" s="87" t="s">
        <v>127</v>
      </c>
      <c r="D186" s="47">
        <f t="shared" si="9"/>
        <v>91.253852543744131</v>
      </c>
      <c r="E186" s="47">
        <f t="shared" si="10"/>
        <v>92.844808913084037</v>
      </c>
      <c r="F186" s="47">
        <f t="shared" si="10"/>
        <v>93.114412859765835</v>
      </c>
      <c r="G186" s="47">
        <f t="shared" si="10"/>
        <v>88.548924937598898</v>
      </c>
      <c r="H186" s="47">
        <f t="shared" si="10"/>
        <v>87.004961386459527</v>
      </c>
      <c r="I186" s="47">
        <f t="shared" si="10"/>
        <v>80.592618923574378</v>
      </c>
      <c r="J186" s="47">
        <f t="shared" si="10"/>
        <v>79.220679139862796</v>
      </c>
      <c r="K186" s="47">
        <f t="shared" si="10"/>
        <v>51.97298542183885</v>
      </c>
    </row>
    <row r="187" spans="3:11" x14ac:dyDescent="0.2">
      <c r="C187" s="88" t="s">
        <v>128</v>
      </c>
      <c r="D187" s="116">
        <f t="shared" si="9"/>
        <v>95.015020583002936</v>
      </c>
      <c r="E187" s="116">
        <f t="shared" si="10"/>
        <v>95.316013090915391</v>
      </c>
      <c r="F187" s="116">
        <f t="shared" si="10"/>
        <v>83.075395379103284</v>
      </c>
      <c r="G187" s="116">
        <f t="shared" si="10"/>
        <v>79.653449758672977</v>
      </c>
      <c r="H187" s="116">
        <f t="shared" si="10"/>
        <v>75.355604405152093</v>
      </c>
      <c r="I187" s="116">
        <f t="shared" si="10"/>
        <v>64.673189850620702</v>
      </c>
      <c r="J187" s="116">
        <f t="shared" si="10"/>
        <v>65.955208315545931</v>
      </c>
      <c r="K187" s="116">
        <f t="shared" si="10"/>
        <v>33.172144780397581</v>
      </c>
    </row>
    <row r="188" spans="3:11" x14ac:dyDescent="0.2">
      <c r="C188" s="87" t="s">
        <v>129</v>
      </c>
      <c r="D188" s="47">
        <f t="shared" si="9"/>
        <v>96.442098016313395</v>
      </c>
      <c r="E188" s="47">
        <f t="shared" si="10"/>
        <v>96.867713838812719</v>
      </c>
      <c r="F188" s="47">
        <f t="shared" si="10"/>
        <v>95.350196147978551</v>
      </c>
      <c r="G188" s="47">
        <f t="shared" si="10"/>
        <v>95.161548021266256</v>
      </c>
      <c r="H188" s="47">
        <f t="shared" si="10"/>
        <v>94.855457770590618</v>
      </c>
      <c r="I188" s="47">
        <f t="shared" si="10"/>
        <v>89.981163729639746</v>
      </c>
      <c r="J188" s="47">
        <f t="shared" si="10"/>
        <v>92.267103189979693</v>
      </c>
      <c r="K188" s="47">
        <f t="shared" si="10"/>
        <v>42.635838082891325</v>
      </c>
    </row>
    <row r="189" spans="3:11" x14ac:dyDescent="0.2">
      <c r="C189" s="88" t="s">
        <v>130</v>
      </c>
      <c r="D189" s="116">
        <f t="shared" si="9"/>
        <v>53.139444061786087</v>
      </c>
      <c r="E189" s="116">
        <f t="shared" si="10"/>
        <v>52.325273124209716</v>
      </c>
      <c r="F189" s="116">
        <f t="shared" si="10"/>
        <v>87.480335581708673</v>
      </c>
      <c r="G189" s="116">
        <f t="shared" si="10"/>
        <v>61.924132354312036</v>
      </c>
      <c r="H189" s="116">
        <f t="shared" si="10"/>
        <v>59.063859819749595</v>
      </c>
      <c r="I189" s="116">
        <f t="shared" si="10"/>
        <v>36.023849351679452</v>
      </c>
      <c r="J189" s="116">
        <f t="shared" si="10"/>
        <v>67.519775372495346</v>
      </c>
      <c r="K189" s="116">
        <f t="shared" si="10"/>
        <v>54.182124059232031</v>
      </c>
    </row>
    <row r="190" spans="3:11" x14ac:dyDescent="0.2">
      <c r="C190" s="87" t="s">
        <v>131</v>
      </c>
      <c r="D190" s="47">
        <f t="shared" si="9"/>
        <v>99.625726641202348</v>
      </c>
      <c r="E190" s="47">
        <f t="shared" si="10"/>
        <v>99.902390549883251</v>
      </c>
      <c r="F190" s="47">
        <f t="shared" si="10"/>
        <v>99.886209118120192</v>
      </c>
      <c r="G190" s="47">
        <f t="shared" si="10"/>
        <v>99.784846815089779</v>
      </c>
      <c r="H190" s="47">
        <f t="shared" si="10"/>
        <v>98.040428909255311</v>
      </c>
      <c r="I190" s="47">
        <f t="shared" si="10"/>
        <v>96.397143168373461</v>
      </c>
      <c r="J190" s="47">
        <f t="shared" si="10"/>
        <v>97.300202858126696</v>
      </c>
      <c r="K190" s="47">
        <f t="shared" si="10"/>
        <v>49.901412841273277</v>
      </c>
    </row>
    <row r="191" spans="3:11" x14ac:dyDescent="0.2">
      <c r="C191" s="88" t="s">
        <v>132</v>
      </c>
      <c r="D191" s="116">
        <f t="shared" si="9"/>
        <v>89.247277962420185</v>
      </c>
      <c r="E191" s="116">
        <f t="shared" si="10"/>
        <v>89.056109840892944</v>
      </c>
      <c r="F191" s="116">
        <f t="shared" si="10"/>
        <v>93.051984086644595</v>
      </c>
      <c r="G191" s="116">
        <f t="shared" si="10"/>
        <v>90.677919809316066</v>
      </c>
      <c r="H191" s="116">
        <f t="shared" si="10"/>
        <v>92.82995784022404</v>
      </c>
      <c r="I191" s="116">
        <f t="shared" si="10"/>
        <v>92.555748335718647</v>
      </c>
      <c r="J191" s="116">
        <f t="shared" si="10"/>
        <v>91.473431028237968</v>
      </c>
      <c r="K191" s="116">
        <f t="shared" si="10"/>
        <v>40.712970982244251</v>
      </c>
    </row>
    <row r="192" spans="3:11" x14ac:dyDescent="0.2">
      <c r="C192" s="87" t="s">
        <v>133</v>
      </c>
      <c r="D192" s="47">
        <f t="shared" si="9"/>
        <v>94.533263050887953</v>
      </c>
      <c r="E192" s="47">
        <f t="shared" ref="E192:K201" si="11">+IFERROR(IF(E150&gt;0,+((E150/E25)*100)," "),"0")</f>
        <v>94.574407551242331</v>
      </c>
      <c r="F192" s="47">
        <f t="shared" si="11"/>
        <v>92.31622954943785</v>
      </c>
      <c r="G192" s="47">
        <f t="shared" si="11"/>
        <v>94.763408497991037</v>
      </c>
      <c r="H192" s="47">
        <f t="shared" si="11"/>
        <v>94.616012923151288</v>
      </c>
      <c r="I192" s="47">
        <f t="shared" si="11"/>
        <v>92.870651444993669</v>
      </c>
      <c r="J192" s="47">
        <f t="shared" si="11"/>
        <v>92.261145845405437</v>
      </c>
      <c r="K192" s="47">
        <f t="shared" si="11"/>
        <v>40.314689065415877</v>
      </c>
    </row>
    <row r="193" spans="3:11" x14ac:dyDescent="0.2">
      <c r="C193" s="88" t="s">
        <v>134</v>
      </c>
      <c r="D193" s="116">
        <f t="shared" si="9"/>
        <v>80.583344618244269</v>
      </c>
      <c r="E193" s="116">
        <f t="shared" si="11"/>
        <v>41.074698254832832</v>
      </c>
      <c r="F193" s="116">
        <f t="shared" si="11"/>
        <v>77.546408063079923</v>
      </c>
      <c r="G193" s="116">
        <f t="shared" si="11"/>
        <v>77.071983078659628</v>
      </c>
      <c r="H193" s="116">
        <f t="shared" si="11"/>
        <v>81.731451043473882</v>
      </c>
      <c r="I193" s="116">
        <f t="shared" si="11"/>
        <v>69.659049778633772</v>
      </c>
      <c r="J193" s="116">
        <f t="shared" si="11"/>
        <v>68.759275981654042</v>
      </c>
      <c r="K193" s="116">
        <f t="shared" si="11"/>
        <v>26.643478320692282</v>
      </c>
    </row>
    <row r="194" spans="3:11" x14ac:dyDescent="0.2">
      <c r="C194" s="87" t="s">
        <v>135</v>
      </c>
      <c r="D194" s="47" t="str">
        <f t="shared" si="9"/>
        <v/>
      </c>
      <c r="E194" s="47" t="str">
        <f t="shared" si="11"/>
        <v xml:space="preserve"> </v>
      </c>
      <c r="F194" s="47" t="str">
        <f t="shared" si="11"/>
        <v xml:space="preserve"> </v>
      </c>
      <c r="G194" s="47" t="str">
        <f t="shared" si="11"/>
        <v xml:space="preserve"> </v>
      </c>
      <c r="H194" s="47">
        <f t="shared" si="11"/>
        <v>0.58282805051800002</v>
      </c>
      <c r="I194" s="47">
        <f t="shared" si="11"/>
        <v>76.19041597154677</v>
      </c>
      <c r="J194" s="47">
        <f t="shared" si="11"/>
        <v>93.432211612762529</v>
      </c>
      <c r="K194" s="47">
        <f t="shared" si="11"/>
        <v>47.771725058486382</v>
      </c>
    </row>
    <row r="195" spans="3:11" x14ac:dyDescent="0.2">
      <c r="C195" s="88" t="s">
        <v>136</v>
      </c>
      <c r="D195" s="116">
        <f t="shared" si="9"/>
        <v>88.025963526836932</v>
      </c>
      <c r="E195" s="116">
        <f t="shared" si="11"/>
        <v>97.29174363397307</v>
      </c>
      <c r="F195" s="116">
        <f t="shared" si="11"/>
        <v>92.957361934142895</v>
      </c>
      <c r="G195" s="116">
        <f t="shared" si="11"/>
        <v>96.81842690725108</v>
      </c>
      <c r="H195" s="116">
        <f t="shared" si="11"/>
        <v>88.349656389800955</v>
      </c>
      <c r="I195" s="116">
        <f t="shared" si="11"/>
        <v>72.407698388690108</v>
      </c>
      <c r="J195" s="116">
        <f t="shared" si="11"/>
        <v>73.084756787525208</v>
      </c>
      <c r="K195" s="116">
        <f t="shared" si="11"/>
        <v>36.905627151207554</v>
      </c>
    </row>
    <row r="196" spans="3:11" x14ac:dyDescent="0.2">
      <c r="C196" s="87" t="s">
        <v>137</v>
      </c>
      <c r="D196" s="47">
        <f t="shared" si="9"/>
        <v>87.29285140082699</v>
      </c>
      <c r="E196" s="47">
        <f t="shared" si="11"/>
        <v>86.183936464390229</v>
      </c>
      <c r="F196" s="47">
        <f t="shared" si="11"/>
        <v>66.391295800390765</v>
      </c>
      <c r="G196" s="47">
        <f t="shared" si="11"/>
        <v>63.187948938643437</v>
      </c>
      <c r="H196" s="47">
        <f t="shared" si="11"/>
        <v>56.242864547797332</v>
      </c>
      <c r="I196" s="47">
        <f t="shared" si="11"/>
        <v>62.244296676679809</v>
      </c>
      <c r="J196" s="47">
        <f t="shared" si="11"/>
        <v>71.107355645049893</v>
      </c>
      <c r="K196" s="47">
        <f t="shared" si="11"/>
        <v>35.27562971370083</v>
      </c>
    </row>
    <row r="197" spans="3:11" x14ac:dyDescent="0.2">
      <c r="C197" s="88" t="s">
        <v>138</v>
      </c>
      <c r="D197" s="116">
        <f t="shared" si="9"/>
        <v>93.49554615047974</v>
      </c>
      <c r="E197" s="116">
        <f t="shared" si="11"/>
        <v>97.939832663448939</v>
      </c>
      <c r="F197" s="116">
        <f t="shared" si="11"/>
        <v>94.697338290005291</v>
      </c>
      <c r="G197" s="116">
        <f t="shared" si="11"/>
        <v>95.264977782914741</v>
      </c>
      <c r="H197" s="116">
        <f t="shared" si="11"/>
        <v>85.345665664192509</v>
      </c>
      <c r="I197" s="116">
        <f t="shared" si="11"/>
        <v>81.651901211623596</v>
      </c>
      <c r="J197" s="116">
        <f t="shared" si="11"/>
        <v>85.586638961646997</v>
      </c>
      <c r="K197" s="116">
        <f t="shared" si="11"/>
        <v>36.141659305700372</v>
      </c>
    </row>
    <row r="198" spans="3:11" x14ac:dyDescent="0.2">
      <c r="C198" s="87" t="s">
        <v>160</v>
      </c>
      <c r="D198" s="47">
        <f t="shared" si="9"/>
        <v>85.694486654970717</v>
      </c>
      <c r="E198" s="47">
        <f t="shared" si="11"/>
        <v>86.022646678747208</v>
      </c>
      <c r="F198" s="47">
        <f t="shared" si="11"/>
        <v>82.453755913630133</v>
      </c>
      <c r="G198" s="47">
        <f t="shared" si="11"/>
        <v>70.112444128732207</v>
      </c>
      <c r="H198" s="47">
        <f t="shared" si="11"/>
        <v>68.503931568318947</v>
      </c>
      <c r="I198" s="47">
        <f t="shared" si="11"/>
        <v>69.674369746777259</v>
      </c>
      <c r="J198" s="47">
        <f t="shared" si="11"/>
        <v>79.076720274235711</v>
      </c>
      <c r="K198" s="47">
        <f t="shared" si="11"/>
        <v>35.76226197105278</v>
      </c>
    </row>
    <row r="199" spans="3:11" x14ac:dyDescent="0.2">
      <c r="C199" s="88" t="s">
        <v>161</v>
      </c>
      <c r="D199" s="116">
        <f t="shared" si="9"/>
        <v>74.703704523438134</v>
      </c>
      <c r="E199" s="116">
        <f t="shared" si="11"/>
        <v>78.310511957262818</v>
      </c>
      <c r="F199" s="116">
        <f t="shared" si="11"/>
        <v>65.539871313098359</v>
      </c>
      <c r="G199" s="116">
        <f t="shared" si="11"/>
        <v>67.195585833441456</v>
      </c>
      <c r="H199" s="116">
        <f t="shared" si="11"/>
        <v>78.251506356779743</v>
      </c>
      <c r="I199" s="116">
        <f t="shared" si="11"/>
        <v>79.157337742048966</v>
      </c>
      <c r="J199" s="116">
        <f t="shared" si="11"/>
        <v>81.841154657613373</v>
      </c>
      <c r="K199" s="116">
        <f t="shared" si="11"/>
        <v>36.420788145389572</v>
      </c>
    </row>
    <row r="200" spans="3:11" x14ac:dyDescent="0.2">
      <c r="C200" s="87" t="s">
        <v>140</v>
      </c>
      <c r="D200" s="47">
        <f t="shared" si="9"/>
        <v>83.284026055782135</v>
      </c>
      <c r="E200" s="47">
        <f t="shared" si="11"/>
        <v>87.773443513781558</v>
      </c>
      <c r="F200" s="47">
        <f t="shared" si="11"/>
        <v>92.42074668415512</v>
      </c>
      <c r="G200" s="47">
        <f t="shared" si="11"/>
        <v>84.456572780263855</v>
      </c>
      <c r="H200" s="47">
        <f t="shared" si="11"/>
        <v>89.347956797609271</v>
      </c>
      <c r="I200" s="47">
        <f t="shared" si="11"/>
        <v>59.520346145031098</v>
      </c>
      <c r="J200" s="47">
        <f t="shared" si="11"/>
        <v>67.673615970785931</v>
      </c>
      <c r="K200" s="47">
        <f t="shared" si="11"/>
        <v>48.710453872835444</v>
      </c>
    </row>
    <row r="201" spans="3:11" x14ac:dyDescent="0.2">
      <c r="C201" s="88" t="s">
        <v>141</v>
      </c>
      <c r="D201" s="116">
        <f t="shared" si="9"/>
        <v>89.164665070714619</v>
      </c>
      <c r="E201" s="116">
        <f t="shared" si="11"/>
        <v>81.530163302576284</v>
      </c>
      <c r="F201" s="116">
        <f t="shared" si="11"/>
        <v>82.093589607645129</v>
      </c>
      <c r="G201" s="116">
        <f t="shared" si="11"/>
        <v>84.862665298943327</v>
      </c>
      <c r="H201" s="116">
        <f t="shared" si="11"/>
        <v>81.726790858084357</v>
      </c>
      <c r="I201" s="116">
        <f t="shared" si="11"/>
        <v>87.272224913819315</v>
      </c>
      <c r="J201" s="116">
        <f t="shared" si="11"/>
        <v>90.606678601799061</v>
      </c>
      <c r="K201" s="116">
        <f t="shared" si="11"/>
        <v>38.51903118935904</v>
      </c>
    </row>
    <row r="202" spans="3:11" x14ac:dyDescent="0.2">
      <c r="C202" s="87" t="s">
        <v>142</v>
      </c>
      <c r="D202" s="47">
        <f t="shared" si="9"/>
        <v>60.882079580165403</v>
      </c>
      <c r="E202" s="47">
        <f t="shared" ref="E202:K211" si="12">+IFERROR(IF(E160&gt;0,+((E160/E35)*100)," "),"0")</f>
        <v>71.101937447123902</v>
      </c>
      <c r="F202" s="47">
        <f t="shared" si="12"/>
        <v>71.277795505784354</v>
      </c>
      <c r="G202" s="47">
        <f t="shared" si="12"/>
        <v>42.224668933593897</v>
      </c>
      <c r="H202" s="47">
        <f t="shared" si="12"/>
        <v>36.025292592153022</v>
      </c>
      <c r="I202" s="47">
        <f t="shared" si="12"/>
        <v>50.04221914121495</v>
      </c>
      <c r="J202" s="47">
        <f t="shared" si="12"/>
        <v>54.305088356442312</v>
      </c>
      <c r="K202" s="47">
        <f t="shared" si="12"/>
        <v>33.899378652706538</v>
      </c>
    </row>
    <row r="203" spans="3:11" x14ac:dyDescent="0.2">
      <c r="C203" s="88" t="s">
        <v>143</v>
      </c>
      <c r="D203" s="116">
        <f t="shared" si="9"/>
        <v>41.45898119309183</v>
      </c>
      <c r="E203" s="116">
        <f t="shared" si="12"/>
        <v>34.429716370254745</v>
      </c>
      <c r="F203" s="116">
        <f t="shared" si="12"/>
        <v>44.984890318347723</v>
      </c>
      <c r="G203" s="116">
        <f t="shared" si="12"/>
        <v>19.027437084292025</v>
      </c>
      <c r="H203" s="116">
        <f t="shared" si="12"/>
        <v>15.987918580025386</v>
      </c>
      <c r="I203" s="116">
        <f t="shared" si="12"/>
        <v>27.909394728916659</v>
      </c>
      <c r="J203" s="116">
        <f t="shared" si="12"/>
        <v>40.876554501746782</v>
      </c>
      <c r="K203" s="116">
        <f t="shared" si="12"/>
        <v>4.4103287180039352</v>
      </c>
    </row>
    <row r="204" spans="3:11" x14ac:dyDescent="0.2">
      <c r="C204" s="87" t="s">
        <v>144</v>
      </c>
      <c r="D204" s="47">
        <f t="shared" si="9"/>
        <v>92.055786386296674</v>
      </c>
      <c r="E204" s="47">
        <f t="shared" si="12"/>
        <v>91.212052595898271</v>
      </c>
      <c r="F204" s="47">
        <f t="shared" si="12"/>
        <v>88.584144738900818</v>
      </c>
      <c r="G204" s="47">
        <f t="shared" si="12"/>
        <v>89.177798178279104</v>
      </c>
      <c r="H204" s="47">
        <f t="shared" si="12"/>
        <v>83.301550763753767</v>
      </c>
      <c r="I204" s="47">
        <f t="shared" si="12"/>
        <v>85.122574500398173</v>
      </c>
      <c r="J204" s="47">
        <f t="shared" si="12"/>
        <v>86.288157466998712</v>
      </c>
      <c r="K204" s="47">
        <f t="shared" si="12"/>
        <v>37.539114762897036</v>
      </c>
    </row>
    <row r="205" spans="3:11" x14ac:dyDescent="0.2">
      <c r="C205" s="88" t="s">
        <v>145</v>
      </c>
      <c r="D205" s="116">
        <f t="shared" si="9"/>
        <v>91.615975876715964</v>
      </c>
      <c r="E205" s="116">
        <f t="shared" si="12"/>
        <v>88.418232050564299</v>
      </c>
      <c r="F205" s="116">
        <f t="shared" si="12"/>
        <v>84.949677845803805</v>
      </c>
      <c r="G205" s="116">
        <f t="shared" si="12"/>
        <v>92.425422192139123</v>
      </c>
      <c r="H205" s="116">
        <f t="shared" si="12"/>
        <v>77.531120916050881</v>
      </c>
      <c r="I205" s="116">
        <f t="shared" si="12"/>
        <v>57.677418715178675</v>
      </c>
      <c r="J205" s="116">
        <f t="shared" si="12"/>
        <v>73.378388247966186</v>
      </c>
      <c r="K205" s="116">
        <f t="shared" si="12"/>
        <v>30.187731616385459</v>
      </c>
    </row>
    <row r="206" spans="3:11" x14ac:dyDescent="0.2">
      <c r="C206" s="87" t="s">
        <v>146</v>
      </c>
      <c r="D206" s="47">
        <f t="shared" si="9"/>
        <v>93.981468947125933</v>
      </c>
      <c r="E206" s="47">
        <f t="shared" si="12"/>
        <v>90.36701870808686</v>
      </c>
      <c r="F206" s="47">
        <f t="shared" si="12"/>
        <v>89.65749232550813</v>
      </c>
      <c r="G206" s="47">
        <f t="shared" si="12"/>
        <v>93.00953467450816</v>
      </c>
      <c r="H206" s="47">
        <f t="shared" si="12"/>
        <v>91.578355976937644</v>
      </c>
      <c r="I206" s="47">
        <f t="shared" si="12"/>
        <v>90.938678394476597</v>
      </c>
      <c r="J206" s="47">
        <f t="shared" si="12"/>
        <v>91.716736179015442</v>
      </c>
      <c r="K206" s="47">
        <f t="shared" si="12"/>
        <v>41.908058650019193</v>
      </c>
    </row>
    <row r="207" spans="3:11" x14ac:dyDescent="0.2">
      <c r="C207" s="88" t="s">
        <v>162</v>
      </c>
      <c r="D207" s="116">
        <f t="shared" si="9"/>
        <v>99.495514883589536</v>
      </c>
      <c r="E207" s="116">
        <f t="shared" si="12"/>
        <v>97.404676912153818</v>
      </c>
      <c r="F207" s="116">
        <f t="shared" si="12"/>
        <v>99.323754378489809</v>
      </c>
      <c r="G207" s="116">
        <f t="shared" si="12"/>
        <v>99.682672563841436</v>
      </c>
      <c r="H207" s="116">
        <f t="shared" si="12"/>
        <v>93.009910844817384</v>
      </c>
      <c r="I207" s="116">
        <f t="shared" si="12"/>
        <v>94.170505890144824</v>
      </c>
      <c r="J207" s="116">
        <f t="shared" si="12"/>
        <v>96.194212323614622</v>
      </c>
      <c r="K207" s="116">
        <f t="shared" si="12"/>
        <v>45.509268056910344</v>
      </c>
    </row>
    <row r="208" spans="3:11" x14ac:dyDescent="0.2">
      <c r="C208" s="87" t="s">
        <v>148</v>
      </c>
      <c r="D208" s="47">
        <f t="shared" si="9"/>
        <v>82.43625636278685</v>
      </c>
      <c r="E208" s="47">
        <f t="shared" si="12"/>
        <v>90.368507872220832</v>
      </c>
      <c r="F208" s="47">
        <f t="shared" si="12"/>
        <v>92.385350588348842</v>
      </c>
      <c r="G208" s="47">
        <f t="shared" si="12"/>
        <v>93.416782552066749</v>
      </c>
      <c r="H208" s="47">
        <f t="shared" si="12"/>
        <v>88.239746000821711</v>
      </c>
      <c r="I208" s="47">
        <f t="shared" si="12"/>
        <v>90.113354982101853</v>
      </c>
      <c r="J208" s="47">
        <f t="shared" si="12"/>
        <v>87.762986227475835</v>
      </c>
      <c r="K208" s="47">
        <f t="shared" si="12"/>
        <v>45.706718286778802</v>
      </c>
    </row>
    <row r="209" spans="1:11" x14ac:dyDescent="0.2">
      <c r="C209" s="88" t="s">
        <v>149</v>
      </c>
      <c r="D209" s="116">
        <f t="shared" si="9"/>
        <v>92.798551950071811</v>
      </c>
      <c r="E209" s="116">
        <f t="shared" si="12"/>
        <v>98.374462350665425</v>
      </c>
      <c r="F209" s="116">
        <f t="shared" si="12"/>
        <v>80.131535169235917</v>
      </c>
      <c r="G209" s="116">
        <f t="shared" si="12"/>
        <v>87.685846951981844</v>
      </c>
      <c r="H209" s="116">
        <f t="shared" si="12"/>
        <v>86.956893440752154</v>
      </c>
      <c r="I209" s="116">
        <f t="shared" si="12"/>
        <v>30.763590932333241</v>
      </c>
      <c r="J209" s="116">
        <f t="shared" si="12"/>
        <v>70.516948997349289</v>
      </c>
      <c r="K209" s="116">
        <f t="shared" si="12"/>
        <v>13.848629575829419</v>
      </c>
    </row>
    <row r="210" spans="1:11" x14ac:dyDescent="0.2">
      <c r="C210" s="87" t="s">
        <v>163</v>
      </c>
      <c r="D210" s="47">
        <f t="shared" si="9"/>
        <v>81.614732763022687</v>
      </c>
      <c r="E210" s="47">
        <f t="shared" si="12"/>
        <v>86.232694591215164</v>
      </c>
      <c r="F210" s="47">
        <f t="shared" si="12"/>
        <v>93.412409210854236</v>
      </c>
      <c r="G210" s="47">
        <f t="shared" si="12"/>
        <v>63.33586588446606</v>
      </c>
      <c r="H210" s="47">
        <f t="shared" si="12"/>
        <v>76.391950340669908</v>
      </c>
      <c r="I210" s="47">
        <f t="shared" si="12"/>
        <v>80.046610257234391</v>
      </c>
      <c r="J210" s="47">
        <f t="shared" si="12"/>
        <v>85.108305860020337</v>
      </c>
      <c r="K210" s="47">
        <f t="shared" si="12"/>
        <v>35.01090951398961</v>
      </c>
    </row>
    <row r="211" spans="1:11" x14ac:dyDescent="0.2">
      <c r="C211" s="88" t="s">
        <v>150</v>
      </c>
      <c r="D211" s="116">
        <f t="shared" si="9"/>
        <v>78.743881325206715</v>
      </c>
      <c r="E211" s="116">
        <f t="shared" si="12"/>
        <v>84.17725809681545</v>
      </c>
      <c r="F211" s="116">
        <f t="shared" si="12"/>
        <v>85.402455408322126</v>
      </c>
      <c r="G211" s="116">
        <f t="shared" si="12"/>
        <v>80.045506402940802</v>
      </c>
      <c r="H211" s="116">
        <f t="shared" si="12"/>
        <v>87.224357721441578</v>
      </c>
      <c r="I211" s="116">
        <f t="shared" si="12"/>
        <v>36.424453507290465</v>
      </c>
      <c r="J211" s="116">
        <f t="shared" si="12"/>
        <v>32.55878724075594</v>
      </c>
      <c r="K211" s="116">
        <f t="shared" si="12"/>
        <v>14.241849513310701</v>
      </c>
    </row>
    <row r="212" spans="1:11" x14ac:dyDescent="0.2">
      <c r="C212" s="87" t="s">
        <v>151</v>
      </c>
      <c r="D212" s="47">
        <f t="shared" si="9"/>
        <v>69.150836009374046</v>
      </c>
      <c r="E212" s="47">
        <f t="shared" ref="E212:K212" si="13">+IFERROR(IF(E170&gt;0,+((E170/E45)*100)," "),"0")</f>
        <v>76.133529724589849</v>
      </c>
      <c r="F212" s="47">
        <f t="shared" si="13"/>
        <v>77.544052944887952</v>
      </c>
      <c r="G212" s="47">
        <f t="shared" si="13"/>
        <v>80.370931023961205</v>
      </c>
      <c r="H212" s="47">
        <f t="shared" si="13"/>
        <v>62.666731143996266</v>
      </c>
      <c r="I212" s="47">
        <f t="shared" si="13"/>
        <v>58.7391396942011</v>
      </c>
      <c r="J212" s="47">
        <f t="shared" si="13"/>
        <v>69.596660851060292</v>
      </c>
      <c r="K212" s="47">
        <f t="shared" si="13"/>
        <v>35.558530407010906</v>
      </c>
    </row>
    <row r="213" spans="1:11" x14ac:dyDescent="0.2">
      <c r="C213" s="91" t="s">
        <v>154</v>
      </c>
      <c r="D213" s="74">
        <f t="shared" ref="D213:K213" si="14">+IFERROR(IF(D171&gt;0,+((D171/D46)*100)," "),"")</f>
        <v>90.983088319626688</v>
      </c>
      <c r="E213" s="74">
        <f t="shared" si="14"/>
        <v>83.581379015370032</v>
      </c>
      <c r="F213" s="74">
        <f t="shared" si="14"/>
        <v>90.873209648279357</v>
      </c>
      <c r="G213" s="74">
        <f t="shared" si="14"/>
        <v>86.976362147503679</v>
      </c>
      <c r="H213" s="74">
        <f t="shared" si="14"/>
        <v>86.192507653798941</v>
      </c>
      <c r="I213" s="74">
        <f t="shared" si="14"/>
        <v>81.914818002567785</v>
      </c>
      <c r="J213" s="74">
        <f t="shared" si="14"/>
        <v>86.590911694030055</v>
      </c>
      <c r="K213" s="74">
        <f t="shared" si="14"/>
        <v>40.057769789633859</v>
      </c>
    </row>
    <row r="214" spans="1:11" s="31" customFormat="1" x14ac:dyDescent="0.2">
      <c r="A214" s="5"/>
      <c r="B214" s="5"/>
      <c r="C214" s="72" t="str">
        <f>+'C1 Aprop Resumen 2000-2026'!B20</f>
        <v>* Información con corte a 30 de Junio</v>
      </c>
      <c r="D214" s="69"/>
      <c r="E214" s="69"/>
      <c r="F214" s="69"/>
      <c r="G214" s="69"/>
      <c r="H214" s="69"/>
      <c r="I214" s="69"/>
    </row>
    <row r="215" spans="1:11" x14ac:dyDescent="0.2">
      <c r="C215" s="1" t="s">
        <v>52</v>
      </c>
      <c r="D215" s="11"/>
      <c r="E215" s="11"/>
      <c r="F215" s="11"/>
      <c r="G215" s="11"/>
      <c r="H215" s="11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x14ac:dyDescent="0.2">
      <c r="E218" s="3"/>
      <c r="F218" s="3"/>
      <c r="G218" s="3"/>
      <c r="H218" s="3"/>
    </row>
    <row r="219" spans="1:11" ht="18" customHeight="1" x14ac:dyDescent="0.2">
      <c r="D219" s="164" t="s">
        <v>158</v>
      </c>
      <c r="E219" s="182"/>
      <c r="F219" s="182"/>
      <c r="G219" s="182"/>
      <c r="H219" s="182"/>
      <c r="I219" s="182"/>
      <c r="J219" s="182"/>
      <c r="K219" s="182"/>
    </row>
    <row r="220" spans="1:11" ht="15.75" customHeight="1" x14ac:dyDescent="0.2">
      <c r="C220" s="2"/>
      <c r="D220" s="2"/>
      <c r="E220" s="2"/>
      <c r="F220" s="2"/>
      <c r="G220" s="2"/>
      <c r="H220" s="2"/>
      <c r="I220" s="2"/>
    </row>
    <row r="221" spans="1:11" x14ac:dyDescent="0.2">
      <c r="C221" s="181" t="s">
        <v>120</v>
      </c>
      <c r="D221" s="155">
        <v>2019</v>
      </c>
      <c r="E221" s="155">
        <v>2020</v>
      </c>
      <c r="F221" s="155">
        <v>2021</v>
      </c>
      <c r="G221" s="155">
        <v>2022</v>
      </c>
      <c r="H221" s="155">
        <v>2023</v>
      </c>
      <c r="I221" s="155">
        <v>2024</v>
      </c>
      <c r="J221" s="155">
        <v>2025</v>
      </c>
      <c r="K221" s="155" t="s">
        <v>36</v>
      </c>
    </row>
    <row r="222" spans="1:11" ht="12" customHeight="1" thickBot="1" x14ac:dyDescent="0.25">
      <c r="C222" s="162"/>
      <c r="D222" s="156"/>
      <c r="E222" s="156"/>
      <c r="F222" s="156"/>
      <c r="G222" s="156"/>
      <c r="H222" s="156"/>
      <c r="I222" s="156"/>
      <c r="J222" s="156"/>
      <c r="K222" s="156"/>
    </row>
    <row r="223" spans="1:11" x14ac:dyDescent="0.2">
      <c r="C223" s="87" t="s">
        <v>123</v>
      </c>
      <c r="D223" s="42">
        <f>1374.5236197029*Deflactores!$T$5</f>
        <v>2137.8579998245182</v>
      </c>
      <c r="E223" s="42">
        <f>1354.66498409864*Deflactores!$U$5</f>
        <v>2073.5862381456623</v>
      </c>
      <c r="F223" s="42">
        <f>1825.468423817*Deflactores!$V$5</f>
        <v>2645.5645270055934</v>
      </c>
      <c r="G223" s="42">
        <f>1848.9534942491*Deflactores!$W$5</f>
        <v>2368.812165942114</v>
      </c>
      <c r="H223" s="42">
        <f>3921.50128442903*Deflactores!$X$5</f>
        <v>4597.4425652946657</v>
      </c>
      <c r="I223" s="42">
        <f>2935.70081774282*Deflactores!$Y$5</f>
        <v>3271.5985332429332</v>
      </c>
      <c r="J223" s="42">
        <f>2899.49578536027*Deflactores!$Z$5</f>
        <v>3074.4239997449654</v>
      </c>
      <c r="K223" s="42">
        <f>1234.12044723625*Deflactores!$AA$5</f>
        <v>1234.1204472362499</v>
      </c>
    </row>
    <row r="224" spans="1:11" x14ac:dyDescent="0.2">
      <c r="C224" s="88" t="s">
        <v>124</v>
      </c>
      <c r="D224" s="50">
        <f>428.39701168164*Deflactores!$T$5</f>
        <v>666.30501316701327</v>
      </c>
      <c r="E224" s="50">
        <f>450.855166770209*Deflactores!$U$5</f>
        <v>690.12418582120745</v>
      </c>
      <c r="F224" s="50">
        <f>616.33638925214*Deflactores!$V$5</f>
        <v>893.22700235960554</v>
      </c>
      <c r="G224" s="50">
        <f>655.125229197739*Deflactores!$W$5</f>
        <v>839.32268603081741</v>
      </c>
      <c r="H224" s="50">
        <f>783.412386774399*Deflactores!$X$5</f>
        <v>918.4476025640563</v>
      </c>
      <c r="I224" s="50">
        <f>882.15436276788*Deflactores!$Y$5</f>
        <v>983.08891079175396</v>
      </c>
      <c r="J224" s="50">
        <f>1173.31400729172*Deflactores!$Z$5</f>
        <v>1244.1007024282985</v>
      </c>
      <c r="K224" s="50">
        <f>399.349355721399*Deflactores!$AA$5</f>
        <v>399.34935572139898</v>
      </c>
    </row>
    <row r="225" spans="3:11" x14ac:dyDescent="0.2">
      <c r="C225" s="87" t="s">
        <v>125</v>
      </c>
      <c r="D225" s="42">
        <f>149.694147083799*Deflactores!$T$5</f>
        <v>232.82599533588254</v>
      </c>
      <c r="E225" s="42">
        <f>181.39481218701*Deflactores!$U$5</f>
        <v>277.66111225815263</v>
      </c>
      <c r="F225" s="42">
        <f>359.09389512792*Deflactores!$V$5</f>
        <v>520.41769576504498</v>
      </c>
      <c r="G225" s="42">
        <f>289.95241495917*Deflactores!$W$5</f>
        <v>371.47651914226213</v>
      </c>
      <c r="H225" s="42">
        <f>319.49584403501*Deflactores!$X$5</f>
        <v>374.56669939996391</v>
      </c>
      <c r="I225" s="42">
        <f>325.936003998869*Deflactores!$Y$5</f>
        <v>363.22902734810555</v>
      </c>
      <c r="J225" s="42">
        <f>258.78871391763*Deflactores!$Z$5</f>
        <v>274.40158283680239</v>
      </c>
      <c r="K225" s="42">
        <f>104.906129813789*Deflactores!$AA$5</f>
        <v>104.90612981378899</v>
      </c>
    </row>
    <row r="226" spans="3:11" x14ac:dyDescent="0.2">
      <c r="C226" s="88" t="s">
        <v>126</v>
      </c>
      <c r="D226" s="50">
        <f>528.011563687739*Deflactores!$T$5</f>
        <v>821.23997670820404</v>
      </c>
      <c r="E226" s="50">
        <f>580.78696720044*Deflactores!$U$5</f>
        <v>889.01084520355221</v>
      </c>
      <c r="F226" s="50">
        <f>511.653573928369*Deflactores!$V$5</f>
        <v>741.51517913969906</v>
      </c>
      <c r="G226" s="50">
        <f>548.165041677429*Deflactores!$W$5</f>
        <v>702.28917260950846</v>
      </c>
      <c r="H226" s="50">
        <f>646.00912959269*Deflactores!$X$5</f>
        <v>757.36042258897817</v>
      </c>
      <c r="I226" s="50">
        <f>587.47361073326*Deflactores!$Y$5</f>
        <v>654.69130627269408</v>
      </c>
      <c r="J226" s="50">
        <f>775.652538634139*Deflactores!$Z$5</f>
        <v>822.44809331343879</v>
      </c>
      <c r="K226" s="50">
        <f>428.39378896688*Deflactores!$AA$5</f>
        <v>428.39378896687998</v>
      </c>
    </row>
    <row r="227" spans="3:11" x14ac:dyDescent="0.2">
      <c r="C227" s="87" t="s">
        <v>127</v>
      </c>
      <c r="D227" s="42">
        <f>590.718796580859*Deflactores!$T$5</f>
        <v>918.77133780361567</v>
      </c>
      <c r="E227" s="42">
        <f>638.02575551002*Deflactores!$U$5</f>
        <v>976.62628158087239</v>
      </c>
      <c r="F227" s="42">
        <f>721.634458326659*Deflactores!$V$5</f>
        <v>1045.8304835654019</v>
      </c>
      <c r="G227" s="42">
        <f>857.723168894179*Deflactores!$W$5</f>
        <v>1098.8838193099637</v>
      </c>
      <c r="H227" s="42">
        <f>1029.66146273524*Deflactores!$X$5</f>
        <v>1207.1421359515894</v>
      </c>
      <c r="I227" s="42">
        <f>1105.21615243026*Deflactores!$Y$5</f>
        <v>1231.6730374409692</v>
      </c>
      <c r="J227" s="42">
        <f>1240.68824212831*Deflactores!$Z$5</f>
        <v>1315.5396628130363</v>
      </c>
      <c r="K227" s="42">
        <f>683.324977379679*Deflactores!$AA$5</f>
        <v>683.32497737967901</v>
      </c>
    </row>
    <row r="228" spans="3:11" x14ac:dyDescent="0.2">
      <c r="C228" s="88" t="s">
        <v>128</v>
      </c>
      <c r="D228" s="50">
        <f>353.19433093369*Deflactores!$T$5</f>
        <v>549.3389237228721</v>
      </c>
      <c r="E228" s="50">
        <f>347.229679142999*Deflactores!$U$5</f>
        <v>531.50461006839532</v>
      </c>
      <c r="F228" s="50">
        <f>466.31876775687*Deflactores!$V$5</f>
        <v>675.8136016809068</v>
      </c>
      <c r="G228" s="50">
        <f>435.90646250568*Deflactores!$W$5</f>
        <v>558.46755194651234</v>
      </c>
      <c r="H228" s="50">
        <f>592.8377686229*Deflactores!$X$5</f>
        <v>695.024021183782</v>
      </c>
      <c r="I228" s="50">
        <f>829.09424592496*Deflactores!$Y$5</f>
        <v>923.95774886004676</v>
      </c>
      <c r="J228" s="50">
        <f>695.378178799869*Deflactores!$Z$5</f>
        <v>737.330736121634</v>
      </c>
      <c r="K228" s="50">
        <f>381.60679416866*Deflactores!$AA$5</f>
        <v>381.60679416865997</v>
      </c>
    </row>
    <row r="229" spans="3:11" x14ac:dyDescent="0.2">
      <c r="C229" s="87" t="s">
        <v>129</v>
      </c>
      <c r="D229" s="42">
        <f>30172.5840187327*Deflactores!$T$5</f>
        <v>46928.768043846096</v>
      </c>
      <c r="E229" s="42">
        <f>32394.7338629646*Deflactores!$U$5</f>
        <v>49586.632204367546</v>
      </c>
      <c r="F229" s="42">
        <f>34703.4178789916*Deflactores!$V$5</f>
        <v>50294.012270307918</v>
      </c>
      <c r="G229" s="42">
        <f>37604.7043569396*Deflactores!$W$5</f>
        <v>48177.783516156873</v>
      </c>
      <c r="H229" s="42">
        <f>42804.9236524632*Deflactores!$X$5</f>
        <v>50183.122159215556</v>
      </c>
      <c r="I229" s="42">
        <f>47511.2336449671*Deflactores!$Y$5</f>
        <v>52947.385294169188</v>
      </c>
      <c r="J229" s="42">
        <f>52779.655422297*Deflactores!$Z$5</f>
        <v>55963.881771401604</v>
      </c>
      <c r="K229" s="42">
        <f>26608.8207510313*Deflactores!$AA$5</f>
        <v>26608.8207510313</v>
      </c>
    </row>
    <row r="230" spans="3:11" x14ac:dyDescent="0.2">
      <c r="C230" s="88" t="s">
        <v>130</v>
      </c>
      <c r="D230" s="50">
        <f>265.49873125778*Deflactores!$T$5</f>
        <v>412.94203928295525</v>
      </c>
      <c r="E230" s="50">
        <f>241.72499380414*Deflactores!$U$5</f>
        <v>370.00854561958073</v>
      </c>
      <c r="F230" s="50">
        <f>671.405099608279*Deflactores!$V$5</f>
        <v>973.03546399353399</v>
      </c>
      <c r="G230" s="50">
        <f>556.0546970758*Deflactores!$W$5</f>
        <v>712.39711299355918</v>
      </c>
      <c r="H230" s="50">
        <f>560.3728200612*Deflactores!$X$5</f>
        <v>656.96315480326962</v>
      </c>
      <c r="I230" s="50">
        <f>381.16451859876*Deflactores!$Y$5</f>
        <v>424.77669128789131</v>
      </c>
      <c r="J230" s="50">
        <f>303.56938040264*Deflactores!$Z$5</f>
        <v>321.88389216148499</v>
      </c>
      <c r="K230" s="50">
        <f>268.79058012281*Deflactores!$AA$5</f>
        <v>268.79058012281001</v>
      </c>
    </row>
    <row r="231" spans="3:11" x14ac:dyDescent="0.2">
      <c r="C231" s="87" t="s">
        <v>131</v>
      </c>
      <c r="D231" s="42">
        <f>40977.6007010194*Deflactores!$T$5</f>
        <v>63734.293260980528</v>
      </c>
      <c r="E231" s="42">
        <f>44542.0803143363*Deflactores!$U$5</f>
        <v>68180.580322331007</v>
      </c>
      <c r="F231" s="42">
        <f>48007.4308988293*Deflactores!$V$5</f>
        <v>69574.885306998462</v>
      </c>
      <c r="G231" s="42">
        <f>49615.1936994321*Deflactores!$W$5</f>
        <v>63565.18691051253</v>
      </c>
      <c r="H231" s="42">
        <f>57835.0534622293*Deflactores!$X$5</f>
        <v>67803.965182701621</v>
      </c>
      <c r="I231" s="42">
        <f>67434.6390814473*Deflactores!$Y$5</f>
        <v>75150.391679986482</v>
      </c>
      <c r="J231" s="42">
        <f>77978.1751343283*Deflactores!$Z$5</f>
        <v>82682.642375183495</v>
      </c>
      <c r="K231" s="42">
        <f>43242.8995682857*Deflactores!$AA$5</f>
        <v>43242.899568285698</v>
      </c>
    </row>
    <row r="232" spans="3:11" x14ac:dyDescent="0.2">
      <c r="C232" s="88" t="s">
        <v>132</v>
      </c>
      <c r="D232" s="50">
        <f>38.27005130279*Deflactores!$T$5</f>
        <v>59.523120707848328</v>
      </c>
      <c r="E232" s="50">
        <f>41.62546077393*Deflactores!$U$5</f>
        <v>63.716109614160061</v>
      </c>
      <c r="F232" s="50">
        <f>48.67735150476*Deflactores!$V$5</f>
        <v>70.545769364940412</v>
      </c>
      <c r="G232" s="50">
        <f>47.4077347732499*Deflactores!$W$5</f>
        <v>60.737070586104082</v>
      </c>
      <c r="H232" s="50">
        <f>50.22890642754*Deflactores!$X$5</f>
        <v>58.886761897821941</v>
      </c>
      <c r="I232" s="50">
        <f>55.1557393394*Deflactores!$Y$5</f>
        <v>61.466561862203541</v>
      </c>
      <c r="J232" s="50">
        <f>57.4865748570999*Deflactores!$Z$5</f>
        <v>60.954772307711174</v>
      </c>
      <c r="K232" s="50">
        <f>25.56936374158*Deflactores!$AA$5</f>
        <v>25.569363741579998</v>
      </c>
    </row>
    <row r="233" spans="3:11" x14ac:dyDescent="0.2">
      <c r="C233" s="87" t="s">
        <v>133</v>
      </c>
      <c r="D233" s="42">
        <f>3591.84068853191*Deflactores!$T$5</f>
        <v>5586.5503073224108</v>
      </c>
      <c r="E233" s="42">
        <f>3724.14006846164*Deflactores!$U$5</f>
        <v>5700.5427065254389</v>
      </c>
      <c r="F233" s="42">
        <f>4063.76633314423*Deflactores!$V$5</f>
        <v>5889.4231840647453</v>
      </c>
      <c r="G233" s="42">
        <f>4474.61794994299*Deflactores!$W$5</f>
        <v>5732.7182488560184</v>
      </c>
      <c r="H233" s="42">
        <f>5110.05691316257*Deflactores!$X$5</f>
        <v>5990.8671347209493</v>
      </c>
      <c r="I233" s="42">
        <f>5540.84247165307*Deflactores!$Y$5</f>
        <v>6174.8159055008882</v>
      </c>
      <c r="J233" s="42">
        <f>6277.17017625438*Deflactores!$Z$5</f>
        <v>6655.8753897143151</v>
      </c>
      <c r="K233" s="42">
        <f>2875.54295780295*Deflactores!$AA$5</f>
        <v>2875.5429578029498</v>
      </c>
    </row>
    <row r="234" spans="3:11" x14ac:dyDescent="0.2">
      <c r="C234" s="88" t="s">
        <v>134</v>
      </c>
      <c r="D234" s="50">
        <f>8261.82754716844*Deflactores!$T$5</f>
        <v>12849.989524881614</v>
      </c>
      <c r="E234" s="50">
        <f>16676.8266887735*Deflactores!$U$5</f>
        <v>25527.225346265408</v>
      </c>
      <c r="F234" s="50">
        <f>18427.01631508*Deflactores!$V$5</f>
        <v>26705.39794919841</v>
      </c>
      <c r="G234" s="50">
        <f>13790.6361797094*Deflactores!$W$5</f>
        <v>17668.062966529105</v>
      </c>
      <c r="H234" s="50">
        <f>33717.9644058336*Deflactores!$X$5</f>
        <v>39529.862042883462</v>
      </c>
      <c r="I234" s="50">
        <f>22514.5759077686*Deflactores!$Y$5</f>
        <v>25090.654017351997</v>
      </c>
      <c r="J234" s="50">
        <f>16836.2458360386*Deflactores!$Z$5</f>
        <v>17851.986033320543</v>
      </c>
      <c r="K234" s="50">
        <f>8586.42759734117*Deflactores!$AA$5</f>
        <v>8586.4275973411695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2.4945375108185122</v>
      </c>
      <c r="I235" s="42">
        <f>5975.77673694903*Deflactores!$Y$5</f>
        <v>6659.5145831724803</v>
      </c>
      <c r="J235" s="42">
        <f>6396.59127492356*Deflactores!$Z$5</f>
        <v>6782.5012305512655</v>
      </c>
      <c r="K235" s="42">
        <f>3194.43887567444*Deflactores!$AA$5</f>
        <v>3194.4388756744402</v>
      </c>
    </row>
    <row r="236" spans="3:11" x14ac:dyDescent="0.2">
      <c r="C236" s="88" t="s">
        <v>136</v>
      </c>
      <c r="D236" s="50">
        <f>7786.81706038601*Deflactores!$T$5</f>
        <v>12111.18449118721</v>
      </c>
      <c r="E236" s="50">
        <f>15090.8226641128*Deflactores!$U$5</f>
        <v>23099.528345321451</v>
      </c>
      <c r="F236" s="50">
        <f>19401.6632413681*Deflactores!$V$5</f>
        <v>28117.907363714214</v>
      </c>
      <c r="G236" s="50">
        <f>19544.371627505*Deflactores!$W$5</f>
        <v>25039.540167412328</v>
      </c>
      <c r="H236" s="50">
        <f>15898.5929592737*Deflactores!$X$5</f>
        <v>18639.00141751485</v>
      </c>
      <c r="I236" s="50">
        <f>9494.79262429018*Deflactores!$Y$5</f>
        <v>10581.170068602962</v>
      </c>
      <c r="J236" s="50">
        <f>7953.59132193004*Deflactores!$Z$5</f>
        <v>8433.4359676493495</v>
      </c>
      <c r="K236" s="50">
        <f>4852.09815185624*Deflactores!$AA$5</f>
        <v>4852.0981518562403</v>
      </c>
    </row>
    <row r="237" spans="3:11" x14ac:dyDescent="0.2">
      <c r="C237" s="87" t="s">
        <v>137</v>
      </c>
      <c r="D237" s="42">
        <f>296.325927645849*Deflactores!$T$5</f>
        <v>460.88895519309426</v>
      </c>
      <c r="E237" s="42">
        <f>293.08952318894*Deflactores!$U$5</f>
        <v>448.63225148883521</v>
      </c>
      <c r="F237" s="42">
        <f>332.728546873749*Deflactores!$V$5</f>
        <v>482.20765105907532</v>
      </c>
      <c r="G237" s="42">
        <f>369.006456644629*Deflactores!$W$5</f>
        <v>472.7576905150782</v>
      </c>
      <c r="H237" s="42">
        <f>544.26986285765*Deflactores!$X$5</f>
        <v>638.08456328815851</v>
      </c>
      <c r="I237" s="42">
        <f>763.82657951088*Deflactores!$Y$5</f>
        <v>851.22227104229353</v>
      </c>
      <c r="J237" s="42">
        <f>687.51153610221*Deflactores!$Z$5</f>
        <v>728.98949443774711</v>
      </c>
      <c r="K237" s="42">
        <f>269.40220794399*Deflactores!$AA$5</f>
        <v>269.40220794398999</v>
      </c>
    </row>
    <row r="238" spans="3:11" x14ac:dyDescent="0.2">
      <c r="C238" s="88" t="s">
        <v>138</v>
      </c>
      <c r="D238" s="50">
        <f>90.91803301492*Deflactores!$T$5</f>
        <v>141.40887899130388</v>
      </c>
      <c r="E238" s="50">
        <f>97.64146220211*Deflactores!$U$5</f>
        <v>149.45982561838511</v>
      </c>
      <c r="F238" s="50">
        <f>110.959760434319*Deflactores!$V$5</f>
        <v>160.80870109835493</v>
      </c>
      <c r="G238" s="50">
        <f>104.84531844711*Deflactores!$W$5</f>
        <v>134.32401985884087</v>
      </c>
      <c r="H238" s="50">
        <f>120.72652510224*Deflactores!$X$5</f>
        <v>141.53591316392132</v>
      </c>
      <c r="I238" s="50">
        <f>137.50576549373*Deflactores!$Y$5</f>
        <v>153.2389329262856</v>
      </c>
      <c r="J238" s="50">
        <f>150.50415071102*Deflactores!$Z$5</f>
        <v>159.5841509215023</v>
      </c>
      <c r="K238" s="50">
        <f>64.20867063336*Deflactores!$AA$5</f>
        <v>64.208670633360001</v>
      </c>
    </row>
    <row r="239" spans="3:11" x14ac:dyDescent="0.2">
      <c r="C239" s="87" t="s">
        <v>160</v>
      </c>
      <c r="D239" s="42">
        <f>1097.96245394162*Deflactores!$T$5</f>
        <v>1707.710061885595</v>
      </c>
      <c r="E239" s="42">
        <f>1439.59142977107*Deflactores!$U$5</f>
        <v>2203.5831828280038</v>
      </c>
      <c r="F239" s="42">
        <f>1717.38638048212*Deflactores!$V$5</f>
        <v>2488.9263643716149</v>
      </c>
      <c r="G239" s="42">
        <f>2020.18493649506*Deflactores!$W$5</f>
        <v>2588.1876801698386</v>
      </c>
      <c r="H239" s="42">
        <f>2184.83586177424*Deflactores!$X$5</f>
        <v>2561.4316203304893</v>
      </c>
      <c r="I239" s="42">
        <f>2702.24361276346*Deflactores!$Y$5</f>
        <v>3011.4295661706283</v>
      </c>
      <c r="J239" s="42">
        <f>3313.44947988915*Deflactores!$Z$5</f>
        <v>3513.3517538974179</v>
      </c>
      <c r="K239" s="42">
        <f>1558.09589091298*Deflactores!$AA$5</f>
        <v>1558.0958909129799</v>
      </c>
    </row>
    <row r="240" spans="3:11" x14ac:dyDescent="0.2">
      <c r="C240" s="88" t="s">
        <v>161</v>
      </c>
      <c r="D240" s="50">
        <f>1719.20600166329*Deflactores!$T$5</f>
        <v>2673.9579089929507</v>
      </c>
      <c r="E240" s="50">
        <f>1949.46055561898*Deflactores!$U$5</f>
        <v>2984.0400596380719</v>
      </c>
      <c r="F240" s="50">
        <f>1930.31305959053*Deflactores!$V$5</f>
        <v>2797.5108689035774</v>
      </c>
      <c r="G240" s="50">
        <f>2163.75767425189*Deflactores!$W$5</f>
        <v>2772.1278652279361</v>
      </c>
      <c r="H240" s="50">
        <f>2614.09170153964*Deflactores!$X$5</f>
        <v>3064.6774249346545</v>
      </c>
      <c r="I240" s="50">
        <f>3147.44613073082*Deflactores!$Y$5</f>
        <v>3507.571371893855</v>
      </c>
      <c r="J240" s="50">
        <f>3512.29405163421*Deflactores!$Z$5</f>
        <v>3724.1927306902376</v>
      </c>
      <c r="K240" s="50">
        <f>1655.45757753112*Deflactores!$AA$5</f>
        <v>1655.45757753112</v>
      </c>
    </row>
    <row r="241" spans="1:11" x14ac:dyDescent="0.2">
      <c r="C241" s="87" t="s">
        <v>140</v>
      </c>
      <c r="D241" s="42">
        <f>2658.57779432611*Deflactores!$T$5</f>
        <v>4135.0048295164306</v>
      </c>
      <c r="E241" s="42">
        <f>2806.37415424228*Deflactores!$U$5</f>
        <v>4295.7180510548533</v>
      </c>
      <c r="F241" s="42">
        <f>4263.41456946192*Deflactores!$V$5</f>
        <v>6178.7638732763935</v>
      </c>
      <c r="G241" s="42">
        <f>3870.83766876571*Deflactores!$W$5</f>
        <v>4959.1768482435909</v>
      </c>
      <c r="H241" s="42">
        <f>6286.42254781569*Deflactores!$X$5</f>
        <v>7370.0005453304466</v>
      </c>
      <c r="I241" s="42">
        <f>4326.2786665899*Deflactores!$Y$5</f>
        <v>4821.2838496595214</v>
      </c>
      <c r="J241" s="42">
        <f>4637.44124197104*Deflactores!$Z$5</f>
        <v>4917.2206849582772</v>
      </c>
      <c r="K241" s="42">
        <f>4851.23925958901*Deflactores!$AA$5</f>
        <v>4851.2392595890096</v>
      </c>
    </row>
    <row r="242" spans="1:11" x14ac:dyDescent="0.2">
      <c r="C242" s="88" t="s">
        <v>141</v>
      </c>
      <c r="D242" s="50">
        <f>1672.83205147256*Deflactores!$T$5</f>
        <v>2601.8304322602153</v>
      </c>
      <c r="E242" s="50">
        <f>1889.69121760328*Deflactores!$U$5</f>
        <v>2892.55110980381</v>
      </c>
      <c r="F242" s="50">
        <f>2302.00496950201*Deflactores!$V$5</f>
        <v>3336.1862680543591</v>
      </c>
      <c r="G242" s="50">
        <f>2657.95311838425*Deflactores!$W$5</f>
        <v>3405.2731466290402</v>
      </c>
      <c r="H242" s="50">
        <f>3239.61072399584*Deflactores!$X$5</f>
        <v>3798.0159018747072</v>
      </c>
      <c r="I242" s="50">
        <f>3715.77608011546*Deflactores!$Y$5</f>
        <v>4140.9286328133858</v>
      </c>
      <c r="J242" s="50">
        <f>3829.42274883732*Deflactores!$Z$5</f>
        <v>4060.4539808744485</v>
      </c>
      <c r="K242" s="50">
        <f>1927.75315843122*Deflactores!$AA$5</f>
        <v>1927.7531584312201</v>
      </c>
    </row>
    <row r="243" spans="1:11" x14ac:dyDescent="0.2">
      <c r="C243" s="87" t="s">
        <v>142</v>
      </c>
      <c r="D243" s="42">
        <f>220.51089401282*Deflactores!$T$5</f>
        <v>342.97044594669109</v>
      </c>
      <c r="E243" s="42">
        <f>195.28724429575*Deflactores!$U$5</f>
        <v>298.92626369647945</v>
      </c>
      <c r="F243" s="42">
        <f>591.64686121763*Deflactores!$V$5</f>
        <v>857.4456441589349</v>
      </c>
      <c r="G243" s="42">
        <f>640.83902079036*Deflactores!$W$5</f>
        <v>821.01971389774724</v>
      </c>
      <c r="H243" s="42">
        <f>575.39055364896*Deflactores!$X$5</f>
        <v>674.56946489292091</v>
      </c>
      <c r="I243" s="42">
        <f>608.29843257647*Deflactores!$Y$5</f>
        <v>677.89886754239967</v>
      </c>
      <c r="J243" s="42">
        <f>480.31906651887*Deflactores!$Z$5</f>
        <v>509.29698642663419</v>
      </c>
      <c r="K243" s="42">
        <f>482.77123757757*Deflactores!$AA$5</f>
        <v>482.77123757756999</v>
      </c>
    </row>
    <row r="244" spans="1:11" x14ac:dyDescent="0.2">
      <c r="C244" s="88" t="s">
        <v>143</v>
      </c>
      <c r="D244" s="50">
        <f>651.625834976689*Deflactores!$T$5</f>
        <v>1013.5027759641973</v>
      </c>
      <c r="E244" s="50">
        <f>1826.25670939078*Deflactores!$U$5</f>
        <v>2795.451882469386</v>
      </c>
      <c r="F244" s="50">
        <f>3914.71937952626*Deflactores!$V$5</f>
        <v>5673.4165261541957</v>
      </c>
      <c r="G244" s="50">
        <f>1129.70880620657*Deflactores!$W$5</f>
        <v>1447.3419544826756</v>
      </c>
      <c r="H244" s="50">
        <f>860.4377369337*Deflactores!$X$5</f>
        <v>1008.7496572478548</v>
      </c>
      <c r="I244" s="50">
        <f>802.61166152891*Deflactores!$Y$5</f>
        <v>894.44507381395169</v>
      </c>
      <c r="J244" s="50">
        <f>1662.45518891137*Deflactores!$Z$5</f>
        <v>1762.7520471303599</v>
      </c>
      <c r="K244" s="50">
        <f>419.121675128079*Deflactores!$AA$5</f>
        <v>419.121675128079</v>
      </c>
    </row>
    <row r="245" spans="1:11" x14ac:dyDescent="0.2">
      <c r="C245" s="87" t="s">
        <v>144</v>
      </c>
      <c r="D245" s="42">
        <f>4232.35534150447*Deflactores!$T$5</f>
        <v>6582.7713654648605</v>
      </c>
      <c r="E245" s="42">
        <f>4421.24411213156*Deflactores!$U$5</f>
        <v>6767.6001476472684</v>
      </c>
      <c r="F245" s="42">
        <f>4785.50039786024*Deflactores!$V$5</f>
        <v>6935.3980224307516</v>
      </c>
      <c r="G245" s="42">
        <f>5346.23046215966*Deflactores!$W$5</f>
        <v>6849.3965911443038</v>
      </c>
      <c r="H245" s="42">
        <f>6570.46967753509*Deflactores!$X$5</f>
        <v>7703.0083069004859</v>
      </c>
      <c r="I245" s="42">
        <f>7916.94243764156*Deflactores!$Y$5</f>
        <v>8822.7850434266911</v>
      </c>
      <c r="J245" s="42">
        <f>9141.72520762009*Deflactores!$Z$5</f>
        <v>9693.2506400896673</v>
      </c>
      <c r="K245" s="42">
        <f>4086.50162429414*Deflactores!$AA$5</f>
        <v>4086.5016242941401</v>
      </c>
    </row>
    <row r="246" spans="1:11" x14ac:dyDescent="0.2">
      <c r="C246" s="88" t="s">
        <v>145</v>
      </c>
      <c r="D246" s="50">
        <f>1333.59996583611*Deflactores!$T$5</f>
        <v>2074.2076124851742</v>
      </c>
      <c r="E246" s="50">
        <f>569.39360321888*Deflactores!$U$5</f>
        <v>871.57101835657215</v>
      </c>
      <c r="F246" s="50">
        <f>1147.51624400191*Deflactores!$V$5</f>
        <v>1663.0406911921937</v>
      </c>
      <c r="G246" s="50">
        <f>2975.62918084341*Deflactores!$W$5</f>
        <v>3812.268197571334</v>
      </c>
      <c r="H246" s="50">
        <f>2538.75845875478*Deflactores!$X$5</f>
        <v>2976.3591427665488</v>
      </c>
      <c r="I246" s="50">
        <f>823.19798720536*Deflactores!$Y$5</f>
        <v>917.38685060567502</v>
      </c>
      <c r="J246" s="50">
        <f>2137.74130619113*Deflactores!$Z$5</f>
        <v>2266.7124436545896</v>
      </c>
      <c r="K246" s="50">
        <f>1956.16666380492*Deflactores!$AA$5</f>
        <v>1956.1666638049201</v>
      </c>
    </row>
    <row r="247" spans="1:11" x14ac:dyDescent="0.2">
      <c r="C247" s="87" t="s">
        <v>146</v>
      </c>
      <c r="D247" s="42">
        <f>686.441248616227*Deflactores!$T$5</f>
        <v>1067.6527443602106</v>
      </c>
      <c r="E247" s="42">
        <f>734.68455077984*Deflactores!$U$5</f>
        <v>1124.5819385292207</v>
      </c>
      <c r="F247" s="42">
        <f>849.167730690979*Deflactores!$V$5</f>
        <v>1230.6583869013027</v>
      </c>
      <c r="G247" s="42">
        <f>1118.18407755045*Deflactores!$W$5</f>
        <v>1432.5768900639594</v>
      </c>
      <c r="H247" s="42">
        <f>1165.03562418147*Deflactores!$X$5</f>
        <v>1365.850469044635</v>
      </c>
      <c r="I247" s="42">
        <f>1109.27376451784*Deflactores!$Y$5</f>
        <v>1236.1949143549805</v>
      </c>
      <c r="J247" s="42">
        <f>1191.28644692404*Deflactores!$Z$5</f>
        <v>1263.1574294697925</v>
      </c>
      <c r="K247" s="42">
        <f>534.35818656177*Deflactores!$AA$5</f>
        <v>534.35818656177003</v>
      </c>
    </row>
    <row r="248" spans="1:11" x14ac:dyDescent="0.2">
      <c r="C248" s="88" t="s">
        <v>162</v>
      </c>
      <c r="D248" s="50">
        <f>28839.5270752715*Deflactores!$T$5</f>
        <v>44855.405018323007</v>
      </c>
      <c r="E248" s="50">
        <f>33943.6406658278*Deflactores!$U$5</f>
        <v>51957.544472926973</v>
      </c>
      <c r="F248" s="50">
        <f>42881.9380821954*Deflactores!$V$5</f>
        <v>62146.752449594416</v>
      </c>
      <c r="G248" s="50">
        <f>41675.2722217218*Deflactores!$W$5</f>
        <v>53392.847448473411</v>
      </c>
      <c r="H248" s="50">
        <f>49402.6262663407*Deflactores!$X$5</f>
        <v>57918.057488865139</v>
      </c>
      <c r="I248" s="50">
        <f>57114.0852882323*Deflactores!$Y$5</f>
        <v>63648.978304321819</v>
      </c>
      <c r="J248" s="50">
        <f>63575.7322715495*Deflactores!$Z$5</f>
        <v>67411.292019769578</v>
      </c>
      <c r="K248" s="50">
        <f>35376.222788029*Deflactores!$AA$5</f>
        <v>35376.222788029001</v>
      </c>
    </row>
    <row r="249" spans="1:11" x14ac:dyDescent="0.2">
      <c r="C249" s="87" t="s">
        <v>148</v>
      </c>
      <c r="D249" s="42">
        <f>352.420446609169*Deflactores!$T$5</f>
        <v>548.13526685557611</v>
      </c>
      <c r="E249" s="42">
        <f>450.87958405192*Deflactores!$U$5</f>
        <v>690.16156136418169</v>
      </c>
      <c r="F249" s="42">
        <f>535.1094240807*Deflactores!$V$5</f>
        <v>775.50862668671971</v>
      </c>
      <c r="G249" s="42">
        <f>576.51937841711*Deflactores!$W$5</f>
        <v>738.61572059196783</v>
      </c>
      <c r="H249" s="42">
        <f>644.01339596486*Deflactores!$X$5</f>
        <v>755.02068837391948</v>
      </c>
      <c r="I249" s="42">
        <f>767.60169333726*Deflactores!$Y$5</f>
        <v>855.42932674175881</v>
      </c>
      <c r="J249" s="42">
        <f>847.94544815153*Deflactores!$Z$5</f>
        <v>899.10247479378359</v>
      </c>
      <c r="K249" s="42">
        <f>430.77283444235*Deflactores!$AA$5</f>
        <v>430.77283444235002</v>
      </c>
    </row>
    <row r="250" spans="1:11" x14ac:dyDescent="0.2">
      <c r="C250" s="88" t="s">
        <v>149</v>
      </c>
      <c r="D250" s="50">
        <f>76.85321696477*Deflactores!$T$5</f>
        <v>119.53324216858219</v>
      </c>
      <c r="E250" s="50">
        <f>53.49254585887*Deflactores!$U$5</f>
        <v>81.881061545362741</v>
      </c>
      <c r="F250" s="50">
        <f>65.41212541591*Deflactores!$V$5</f>
        <v>94.798680918580843</v>
      </c>
      <c r="G250" s="50">
        <f>92.25661037743*Deflactores!$W$5</f>
        <v>118.19582359987422</v>
      </c>
      <c r="H250" s="50">
        <f>92.48053646739*Deflactores!$X$5</f>
        <v>108.4212203384168</v>
      </c>
      <c r="I250" s="50">
        <f>282.726079722299*Deflactores!$Y$5</f>
        <v>315.07509966229429</v>
      </c>
      <c r="J250" s="50">
        <f>442.35153891415*Deflactores!$Z$5</f>
        <v>469.03885648959522</v>
      </c>
      <c r="K250" s="50">
        <f>41.83242777455*Deflactores!$AA$5</f>
        <v>41.832427774549998</v>
      </c>
    </row>
    <row r="251" spans="1:11" x14ac:dyDescent="0.2">
      <c r="C251" s="87" t="s">
        <v>163</v>
      </c>
      <c r="D251" s="42">
        <f>21531.5833113476*Deflactores!$T$5</f>
        <v>33489.033561316428</v>
      </c>
      <c r="E251" s="42">
        <f>26586.3721218911*Deflactores!$U$5</f>
        <v>40695.770542009261</v>
      </c>
      <c r="F251" s="42">
        <f>24455.6616910438*Deflactores!$V$5</f>
        <v>35442.426836938299</v>
      </c>
      <c r="G251" s="42">
        <f>20777.1404423986*Deflactores!$W$5</f>
        <v>26618.918867632128</v>
      </c>
      <c r="H251" s="42">
        <f>24740.1031414796*Deflactores!$X$5</f>
        <v>29004.504908374474</v>
      </c>
      <c r="I251" s="42">
        <f>30313.9050061192*Deflactores!$Y$5</f>
        <v>33782.368610415164</v>
      </c>
      <c r="J251" s="42">
        <f>41491.9393155908*Deflactores!$Z$5</f>
        <v>43995.171392174969</v>
      </c>
      <c r="K251" s="42">
        <f>18805.2070133077*Deflactores!$AA$5</f>
        <v>18805.2070133077</v>
      </c>
    </row>
    <row r="252" spans="1:11" x14ac:dyDescent="0.2">
      <c r="C252" s="88" t="s">
        <v>150</v>
      </c>
      <c r="D252" s="50">
        <f>3689.63055844923*Deflactores!$T$5</f>
        <v>5738.6472612836169</v>
      </c>
      <c r="E252" s="50">
        <f>4166.98887658157*Deflactores!$U$5</f>
        <v>6378.4115559278616</v>
      </c>
      <c r="F252" s="50">
        <f>6610.99787436704*Deflactores!$V$5</f>
        <v>9581.0046541172833</v>
      </c>
      <c r="G252" s="50">
        <f>7125.41080414208*Deflactores!$W$5</f>
        <v>9128.8179246725576</v>
      </c>
      <c r="H252" s="50">
        <f>8113.54740423082*Deflactores!$X$5</f>
        <v>9512.0632345216527</v>
      </c>
      <c r="I252" s="50">
        <f>3689.90035131081*Deflactores!$Y$5</f>
        <v>4112.0922487063108</v>
      </c>
      <c r="J252" s="50">
        <f>2859.98363380552*Deflactores!$Z$5</f>
        <v>3032.5280578247089</v>
      </c>
      <c r="K252" s="50">
        <f>1344.72409723606*Deflactores!$AA$5</f>
        <v>1344.7240972360601</v>
      </c>
    </row>
    <row r="253" spans="1:11" x14ac:dyDescent="0.2">
      <c r="C253" s="87" t="s">
        <v>151</v>
      </c>
      <c r="D253" s="42">
        <f>2870.07757536141*Deflactores!$T$5</f>
        <v>4463.9598888301307</v>
      </c>
      <c r="E253" s="42">
        <f>3319.86225084878*Deflactores!$U$5</f>
        <v>5081.7144878663621</v>
      </c>
      <c r="F253" s="42">
        <f>4630.21356292883*Deflactores!$V$5</f>
        <v>6710.3482014393285</v>
      </c>
      <c r="G253" s="42">
        <f>4675.1983063523*Deflactores!$W$5</f>
        <v>5989.6945275938151</v>
      </c>
      <c r="H253" s="42">
        <f>4971.177049343*Deflactores!$X$5</f>
        <v>5828.0488283948353</v>
      </c>
      <c r="I253" s="42">
        <f>5369.05664420796*Deflactores!$Y$5</f>
        <v>5983.3746463287553</v>
      </c>
      <c r="J253" s="42">
        <f>5806.3741104193*Deflactores!$Z$5</f>
        <v>6156.6759319682387</v>
      </c>
      <c r="K253" s="42">
        <f>2606.63708133001*Deflactores!$AA$5</f>
        <v>2606.63708133001</v>
      </c>
    </row>
    <row r="254" spans="1:11" x14ac:dyDescent="0.2">
      <c r="C254" s="79" t="s">
        <v>152</v>
      </c>
      <c r="D254" s="44">
        <f t="shared" ref="D254:K254" si="15">SUM(D223:D253)</f>
        <v>259026.21028460888</v>
      </c>
      <c r="E254" s="44">
        <f t="shared" si="15"/>
        <v>307684.34626589337</v>
      </c>
      <c r="F254" s="44">
        <f t="shared" si="15"/>
        <v>334702.77824445383</v>
      </c>
      <c r="G254" s="44">
        <f t="shared" si="15"/>
        <v>291577.21881839586</v>
      </c>
      <c r="H254" s="44">
        <f t="shared" si="15"/>
        <v>325843.54521687469</v>
      </c>
      <c r="I254" s="44">
        <f t="shared" si="15"/>
        <v>322250.11697631644</v>
      </c>
      <c r="J254" s="44">
        <f t="shared" si="15"/>
        <v>340784.17728511954</v>
      </c>
      <c r="K254" s="44">
        <f t="shared" si="15"/>
        <v>169296.76173367069</v>
      </c>
    </row>
    <row r="255" spans="1:11" s="31" customFormat="1" x14ac:dyDescent="0.2">
      <c r="A255" s="5"/>
      <c r="B255" s="5"/>
      <c r="C255" s="72" t="str">
        <f>+'C1 Aprop Resumen 2000-2026'!B20</f>
        <v>* Información con corte a 30 de Junio</v>
      </c>
      <c r="D255" s="123">
        <f>+D254-'C6 Ejec. Nac 19-26'!D131</f>
        <v>3.7834979593753815E-10</v>
      </c>
      <c r="E255" s="123">
        <f>+E254-'C6 Ejec. Nac 19-26'!E131</f>
        <v>1.1059455573558807E-9</v>
      </c>
      <c r="F255" s="123">
        <f>+F254-'C6 Ejec. Nac 19-26'!F131</f>
        <v>0</v>
      </c>
      <c r="G255" s="123">
        <f>+G254-'C6 Ejec. Nac 19-26'!G131</f>
        <v>0</v>
      </c>
      <c r="H255" s="123">
        <f>+H254-'C6 Ejec. Nac 19-26'!H131</f>
        <v>1.0477378964424133E-9</v>
      </c>
      <c r="I255" s="123">
        <f>+I254-'C6 Ejec. Nac 19-26'!I131</f>
        <v>0</v>
      </c>
      <c r="J255" s="123">
        <f>+J254-'C6 Ejec. Nac 19-26'!J131</f>
        <v>0</v>
      </c>
      <c r="K255" s="123">
        <f>+K254-'C6 Ejec. Nac 19-26'!K131</f>
        <v>8.149072527885437E-10</v>
      </c>
    </row>
    <row r="256" spans="1:11" x14ac:dyDescent="0.2">
      <c r="C256" s="1" t="s">
        <v>52</v>
      </c>
      <c r="E256" s="3"/>
      <c r="F256" s="3"/>
      <c r="G256" s="3"/>
      <c r="H256" s="3"/>
    </row>
    <row r="257" spans="2:11" x14ac:dyDescent="0.2">
      <c r="B257" s="9"/>
      <c r="E257" s="3"/>
      <c r="F257" s="3"/>
      <c r="G257" s="3"/>
      <c r="H257" s="3"/>
    </row>
    <row r="258" spans="2:11" x14ac:dyDescent="0.2">
      <c r="E258" s="3"/>
      <c r="F258" s="3"/>
      <c r="G258" s="3"/>
      <c r="H258" s="3"/>
    </row>
    <row r="259" spans="2:11" x14ac:dyDescent="0.2">
      <c r="E259" s="3"/>
      <c r="F259" s="3"/>
      <c r="G259" s="3"/>
      <c r="H259" s="3"/>
    </row>
    <row r="260" spans="2:11" ht="18" customHeight="1" x14ac:dyDescent="0.2">
      <c r="D260" s="164" t="s">
        <v>159</v>
      </c>
      <c r="E260" s="182"/>
      <c r="F260" s="182"/>
      <c r="G260" s="182"/>
      <c r="H260" s="182"/>
      <c r="I260" s="182"/>
      <c r="J260" s="182"/>
      <c r="K260" s="182"/>
    </row>
    <row r="261" spans="2:11" x14ac:dyDescent="0.2">
      <c r="D261" s="28"/>
      <c r="E261" s="28"/>
      <c r="F261" s="28"/>
      <c r="G261" s="28"/>
      <c r="H261" s="28"/>
    </row>
    <row r="262" spans="2:11" x14ac:dyDescent="0.2">
      <c r="D262" s="29"/>
      <c r="E262" s="29"/>
      <c r="F262" s="29"/>
      <c r="G262" s="29"/>
      <c r="H262" s="29"/>
    </row>
    <row r="263" spans="2:11" ht="13.5" customHeight="1" x14ac:dyDescent="0.2">
      <c r="C263" s="181" t="s">
        <v>120</v>
      </c>
      <c r="D263" s="155">
        <v>2019</v>
      </c>
      <c r="E263" s="155">
        <v>2020</v>
      </c>
      <c r="F263" s="155">
        <v>2021</v>
      </c>
      <c r="G263" s="155">
        <v>2022</v>
      </c>
      <c r="H263" s="155">
        <v>2023</v>
      </c>
      <c r="I263" s="155">
        <v>2024</v>
      </c>
      <c r="J263" s="155">
        <v>2025</v>
      </c>
      <c r="K263" s="155" t="s">
        <v>36</v>
      </c>
    </row>
    <row r="264" spans="2:11" ht="12" customHeight="1" thickBot="1" x14ac:dyDescent="0.25">
      <c r="C264" s="162"/>
      <c r="D264" s="156"/>
      <c r="E264" s="156"/>
      <c r="F264" s="156"/>
      <c r="G264" s="156"/>
      <c r="H264" s="156"/>
      <c r="I264" s="156"/>
      <c r="J264" s="156"/>
      <c r="K264" s="156"/>
    </row>
    <row r="265" spans="2:11" x14ac:dyDescent="0.2">
      <c r="C265" s="87" t="s">
        <v>123</v>
      </c>
      <c r="D265" s="47">
        <f t="shared" ref="D265:K274" si="16">+IFERROR(IF(D223&gt;0,+((D223/D15)*100)," "),"0")</f>
        <v>62.656570662724484</v>
      </c>
      <c r="E265" s="47">
        <f t="shared" si="16"/>
        <v>77.214864352839001</v>
      </c>
      <c r="F265" s="47">
        <f t="shared" si="16"/>
        <v>79.173163708678132</v>
      </c>
      <c r="G265" s="47">
        <f t="shared" si="16"/>
        <v>73.655703985530891</v>
      </c>
      <c r="H265" s="47">
        <f t="shared" si="16"/>
        <v>74.000710160392515</v>
      </c>
      <c r="I265" s="47">
        <f t="shared" si="16"/>
        <v>37.843138312023392</v>
      </c>
      <c r="J265" s="47">
        <f t="shared" si="16"/>
        <v>58.831878130963467</v>
      </c>
      <c r="K265" s="47">
        <f t="shared" si="16"/>
        <v>30.664864912926536</v>
      </c>
    </row>
    <row r="266" spans="2:11" x14ac:dyDescent="0.2">
      <c r="C266" s="88" t="s">
        <v>124</v>
      </c>
      <c r="D266" s="116">
        <f t="shared" si="16"/>
        <v>86.814093082623614</v>
      </c>
      <c r="E266" s="116">
        <f t="shared" si="16"/>
        <v>78.124746837835801</v>
      </c>
      <c r="F266" s="116">
        <f t="shared" si="16"/>
        <v>63.613458167130297</v>
      </c>
      <c r="G266" s="116">
        <f t="shared" si="16"/>
        <v>58.297723665580662</v>
      </c>
      <c r="H266" s="116">
        <f t="shared" si="16"/>
        <v>44.616452389543213</v>
      </c>
      <c r="I266" s="116">
        <f t="shared" si="16"/>
        <v>50.039724288741461</v>
      </c>
      <c r="J266" s="116">
        <f t="shared" si="16"/>
        <v>78.398807980384845</v>
      </c>
      <c r="K266" s="116">
        <f t="shared" si="16"/>
        <v>26.564855639609007</v>
      </c>
    </row>
    <row r="267" spans="2:11" x14ac:dyDescent="0.2">
      <c r="C267" s="87" t="s">
        <v>125</v>
      </c>
      <c r="D267" s="47">
        <f t="shared" si="16"/>
        <v>42.651674068352172</v>
      </c>
      <c r="E267" s="47">
        <f t="shared" si="16"/>
        <v>67.171924254536549</v>
      </c>
      <c r="F267" s="47">
        <f t="shared" si="16"/>
        <v>87.151293573960842</v>
      </c>
      <c r="G267" s="47">
        <f t="shared" si="16"/>
        <v>87.730357052391625</v>
      </c>
      <c r="H267" s="47">
        <f t="shared" si="16"/>
        <v>65.897675697539896</v>
      </c>
      <c r="I267" s="47">
        <f t="shared" si="16"/>
        <v>86.762278801951695</v>
      </c>
      <c r="J267" s="47">
        <f t="shared" si="16"/>
        <v>91.948301921268737</v>
      </c>
      <c r="K267" s="47">
        <f t="shared" si="16"/>
        <v>27.617358856796102</v>
      </c>
    </row>
    <row r="268" spans="2:11" x14ac:dyDescent="0.2">
      <c r="C268" s="88" t="s">
        <v>126</v>
      </c>
      <c r="D268" s="116">
        <f t="shared" si="16"/>
        <v>81.256651560215928</v>
      </c>
      <c r="E268" s="116">
        <f t="shared" si="16"/>
        <v>79.615252843659164</v>
      </c>
      <c r="F268" s="116">
        <f t="shared" si="16"/>
        <v>67.602138415933211</v>
      </c>
      <c r="G268" s="116">
        <f t="shared" si="16"/>
        <v>75.902274910420658</v>
      </c>
      <c r="H268" s="116">
        <f t="shared" si="16"/>
        <v>67.440761326529881</v>
      </c>
      <c r="I268" s="116">
        <f t="shared" si="16"/>
        <v>61.377289649594957</v>
      </c>
      <c r="J268" s="116">
        <f t="shared" si="16"/>
        <v>84.270071535759442</v>
      </c>
      <c r="K268" s="116">
        <f t="shared" si="16"/>
        <v>35.893008057940321</v>
      </c>
    </row>
    <row r="269" spans="2:11" x14ac:dyDescent="0.2">
      <c r="C269" s="87" t="s">
        <v>127</v>
      </c>
      <c r="D269" s="47">
        <f t="shared" si="16"/>
        <v>91.249445303955738</v>
      </c>
      <c r="E269" s="47">
        <f t="shared" si="16"/>
        <v>92.40578584573052</v>
      </c>
      <c r="F269" s="47">
        <f t="shared" si="16"/>
        <v>92.952458658138795</v>
      </c>
      <c r="G269" s="47">
        <f t="shared" si="16"/>
        <v>88.276066263654755</v>
      </c>
      <c r="H269" s="47">
        <f t="shared" si="16"/>
        <v>86.989209923695512</v>
      </c>
      <c r="I269" s="47">
        <f t="shared" si="16"/>
        <v>80.578135475315108</v>
      </c>
      <c r="J269" s="47">
        <f t="shared" si="16"/>
        <v>79.192681551868759</v>
      </c>
      <c r="K269" s="47">
        <f t="shared" si="16"/>
        <v>51.270958376952628</v>
      </c>
    </row>
    <row r="270" spans="2:11" x14ac:dyDescent="0.2">
      <c r="C270" s="88" t="s">
        <v>128</v>
      </c>
      <c r="D270" s="116">
        <f t="shared" si="16"/>
        <v>94.707228879281118</v>
      </c>
      <c r="E270" s="116">
        <f t="shared" si="16"/>
        <v>94.263870074676561</v>
      </c>
      <c r="F270" s="116">
        <f t="shared" si="16"/>
        <v>77.895681639800088</v>
      </c>
      <c r="G270" s="116">
        <f t="shared" si="16"/>
        <v>79.407662569776932</v>
      </c>
      <c r="H270" s="116">
        <f t="shared" si="16"/>
        <v>75.213756789424465</v>
      </c>
      <c r="I270" s="116">
        <f t="shared" si="16"/>
        <v>63.515098626738428</v>
      </c>
      <c r="J270" s="116">
        <f t="shared" si="16"/>
        <v>65.838531024293161</v>
      </c>
      <c r="K270" s="116">
        <f t="shared" si="16"/>
        <v>33.077406206435036</v>
      </c>
    </row>
    <row r="271" spans="2:11" x14ac:dyDescent="0.2">
      <c r="C271" s="87" t="s">
        <v>129</v>
      </c>
      <c r="D271" s="47">
        <f t="shared" si="16"/>
        <v>96.220041798586024</v>
      </c>
      <c r="E271" s="47">
        <f t="shared" si="16"/>
        <v>96.666764779960303</v>
      </c>
      <c r="F271" s="47">
        <f t="shared" si="16"/>
        <v>95.150000620073399</v>
      </c>
      <c r="G271" s="47">
        <f t="shared" si="16"/>
        <v>94.852376470320678</v>
      </c>
      <c r="H271" s="47">
        <f t="shared" si="16"/>
        <v>94.485822824458538</v>
      </c>
      <c r="I271" s="47">
        <f t="shared" si="16"/>
        <v>89.694028010115261</v>
      </c>
      <c r="J271" s="47">
        <f t="shared" si="16"/>
        <v>92.126406965713414</v>
      </c>
      <c r="K271" s="47">
        <f t="shared" si="16"/>
        <v>42.502170746354736</v>
      </c>
    </row>
    <row r="272" spans="2:11" x14ac:dyDescent="0.2">
      <c r="C272" s="88" t="s">
        <v>130</v>
      </c>
      <c r="D272" s="116">
        <f t="shared" si="16"/>
        <v>53.139029697464004</v>
      </c>
      <c r="E272" s="116">
        <f t="shared" si="16"/>
        <v>52.323541849696021</v>
      </c>
      <c r="F272" s="116">
        <f t="shared" si="16"/>
        <v>87.454185933295534</v>
      </c>
      <c r="G272" s="116">
        <f t="shared" si="16"/>
        <v>61.912109701967836</v>
      </c>
      <c r="H272" s="116">
        <f t="shared" si="16"/>
        <v>59.06240707829722</v>
      </c>
      <c r="I272" s="116">
        <f t="shared" si="16"/>
        <v>36.004201998239623</v>
      </c>
      <c r="J272" s="116">
        <f t="shared" si="16"/>
        <v>67.519775372495346</v>
      </c>
      <c r="K272" s="116">
        <f t="shared" si="16"/>
        <v>54.182124059232031</v>
      </c>
    </row>
    <row r="273" spans="3:11" x14ac:dyDescent="0.2">
      <c r="C273" s="87" t="s">
        <v>131</v>
      </c>
      <c r="D273" s="47">
        <f t="shared" si="16"/>
        <v>98.892239976593046</v>
      </c>
      <c r="E273" s="47">
        <f t="shared" si="16"/>
        <v>99.90105698116119</v>
      </c>
      <c r="F273" s="47">
        <f t="shared" si="16"/>
        <v>99.879679034450348</v>
      </c>
      <c r="G273" s="47">
        <f t="shared" si="16"/>
        <v>99.783236732343525</v>
      </c>
      <c r="H273" s="47">
        <f t="shared" si="16"/>
        <v>98.006120235754253</v>
      </c>
      <c r="I273" s="47">
        <f t="shared" si="16"/>
        <v>96.230861202370932</v>
      </c>
      <c r="J273" s="47">
        <f t="shared" si="16"/>
        <v>97.280484762766278</v>
      </c>
      <c r="K273" s="47">
        <f t="shared" si="16"/>
        <v>49.050945364464837</v>
      </c>
    </row>
    <row r="274" spans="3:11" x14ac:dyDescent="0.2">
      <c r="C274" s="88" t="s">
        <v>132</v>
      </c>
      <c r="D274" s="116">
        <f t="shared" si="16"/>
        <v>87.194986116642454</v>
      </c>
      <c r="E274" s="116">
        <f t="shared" si="16"/>
        <v>88.274373532294675</v>
      </c>
      <c r="F274" s="116">
        <f t="shared" si="16"/>
        <v>92.892622176215042</v>
      </c>
      <c r="G274" s="116">
        <f t="shared" si="16"/>
        <v>88.414289182497527</v>
      </c>
      <c r="H274" s="116">
        <f t="shared" si="16"/>
        <v>90.293655483483491</v>
      </c>
      <c r="I274" s="116">
        <f t="shared" si="16"/>
        <v>92.216799310285666</v>
      </c>
      <c r="J274" s="116">
        <f t="shared" si="16"/>
        <v>91.174343683698311</v>
      </c>
      <c r="K274" s="116">
        <f t="shared" si="16"/>
        <v>40.712824495225981</v>
      </c>
    </row>
    <row r="275" spans="3:11" x14ac:dyDescent="0.2">
      <c r="C275" s="87" t="s">
        <v>133</v>
      </c>
      <c r="D275" s="47">
        <f t="shared" ref="D275:K284" si="17">+IFERROR(IF(D233&gt;0,+((D233/D25)*100)," "),"0")</f>
        <v>94.488189307670595</v>
      </c>
      <c r="E275" s="47">
        <f t="shared" si="17"/>
        <v>94.557318786897952</v>
      </c>
      <c r="F275" s="47">
        <f t="shared" si="17"/>
        <v>92.198808040237793</v>
      </c>
      <c r="G275" s="47">
        <f t="shared" si="17"/>
        <v>94.64986919780911</v>
      </c>
      <c r="H275" s="47">
        <f t="shared" si="17"/>
        <v>94.490259832861867</v>
      </c>
      <c r="I275" s="47">
        <f t="shared" si="17"/>
        <v>92.718828563076798</v>
      </c>
      <c r="J275" s="47">
        <f t="shared" si="17"/>
        <v>92.118295700419054</v>
      </c>
      <c r="K275" s="47">
        <f t="shared" si="17"/>
        <v>40.174502122266091</v>
      </c>
    </row>
    <row r="276" spans="3:11" x14ac:dyDescent="0.2">
      <c r="C276" s="88" t="s">
        <v>134</v>
      </c>
      <c r="D276" s="116">
        <f t="shared" si="17"/>
        <v>80.376084036571498</v>
      </c>
      <c r="E276" s="116">
        <f t="shared" si="17"/>
        <v>41.071920479279619</v>
      </c>
      <c r="F276" s="116">
        <f t="shared" si="17"/>
        <v>77.365612400662386</v>
      </c>
      <c r="G276" s="116">
        <f t="shared" si="17"/>
        <v>77.052567023006731</v>
      </c>
      <c r="H276" s="116">
        <f t="shared" si="17"/>
        <v>81.70146963336957</v>
      </c>
      <c r="I276" s="116">
        <f t="shared" si="17"/>
        <v>69.617024997374116</v>
      </c>
      <c r="J276" s="116">
        <f t="shared" si="17"/>
        <v>68.739382398676511</v>
      </c>
      <c r="K276" s="116">
        <f t="shared" si="17"/>
        <v>26.632346475389575</v>
      </c>
    </row>
    <row r="277" spans="3:11" x14ac:dyDescent="0.2">
      <c r="C277" s="87" t="s">
        <v>135</v>
      </c>
      <c r="D277" s="47" t="str">
        <f t="shared" si="17"/>
        <v xml:space="preserve"> </v>
      </c>
      <c r="E277" s="47" t="str">
        <f t="shared" si="17"/>
        <v xml:space="preserve"> </v>
      </c>
      <c r="F277" s="47" t="str">
        <f t="shared" si="17"/>
        <v xml:space="preserve"> </v>
      </c>
      <c r="G277" s="47" t="str">
        <f t="shared" si="17"/>
        <v xml:space="preserve"> </v>
      </c>
      <c r="H277" s="47">
        <f t="shared" si="17"/>
        <v>0.42555537840000002</v>
      </c>
      <c r="I277" s="47">
        <f t="shared" si="17"/>
        <v>75.818120511832092</v>
      </c>
      <c r="J277" s="47">
        <f t="shared" si="17"/>
        <v>93.314623523601909</v>
      </c>
      <c r="K277" s="47">
        <f t="shared" si="17"/>
        <v>47.771725058486382</v>
      </c>
    </row>
    <row r="278" spans="3:11" x14ac:dyDescent="0.2">
      <c r="C278" s="88" t="s">
        <v>136</v>
      </c>
      <c r="D278" s="116">
        <f t="shared" si="17"/>
        <v>88.023711693924199</v>
      </c>
      <c r="E278" s="116">
        <f t="shared" si="17"/>
        <v>97.255057041034192</v>
      </c>
      <c r="F278" s="116">
        <f t="shared" si="17"/>
        <v>92.646262709793888</v>
      </c>
      <c r="G278" s="116">
        <f t="shared" si="17"/>
        <v>96.743144234015318</v>
      </c>
      <c r="H278" s="116">
        <f t="shared" si="17"/>
        <v>88.270266220966462</v>
      </c>
      <c r="I278" s="116">
        <f t="shared" si="17"/>
        <v>71.087681828171256</v>
      </c>
      <c r="J278" s="116">
        <f t="shared" si="17"/>
        <v>72.894979099635719</v>
      </c>
      <c r="K278" s="116">
        <f t="shared" si="17"/>
        <v>36.854909936788694</v>
      </c>
    </row>
    <row r="279" spans="3:11" x14ac:dyDescent="0.2">
      <c r="C279" s="87" t="s">
        <v>137</v>
      </c>
      <c r="D279" s="47">
        <f t="shared" si="17"/>
        <v>87.27794739314254</v>
      </c>
      <c r="E279" s="47">
        <f t="shared" si="17"/>
        <v>85.862263407984386</v>
      </c>
      <c r="F279" s="47">
        <f t="shared" si="17"/>
        <v>66.344825860105601</v>
      </c>
      <c r="G279" s="47">
        <f t="shared" si="17"/>
        <v>63.113735587898802</v>
      </c>
      <c r="H279" s="47">
        <f t="shared" si="17"/>
        <v>55.990889513023632</v>
      </c>
      <c r="I279" s="47">
        <f t="shared" si="17"/>
        <v>62.200338242574624</v>
      </c>
      <c r="J279" s="47">
        <f t="shared" si="17"/>
        <v>71.093556777194905</v>
      </c>
      <c r="K279" s="47">
        <f t="shared" si="17"/>
        <v>35.264859132120677</v>
      </c>
    </row>
    <row r="280" spans="3:11" x14ac:dyDescent="0.2">
      <c r="C280" s="88" t="s">
        <v>138</v>
      </c>
      <c r="D280" s="116">
        <f t="shared" si="17"/>
        <v>93.127205939532715</v>
      </c>
      <c r="E280" s="116">
        <f t="shared" si="17"/>
        <v>97.939832663448939</v>
      </c>
      <c r="F280" s="116">
        <f t="shared" si="17"/>
        <v>94.697338290005291</v>
      </c>
      <c r="G280" s="116">
        <f t="shared" si="17"/>
        <v>93.775999469705908</v>
      </c>
      <c r="H280" s="116">
        <f t="shared" si="17"/>
        <v>83.9579711964616</v>
      </c>
      <c r="I280" s="116">
        <f t="shared" si="17"/>
        <v>81.564557762430468</v>
      </c>
      <c r="J280" s="116">
        <f t="shared" si="17"/>
        <v>85.586638961646997</v>
      </c>
      <c r="K280" s="116">
        <f t="shared" si="17"/>
        <v>36.141659305700372</v>
      </c>
    </row>
    <row r="281" spans="3:11" x14ac:dyDescent="0.2">
      <c r="C281" s="87" t="s">
        <v>160</v>
      </c>
      <c r="D281" s="47">
        <f t="shared" si="17"/>
        <v>85.430840137185555</v>
      </c>
      <c r="E281" s="47">
        <f t="shared" si="17"/>
        <v>85.889971388847457</v>
      </c>
      <c r="F281" s="47">
        <f t="shared" si="17"/>
        <v>81.423657029524833</v>
      </c>
      <c r="G281" s="47">
        <f t="shared" si="17"/>
        <v>69.730836213424297</v>
      </c>
      <c r="H281" s="47">
        <f t="shared" si="17"/>
        <v>68.003093927637238</v>
      </c>
      <c r="I281" s="47">
        <f t="shared" si="17"/>
        <v>69.488067215095271</v>
      </c>
      <c r="J281" s="47">
        <f t="shared" si="17"/>
        <v>77.82844994900357</v>
      </c>
      <c r="K281" s="47">
        <f t="shared" si="17"/>
        <v>35.691801335907172</v>
      </c>
    </row>
    <row r="282" spans="3:11" x14ac:dyDescent="0.2">
      <c r="C282" s="88" t="s">
        <v>161</v>
      </c>
      <c r="D282" s="116">
        <f t="shared" si="17"/>
        <v>74.697413248678018</v>
      </c>
      <c r="E282" s="116">
        <f t="shared" si="17"/>
        <v>78.252513338519478</v>
      </c>
      <c r="F282" s="116">
        <f t="shared" si="17"/>
        <v>65.514902928086059</v>
      </c>
      <c r="G282" s="116">
        <f t="shared" si="17"/>
        <v>66.738056104377918</v>
      </c>
      <c r="H282" s="116">
        <f t="shared" si="17"/>
        <v>77.82498649364878</v>
      </c>
      <c r="I282" s="116">
        <f t="shared" si="17"/>
        <v>78.905741603783184</v>
      </c>
      <c r="J282" s="116">
        <f t="shared" si="17"/>
        <v>81.82441073596577</v>
      </c>
      <c r="K282" s="116">
        <f t="shared" si="17"/>
        <v>35.707755294991706</v>
      </c>
    </row>
    <row r="283" spans="3:11" x14ac:dyDescent="0.2">
      <c r="C283" s="87" t="s">
        <v>140</v>
      </c>
      <c r="D283" s="47">
        <f t="shared" si="17"/>
        <v>82.985772246735337</v>
      </c>
      <c r="E283" s="47">
        <f t="shared" si="17"/>
        <v>87.556408230655549</v>
      </c>
      <c r="F283" s="47">
        <f t="shared" si="17"/>
        <v>92.314811377628587</v>
      </c>
      <c r="G283" s="47">
        <f t="shared" si="17"/>
        <v>84.434894457952552</v>
      </c>
      <c r="H283" s="47">
        <f t="shared" si="17"/>
        <v>89.237177441443976</v>
      </c>
      <c r="I283" s="47">
        <f t="shared" si="17"/>
        <v>59.43836455386721</v>
      </c>
      <c r="J283" s="47">
        <f t="shared" si="17"/>
        <v>67.637582366749854</v>
      </c>
      <c r="K283" s="47">
        <f t="shared" si="17"/>
        <v>48.687196369392602</v>
      </c>
    </row>
    <row r="284" spans="3:11" x14ac:dyDescent="0.2">
      <c r="C284" s="88" t="s">
        <v>141</v>
      </c>
      <c r="D284" s="116">
        <f t="shared" si="17"/>
        <v>89.060831479345495</v>
      </c>
      <c r="E284" s="116">
        <f t="shared" si="17"/>
        <v>80.592075326566686</v>
      </c>
      <c r="F284" s="116">
        <f t="shared" si="17"/>
        <v>80.971529683047251</v>
      </c>
      <c r="G284" s="116">
        <f t="shared" si="17"/>
        <v>83.831910213534471</v>
      </c>
      <c r="H284" s="116">
        <f t="shared" si="17"/>
        <v>81.266250763529399</v>
      </c>
      <c r="I284" s="116">
        <f t="shared" si="17"/>
        <v>87.08715451895965</v>
      </c>
      <c r="J284" s="116">
        <f t="shared" si="17"/>
        <v>90.245230117867919</v>
      </c>
      <c r="K284" s="116">
        <f t="shared" si="17"/>
        <v>38.416634036891438</v>
      </c>
    </row>
    <row r="285" spans="3:11" x14ac:dyDescent="0.2">
      <c r="C285" s="87" t="s">
        <v>142</v>
      </c>
      <c r="D285" s="47">
        <f t="shared" ref="D285:K294" si="18">+IFERROR(IF(D243&gt;0,+((D243/D35)*100)," "),"0")</f>
        <v>60.882014470550928</v>
      </c>
      <c r="E285" s="47">
        <f t="shared" si="18"/>
        <v>70.487135415875215</v>
      </c>
      <c r="F285" s="47">
        <f t="shared" si="18"/>
        <v>70.371445944171541</v>
      </c>
      <c r="G285" s="47">
        <f t="shared" si="18"/>
        <v>41.572986770482458</v>
      </c>
      <c r="H285" s="47">
        <f t="shared" si="18"/>
        <v>35.418689135024195</v>
      </c>
      <c r="I285" s="47">
        <f t="shared" si="18"/>
        <v>49.739186132636497</v>
      </c>
      <c r="J285" s="47">
        <f t="shared" si="18"/>
        <v>54.173459512347776</v>
      </c>
      <c r="K285" s="47">
        <f t="shared" si="18"/>
        <v>33.782484327421116</v>
      </c>
    </row>
    <row r="286" spans="3:11" x14ac:dyDescent="0.2">
      <c r="C286" s="88" t="s">
        <v>143</v>
      </c>
      <c r="D286" s="116">
        <f t="shared" si="18"/>
        <v>41.206148611583842</v>
      </c>
      <c r="E286" s="116">
        <f t="shared" si="18"/>
        <v>34.370510938020963</v>
      </c>
      <c r="F286" s="116">
        <f t="shared" si="18"/>
        <v>44.902127706189923</v>
      </c>
      <c r="G286" s="116">
        <f t="shared" si="18"/>
        <v>18.886195927218289</v>
      </c>
      <c r="H286" s="116">
        <f t="shared" si="18"/>
        <v>15.587553171590907</v>
      </c>
      <c r="I286" s="116">
        <f t="shared" si="18"/>
        <v>27.857750548037558</v>
      </c>
      <c r="J286" s="116">
        <f t="shared" si="18"/>
        <v>40.837185774493484</v>
      </c>
      <c r="K286" s="116">
        <f t="shared" si="18"/>
        <v>4.4009377329681003</v>
      </c>
    </row>
    <row r="287" spans="3:11" x14ac:dyDescent="0.2">
      <c r="C287" s="87" t="s">
        <v>144</v>
      </c>
      <c r="D287" s="47">
        <f t="shared" si="18"/>
        <v>90.494884764196996</v>
      </c>
      <c r="E287" s="47">
        <f t="shared" si="18"/>
        <v>90.675820624780101</v>
      </c>
      <c r="F287" s="47">
        <f t="shared" si="18"/>
        <v>88.005373536842228</v>
      </c>
      <c r="G287" s="47">
        <f t="shared" si="18"/>
        <v>88.57194836219206</v>
      </c>
      <c r="H287" s="47">
        <f t="shared" si="18"/>
        <v>83.13746457646721</v>
      </c>
      <c r="I287" s="47">
        <f t="shared" si="18"/>
        <v>84.858146214866679</v>
      </c>
      <c r="J287" s="47">
        <f t="shared" si="18"/>
        <v>85.640097163968306</v>
      </c>
      <c r="K287" s="47">
        <f t="shared" si="18"/>
        <v>37.459588948477474</v>
      </c>
    </row>
    <row r="288" spans="3:11" x14ac:dyDescent="0.2">
      <c r="C288" s="88" t="s">
        <v>145</v>
      </c>
      <c r="D288" s="116">
        <f t="shared" si="18"/>
        <v>91.261595416032065</v>
      </c>
      <c r="E288" s="116">
        <f t="shared" si="18"/>
        <v>88.399636504138869</v>
      </c>
      <c r="F288" s="116">
        <f t="shared" si="18"/>
        <v>84.753630940254283</v>
      </c>
      <c r="G288" s="116">
        <f t="shared" si="18"/>
        <v>92.424052998602363</v>
      </c>
      <c r="H288" s="116">
        <f t="shared" si="18"/>
        <v>77.222720302896718</v>
      </c>
      <c r="I288" s="116">
        <f t="shared" si="18"/>
        <v>57.375950403895857</v>
      </c>
      <c r="J288" s="116">
        <f t="shared" si="18"/>
        <v>73.316576982097104</v>
      </c>
      <c r="K288" s="116">
        <f t="shared" si="18"/>
        <v>28.648755316093951</v>
      </c>
    </row>
    <row r="289" spans="1:11" x14ac:dyDescent="0.2">
      <c r="C289" s="87" t="s">
        <v>146</v>
      </c>
      <c r="D289" s="47">
        <f t="shared" si="18"/>
        <v>93.24379426561616</v>
      </c>
      <c r="E289" s="47">
        <f t="shared" si="18"/>
        <v>90.299727990165309</v>
      </c>
      <c r="F289" s="47">
        <f t="shared" si="18"/>
        <v>89.618497922148094</v>
      </c>
      <c r="G289" s="47">
        <f t="shared" si="18"/>
        <v>92.99478153199702</v>
      </c>
      <c r="H289" s="47">
        <f t="shared" si="18"/>
        <v>91.55331813370718</v>
      </c>
      <c r="I289" s="47">
        <f t="shared" si="18"/>
        <v>90.703893835404969</v>
      </c>
      <c r="J289" s="47">
        <f t="shared" si="18"/>
        <v>91.632460826619663</v>
      </c>
      <c r="K289" s="47">
        <f t="shared" si="18"/>
        <v>41.781077180868756</v>
      </c>
    </row>
    <row r="290" spans="1:11" x14ac:dyDescent="0.2">
      <c r="C290" s="88" t="s">
        <v>162</v>
      </c>
      <c r="D290" s="116">
        <f t="shared" si="18"/>
        <v>99.488855063623959</v>
      </c>
      <c r="E290" s="116">
        <f t="shared" si="18"/>
        <v>97.403949231997842</v>
      </c>
      <c r="F290" s="116">
        <f t="shared" si="18"/>
        <v>99.306089336504272</v>
      </c>
      <c r="G290" s="116">
        <f t="shared" si="18"/>
        <v>99.682541134119305</v>
      </c>
      <c r="H290" s="116">
        <f t="shared" si="18"/>
        <v>93.007536376175793</v>
      </c>
      <c r="I290" s="116">
        <f t="shared" si="18"/>
        <v>94.168167306985723</v>
      </c>
      <c r="J290" s="116">
        <f t="shared" si="18"/>
        <v>96.190903159232192</v>
      </c>
      <c r="K290" s="116">
        <f t="shared" si="18"/>
        <v>45.507467931212481</v>
      </c>
    </row>
    <row r="291" spans="1:11" x14ac:dyDescent="0.2">
      <c r="C291" s="87" t="s">
        <v>148</v>
      </c>
      <c r="D291" s="47">
        <f t="shared" si="18"/>
        <v>81.996231656276734</v>
      </c>
      <c r="E291" s="47">
        <f t="shared" si="18"/>
        <v>89.633545697331527</v>
      </c>
      <c r="F291" s="47">
        <f t="shared" si="18"/>
        <v>91.875416261447739</v>
      </c>
      <c r="G291" s="47">
        <f t="shared" si="18"/>
        <v>92.974864946467832</v>
      </c>
      <c r="H291" s="47">
        <f t="shared" si="18"/>
        <v>87.112211758977352</v>
      </c>
      <c r="I291" s="47">
        <f t="shared" si="18"/>
        <v>89.728544325785094</v>
      </c>
      <c r="J291" s="47">
        <f t="shared" si="18"/>
        <v>87.602363771359421</v>
      </c>
      <c r="K291" s="47">
        <f t="shared" si="18"/>
        <v>45.698652624518672</v>
      </c>
    </row>
    <row r="292" spans="1:11" x14ac:dyDescent="0.2">
      <c r="C292" s="88" t="s">
        <v>149</v>
      </c>
      <c r="D292" s="116">
        <f t="shared" si="18"/>
        <v>92.019397471399031</v>
      </c>
      <c r="E292" s="116">
        <f t="shared" si="18"/>
        <v>98.293560335660828</v>
      </c>
      <c r="F292" s="116">
        <f t="shared" si="18"/>
        <v>79.87647746033781</v>
      </c>
      <c r="G292" s="116">
        <f t="shared" si="18"/>
        <v>86.388256137977194</v>
      </c>
      <c r="H292" s="116">
        <f t="shared" si="18"/>
        <v>85.471684095638494</v>
      </c>
      <c r="I292" s="116">
        <f t="shared" si="18"/>
        <v>30.517603249865953</v>
      </c>
      <c r="J292" s="116">
        <f t="shared" si="18"/>
        <v>70.028700746961945</v>
      </c>
      <c r="K292" s="116">
        <f t="shared" si="18"/>
        <v>13.680235814013292</v>
      </c>
    </row>
    <row r="293" spans="1:11" x14ac:dyDescent="0.2">
      <c r="C293" s="87" t="s">
        <v>163</v>
      </c>
      <c r="D293" s="47">
        <f t="shared" si="18"/>
        <v>81.609691877549878</v>
      </c>
      <c r="E293" s="47">
        <f t="shared" si="18"/>
        <v>86.226490269590698</v>
      </c>
      <c r="F293" s="47">
        <f t="shared" si="18"/>
        <v>93.409532615528136</v>
      </c>
      <c r="G293" s="47">
        <f t="shared" si="18"/>
        <v>63.291754868440599</v>
      </c>
      <c r="H293" s="47">
        <f t="shared" si="18"/>
        <v>76.347672102575928</v>
      </c>
      <c r="I293" s="47">
        <f t="shared" si="18"/>
        <v>80.004863756441765</v>
      </c>
      <c r="J293" s="47">
        <f t="shared" si="18"/>
        <v>85.106808076570417</v>
      </c>
      <c r="K293" s="47">
        <f t="shared" si="18"/>
        <v>35.00445093276128</v>
      </c>
    </row>
    <row r="294" spans="1:11" x14ac:dyDescent="0.2">
      <c r="C294" s="88" t="s">
        <v>150</v>
      </c>
      <c r="D294" s="116">
        <f t="shared" si="18"/>
        <v>78.656227105983106</v>
      </c>
      <c r="E294" s="116">
        <f t="shared" si="18"/>
        <v>82.444608697768302</v>
      </c>
      <c r="F294" s="116">
        <f t="shared" si="18"/>
        <v>83.262391211294911</v>
      </c>
      <c r="G294" s="116">
        <f t="shared" si="18"/>
        <v>79.16626590046539</v>
      </c>
      <c r="H294" s="116">
        <f t="shared" si="18"/>
        <v>87.006138308845195</v>
      </c>
      <c r="I294" s="116">
        <f t="shared" si="18"/>
        <v>36.340983467447593</v>
      </c>
      <c r="J294" s="116">
        <f t="shared" si="18"/>
        <v>32.381034689972957</v>
      </c>
      <c r="K294" s="116">
        <f t="shared" si="18"/>
        <v>12.745298817012539</v>
      </c>
    </row>
    <row r="295" spans="1:11" x14ac:dyDescent="0.2">
      <c r="C295" s="87" t="s">
        <v>151</v>
      </c>
      <c r="D295" s="47">
        <f t="shared" ref="D295:K295" si="19">+IFERROR(IF(D253&gt;0,+((D253/D45)*100)," "),"0")</f>
        <v>69.14729685709699</v>
      </c>
      <c r="E295" s="47">
        <f t="shared" si="19"/>
        <v>76.009821318196529</v>
      </c>
      <c r="F295" s="47">
        <f t="shared" si="19"/>
        <v>77.472696795285572</v>
      </c>
      <c r="G295" s="47">
        <f t="shared" si="19"/>
        <v>80.267899161500168</v>
      </c>
      <c r="H295" s="47">
        <f t="shared" si="19"/>
        <v>62.527427561013873</v>
      </c>
      <c r="I295" s="47">
        <f t="shared" si="19"/>
        <v>58.735068306562823</v>
      </c>
      <c r="J295" s="47">
        <f t="shared" si="19"/>
        <v>69.589487400230709</v>
      </c>
      <c r="K295" s="47">
        <f t="shared" si="19"/>
        <v>35.55756688693323</v>
      </c>
    </row>
    <row r="296" spans="1:11" x14ac:dyDescent="0.2">
      <c r="C296" s="91" t="s">
        <v>154</v>
      </c>
      <c r="D296" s="74">
        <f t="shared" ref="D296:K296" si="20">+IFERROR(IF(D254&gt;0,+((D254/D46)*100)," "),"")</f>
        <v>90.696451317078143</v>
      </c>
      <c r="E296" s="74">
        <f t="shared" si="20"/>
        <v>83.475604548145839</v>
      </c>
      <c r="F296" s="74">
        <f t="shared" si="20"/>
        <v>90.667287366647017</v>
      </c>
      <c r="G296" s="74">
        <f t="shared" si="20"/>
        <v>86.827627899498566</v>
      </c>
      <c r="H296" s="74">
        <f t="shared" si="20"/>
        <v>86.062005013226511</v>
      </c>
      <c r="I296" s="74">
        <f t="shared" si="20"/>
        <v>81.736001662072638</v>
      </c>
      <c r="J296" s="74">
        <f t="shared" si="20"/>
        <v>86.5018490685096</v>
      </c>
      <c r="K296" s="74">
        <f t="shared" si="20"/>
        <v>39.774132387650191</v>
      </c>
    </row>
    <row r="297" spans="1:11" s="31" customFormat="1" x14ac:dyDescent="0.2">
      <c r="A297" s="5"/>
      <c r="B297" s="5"/>
      <c r="C297" s="72" t="str">
        <f>+'C1 Aprop Resumen 2000-2026'!B20</f>
        <v>* Información con corte a 30 de Junio</v>
      </c>
      <c r="D297" s="69"/>
      <c r="E297" s="69"/>
      <c r="F297" s="69"/>
      <c r="G297" s="69"/>
      <c r="H297" s="69"/>
      <c r="I297" s="69"/>
    </row>
    <row r="298" spans="1:11" x14ac:dyDescent="0.2">
      <c r="C298" s="1" t="s">
        <v>52</v>
      </c>
      <c r="D298" s="11"/>
    </row>
  </sheetData>
  <mergeCells count="82">
    <mergeCell ref="J263:J264"/>
    <mergeCell ref="D260:K260"/>
    <mergeCell ref="H180:H181"/>
    <mergeCell ref="E8:E9"/>
    <mergeCell ref="J180:J181"/>
    <mergeCell ref="G8:G9"/>
    <mergeCell ref="F221:F222"/>
    <mergeCell ref="F55:F56"/>
    <mergeCell ref="D2:K4"/>
    <mergeCell ref="A7:C8"/>
    <mergeCell ref="F13:F14"/>
    <mergeCell ref="G221:G222"/>
    <mergeCell ref="H13:H14"/>
    <mergeCell ref="D8:D9"/>
    <mergeCell ref="J138:J139"/>
    <mergeCell ref="H8:H9"/>
    <mergeCell ref="J8:J9"/>
    <mergeCell ref="E13:E14"/>
    <mergeCell ref="G13:G14"/>
    <mergeCell ref="D55:D56"/>
    <mergeCell ref="I138:I139"/>
    <mergeCell ref="D177:K177"/>
    <mergeCell ref="C221:C222"/>
    <mergeCell ref="K138:K139"/>
    <mergeCell ref="F180:F181"/>
    <mergeCell ref="F96:F97"/>
    <mergeCell ref="H96:H97"/>
    <mergeCell ref="D221:D222"/>
    <mergeCell ref="H263:H264"/>
    <mergeCell ref="G138:G139"/>
    <mergeCell ref="E221:E222"/>
    <mergeCell ref="D263:D264"/>
    <mergeCell ref="F263:F264"/>
    <mergeCell ref="D219:K219"/>
    <mergeCell ref="F138:F139"/>
    <mergeCell ref="H138:H139"/>
    <mergeCell ref="G180:G181"/>
    <mergeCell ref="I180:I181"/>
    <mergeCell ref="I221:I222"/>
    <mergeCell ref="J221:J222"/>
    <mergeCell ref="D6:K6"/>
    <mergeCell ref="F8:F9"/>
    <mergeCell ref="K180:K181"/>
    <mergeCell ref="D11:K11"/>
    <mergeCell ref="K96:K97"/>
    <mergeCell ref="G55:G56"/>
    <mergeCell ref="I8:I9"/>
    <mergeCell ref="K8:K9"/>
    <mergeCell ref="E96:E97"/>
    <mergeCell ref="J13:J14"/>
    <mergeCell ref="D96:D97"/>
    <mergeCell ref="E138:E139"/>
    <mergeCell ref="I13:I14"/>
    <mergeCell ref="K13:K14"/>
    <mergeCell ref="K55:K56"/>
    <mergeCell ref="E55:E56"/>
    <mergeCell ref="C180:C181"/>
    <mergeCell ref="E180:E181"/>
    <mergeCell ref="D52:K52"/>
    <mergeCell ref="G263:G264"/>
    <mergeCell ref="C55:C56"/>
    <mergeCell ref="I263:I264"/>
    <mergeCell ref="K263:K264"/>
    <mergeCell ref="I55:I56"/>
    <mergeCell ref="C263:C264"/>
    <mergeCell ref="E263:E264"/>
    <mergeCell ref="K221:K222"/>
    <mergeCell ref="H221:H222"/>
    <mergeCell ref="D136:K136"/>
    <mergeCell ref="C138:C139"/>
    <mergeCell ref="I96:I97"/>
    <mergeCell ref="D180:D181"/>
    <mergeCell ref="A9:C9"/>
    <mergeCell ref="C96:C97"/>
    <mergeCell ref="D138:D139"/>
    <mergeCell ref="C13:C14"/>
    <mergeCell ref="J96:J97"/>
    <mergeCell ref="G96:G97"/>
    <mergeCell ref="D94:K94"/>
    <mergeCell ref="D13:D14"/>
    <mergeCell ref="H55:H56"/>
    <mergeCell ref="J55:J56"/>
  </mergeCells>
  <pageMargins left="0.7" right="0.7" top="0.75" bottom="0.75" header="0.3" footer="0.3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V275"/>
  <sheetViews>
    <sheetView showGridLines="0" zoomScaleNormal="100" workbookViewId="0">
      <pane xSplit="3" ySplit="7" topLeftCell="D41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1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2" customFormat="1" ht="1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5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2" s="102" customFormat="1" ht="15" customHeight="1" x14ac:dyDescent="0.25">
      <c r="A5" s="169" t="s">
        <v>12</v>
      </c>
      <c r="B5" s="180"/>
      <c r="C5" s="18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D9" s="164" t="s">
        <v>171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1" t="s">
        <v>120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65">
        <f>47.13232725*Deflactores!$A$5</f>
        <v>175.89386604837296</v>
      </c>
      <c r="E13" s="56">
        <f>41.7194158*Deflactores!$B$5</f>
        <v>144.63148207110498</v>
      </c>
      <c r="F13" s="56">
        <f>39.163975848*Deflactores!$C$5</f>
        <v>126.89974056603883</v>
      </c>
      <c r="G13" s="56">
        <f>34.593856299*Deflactores!$D$5</f>
        <v>105.258834389703</v>
      </c>
      <c r="H13" s="56">
        <f>53.453011*Deflactores!$E$5</f>
        <v>154.16710395482957</v>
      </c>
      <c r="I13" s="56">
        <f>46.1556*Deflactores!$F$5</f>
        <v>126.95625748817729</v>
      </c>
      <c r="J13" s="56">
        <f>66.3650101*Deflactores!$G$5</f>
        <v>174.72065117461756</v>
      </c>
      <c r="K13" s="56">
        <f>62.6792*Deflactores!$H$5</f>
        <v>156.1263800461478</v>
      </c>
      <c r="L13" s="56">
        <f>64.767145*Deflactores!$I$5</f>
        <v>149.82878367074971</v>
      </c>
      <c r="M13" s="56">
        <f>70.8732*Deflactores!$J$5</f>
        <v>160.73656120890547</v>
      </c>
      <c r="N13" s="56">
        <f>86.20832*Deflactores!$K$5</f>
        <v>189.50611879859866</v>
      </c>
      <c r="O13" s="56">
        <f>60.64074*Deflactores!$L$5</f>
        <v>128.5132919301353</v>
      </c>
      <c r="P13" s="56">
        <f>51.109186*Deflactores!$M$5</f>
        <v>105.73358323323208</v>
      </c>
      <c r="Q13" s="56">
        <f>74.415591556*Deflactores!$N$5</f>
        <v>151.0195929821609</v>
      </c>
      <c r="R13" s="56">
        <f>102.812596999*Deflactores!$O$5</f>
        <v>201.28178809229485</v>
      </c>
      <c r="S13" s="56">
        <f>81.447877246*Deflactores!$P$5</f>
        <v>149.34430964315379</v>
      </c>
      <c r="T13" s="56">
        <f>49.001099778*Deflactores!$Q$5</f>
        <v>84.963884743618891</v>
      </c>
      <c r="U13" s="56">
        <f>53.215511664*Deflactores!$R$5</f>
        <v>88.645719101309993</v>
      </c>
      <c r="V13" s="56">
        <f>69.0091*Deflactores!$S$5</f>
        <v>111.41158816581614</v>
      </c>
    </row>
    <row r="14" spans="1:22" x14ac:dyDescent="0.2">
      <c r="C14" s="88" t="s">
        <v>124</v>
      </c>
      <c r="D14" s="57">
        <f>5.7083*Deflactores!$A$5</f>
        <v>21.302893664431295</v>
      </c>
      <c r="E14" s="57">
        <f>3.08*Deflactores!$B$5</f>
        <v>10.677641482673957</v>
      </c>
      <c r="F14" s="57">
        <f>8.724*Deflactores!$C$5</f>
        <v>28.267644250287681</v>
      </c>
      <c r="G14" s="57">
        <f>10.92674909*Deflactores!$D$5</f>
        <v>33.246853514720613</v>
      </c>
      <c r="H14" s="57">
        <f>14.9951*Deflactores!$E$5</f>
        <v>43.248286621553746</v>
      </c>
      <c r="I14" s="57">
        <f>11.939*Deflactores!$F$5</f>
        <v>32.839585189042033</v>
      </c>
      <c r="J14" s="57">
        <f>14.61965052*Deflactores!$G$5</f>
        <v>38.48948195669356</v>
      </c>
      <c r="K14" s="57">
        <f>24.214802963*Deflactores!$H$5</f>
        <v>60.316173948358049</v>
      </c>
      <c r="L14" s="57">
        <f>22.269*Deflactores!$I$5</f>
        <v>51.515891021040453</v>
      </c>
      <c r="M14" s="57">
        <f>25.026*Deflactores!$J$5</f>
        <v>56.757606271680537</v>
      </c>
      <c r="N14" s="57">
        <f>29.688*Deflactores!$K$5</f>
        <v>65.261191203967286</v>
      </c>
      <c r="O14" s="57">
        <f>43.024*Deflactores!$L$5</f>
        <v>91.178898410575812</v>
      </c>
      <c r="P14" s="57">
        <f>44.72*Deflactores!$M$5</f>
        <v>92.515772843459857</v>
      </c>
      <c r="Q14" s="57">
        <f>67.63089*Deflactores!$N$5</f>
        <v>137.25066571748283</v>
      </c>
      <c r="R14" s="57">
        <f>69.230536985*Deflactores!$O$5</f>
        <v>135.53637085021876</v>
      </c>
      <c r="S14" s="57">
        <f>73.351619728*Deflactores!$P$5</f>
        <v>134.4988645486558</v>
      </c>
      <c r="T14" s="57">
        <f>86.163965279*Deflactores!$Q$5</f>
        <v>149.401242996284</v>
      </c>
      <c r="U14" s="57">
        <f>95.908847712*Deflactores!$R$5</f>
        <v>159.7637325614547</v>
      </c>
      <c r="V14" s="57">
        <f>114.086296021*Deflactores!$S$5</f>
        <v>184.18636712629262</v>
      </c>
    </row>
    <row r="15" spans="1:22" x14ac:dyDescent="0.2">
      <c r="C15" s="87" t="s">
        <v>125</v>
      </c>
      <c r="D15" s="56">
        <f>6.51953034*Deflactores!$A$5</f>
        <v>24.330336803435976</v>
      </c>
      <c r="E15" s="56">
        <f>8.289389762*Deflactores!$B$5</f>
        <v>28.737380515838964</v>
      </c>
      <c r="F15" s="56">
        <f>22.628998285*Deflactores!$C$5</f>
        <v>73.322841960196016</v>
      </c>
      <c r="G15" s="56">
        <f>27.921695724*Deflactores!$D$5</f>
        <v>84.957430611086622</v>
      </c>
      <c r="H15" s="56">
        <f>28.40411311*Deflactores!$E$5</f>
        <v>81.922042868157746</v>
      </c>
      <c r="I15" s="56">
        <f>41.957055098*Deflactores!$F$5</f>
        <v>115.40767946830567</v>
      </c>
      <c r="J15" s="56">
        <f>47.810207978*Deflactores!$G$5</f>
        <v>125.87100729922219</v>
      </c>
      <c r="K15" s="56">
        <f>57.321019563*Deflactores!$H$5</f>
        <v>142.77979433249962</v>
      </c>
      <c r="L15" s="56">
        <f>63.887834553*Deflactores!$I$5</f>
        <v>147.79463480185956</v>
      </c>
      <c r="M15" s="56">
        <f>50.037724616*Deflactores!$J$5</f>
        <v>113.48283674920901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37.509182959*Deflactores!$A$5</f>
        <v>139.98110400912273</v>
      </c>
      <c r="E16" s="57">
        <f>40.249514*Deflactores!$B$5</f>
        <v>139.53567543632019</v>
      </c>
      <c r="F16" s="57">
        <f>47.464169*Deflactores!$C$5</f>
        <v>153.79415909302301</v>
      </c>
      <c r="G16" s="57">
        <f>41.151530816*Deflactores!$D$5</f>
        <v>125.21189108279076</v>
      </c>
      <c r="H16" s="57">
        <f>45.8717*Deflactores!$E$5</f>
        <v>132.30138041212973</v>
      </c>
      <c r="I16" s="57">
        <f>52.7931*Deflactores!$F$5</f>
        <v>145.21346049448155</v>
      </c>
      <c r="J16" s="57">
        <f>56.55579*Deflactores!$G$5</f>
        <v>148.89569732009915</v>
      </c>
      <c r="K16" s="57">
        <f>61.108470825*Deflactores!$H$5</f>
        <v>152.21388179911173</v>
      </c>
      <c r="L16" s="57">
        <f>96.104493985*Deflactores!$I$5</f>
        <v>222.32289904187428</v>
      </c>
      <c r="M16" s="57">
        <f>104.968055568*Deflactores!$J$5</f>
        <v>238.06183844930982</v>
      </c>
      <c r="N16" s="57">
        <f>119.27942231*Deflactores!$K$5</f>
        <v>262.2041628291455</v>
      </c>
      <c r="O16" s="57">
        <f>127.3858376*Deflactores!$L$5</f>
        <v>269.9632843407519</v>
      </c>
      <c r="P16" s="57">
        <f>154.225588*Deflactores!$M$5</f>
        <v>319.05857482238434</v>
      </c>
      <c r="Q16" s="57">
        <f>204.927796704*Deflactores!$N$5</f>
        <v>415.88209946137022</v>
      </c>
      <c r="R16" s="57">
        <f>226.121837304*Deflactores!$O$5</f>
        <v>442.69096460725331</v>
      </c>
      <c r="S16" s="57">
        <f>260.212460657*Deflactores!$P$5</f>
        <v>477.13030236493364</v>
      </c>
      <c r="T16" s="57">
        <f>268.375956059*Deflactores!$Q$5</f>
        <v>465.34187807745747</v>
      </c>
      <c r="U16" s="57">
        <f>305.415361784*Deflactores!$R$5</f>
        <v>508.75700568044499</v>
      </c>
      <c r="V16" s="57">
        <f>320.762714026*Deflactores!$S$5</f>
        <v>517.85465096652717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0.756677303*Deflactores!$A$5</f>
        <v>2.8238558106787761</v>
      </c>
      <c r="E18" s="57">
        <f>0.81586548*Deflactores!$B$5</f>
        <v>2.8284152901070456</v>
      </c>
      <c r="F18" s="57">
        <f>0.86711624*Deflactores!$C$5</f>
        <v>2.8096439014175916</v>
      </c>
      <c r="G18" s="57">
        <f>1.078646305*Deflactores!$D$5</f>
        <v>3.2820004743542297</v>
      </c>
      <c r="H18" s="57">
        <f>1.260701999*Deflactores!$E$5</f>
        <v>3.6360678753137861</v>
      </c>
      <c r="I18" s="57">
        <f>1.085898614*Deflactores!$F$5</f>
        <v>2.986888352551778</v>
      </c>
      <c r="J18" s="57">
        <f>9.089632508*Deflactores!$G$5</f>
        <v>23.930479455102681</v>
      </c>
      <c r="K18" s="57">
        <f>8.086648111*Deflactores!$H$5</f>
        <v>20.14287189813286</v>
      </c>
      <c r="L18" s="57">
        <f>5.085535945*Deflactores!$I$5</f>
        <v>11.764601712075262</v>
      </c>
      <c r="M18" s="57">
        <f>14.378676172*Deflactores!$J$5</f>
        <v>32.61005517774997</v>
      </c>
      <c r="N18" s="57">
        <f>8.666266233*Deflactores!$K$5</f>
        <v>19.05048698653659</v>
      </c>
      <c r="O18" s="57">
        <f>10.529859609*Deflactores!$L$5</f>
        <v>22.315475073601633</v>
      </c>
      <c r="P18" s="57">
        <f>10.90336576*Deflactores!$M$5</f>
        <v>22.556648253160063</v>
      </c>
      <c r="Q18" s="57">
        <f>11.062447476*Deflactores!$N$5</f>
        <v>22.450218835589592</v>
      </c>
      <c r="R18" s="57">
        <f>11.531177149*Deflactores!$O$5</f>
        <v>22.575209878049343</v>
      </c>
      <c r="S18" s="57">
        <f>17.316053343*Deflactores!$P$5</f>
        <v>31.751030471225253</v>
      </c>
      <c r="T18" s="57">
        <f>19.532383844*Deflactores!$Q$5</f>
        <v>33.86755026332748</v>
      </c>
      <c r="U18" s="57">
        <f>12.722409058*Deflactores!$R$5</f>
        <v>21.192826384311019</v>
      </c>
      <c r="V18" s="57">
        <f>13.97876507*Deflactores!$S$5</f>
        <v>22.567986208275951</v>
      </c>
    </row>
    <row r="19" spans="3:22" x14ac:dyDescent="0.2">
      <c r="C19" s="87" t="s">
        <v>129</v>
      </c>
      <c r="D19" s="56">
        <f>684.50313969995*Deflactores!$A$5</f>
        <v>2554.507926702765</v>
      </c>
      <c r="E19" s="56">
        <f>808.9334368325*Deflactores!$B$5</f>
        <v>2804.3835135859463</v>
      </c>
      <c r="F19" s="56">
        <f>897.24021367584*Deflactores!$C$5</f>
        <v>2907.2520824439189</v>
      </c>
      <c r="G19" s="56">
        <f>1014.93327960091*Deflactores!$D$5</f>
        <v>3088.140653379498</v>
      </c>
      <c r="H19" s="56">
        <f>1006.19326287045*Deflactores!$E$5</f>
        <v>2902.023636341044</v>
      </c>
      <c r="I19" s="56">
        <f>1183.25786151562*Deflactores!$F$5</f>
        <v>3254.6860996604332</v>
      </c>
      <c r="J19" s="56">
        <f>1112.50100325516*Deflactores!$G$5</f>
        <v>2928.9063533368894</v>
      </c>
      <c r="K19" s="56">
        <f>1160.5570855953*Deflactores!$H$5</f>
        <v>2890.8086990724428</v>
      </c>
      <c r="L19" s="56">
        <f>1216.39300141556*Deflactores!$I$5</f>
        <v>2813.9372805101398</v>
      </c>
      <c r="M19" s="56">
        <f>1505.16024526132*Deflactores!$J$5</f>
        <v>3413.6215366550027</v>
      </c>
      <c r="N19" s="56">
        <f>1748.06901214518*Deflactores!$K$5</f>
        <v>3842.6659269515226</v>
      </c>
      <c r="O19" s="56">
        <f>1938.32990183348*Deflactores!$L$5</f>
        <v>4107.8185479141011</v>
      </c>
      <c r="P19" s="56">
        <f>2057.976673274*Deflactores!$M$5</f>
        <v>4257.4978180178123</v>
      </c>
      <c r="Q19" s="56">
        <f>2116.06660458*Deflactores!$N$5</f>
        <v>4294.3623864943747</v>
      </c>
      <c r="R19" s="56">
        <f>1978.82119289*Deflactores!$O$5</f>
        <v>3874.0453956600395</v>
      </c>
      <c r="S19" s="56">
        <f>2218.30455934*Deflactores!$P$5</f>
        <v>4067.5236015333089</v>
      </c>
      <c r="T19" s="56">
        <f>2244.724298102*Deflactores!$Q$5</f>
        <v>3892.1676739746736</v>
      </c>
      <c r="U19" s="56">
        <f>2200.16931894014*Deflactores!$R$5</f>
        <v>3665.0139277722792</v>
      </c>
      <c r="V19" s="56">
        <f>2064.28885827362*Deflactores!$S$5</f>
        <v>3332.6865606603092</v>
      </c>
    </row>
    <row r="20" spans="3:22" x14ac:dyDescent="0.2">
      <c r="C20" s="88" t="s">
        <v>130</v>
      </c>
      <c r="D20" s="57">
        <f>9.058604*Deflactores!$A$5</f>
        <v>33.805945335772819</v>
      </c>
      <c r="E20" s="57">
        <f>13.76501*Deflactores!$B$5</f>
        <v>47.720078501760341</v>
      </c>
      <c r="F20" s="57">
        <f>16.794455041*Deflactores!$C$5</f>
        <v>54.417661677721064</v>
      </c>
      <c r="G20" s="57">
        <f>13.8599082465*Deflactores!$D$5</f>
        <v>42.171586022833594</v>
      </c>
      <c r="H20" s="57">
        <f>15.130305787*Deflactores!$E$5</f>
        <v>43.63824191555436</v>
      </c>
      <c r="I20" s="57">
        <f>13.696129999*Deflactores!$F$5</f>
        <v>37.67277224745412</v>
      </c>
      <c r="J20" s="57">
        <f>23.2497*Deflactores!$G$5</f>
        <v>61.210006861951875</v>
      </c>
      <c r="K20" s="57">
        <f>18.5912115*Deflactores!$H$5</f>
        <v>46.308481157502221</v>
      </c>
      <c r="L20" s="57">
        <f>19.071320382*Deflactores!$I$5</f>
        <v>44.11855325458977</v>
      </c>
      <c r="M20" s="57">
        <f>18.782063339*Deflactores!$J$5</f>
        <v>42.596697673009167</v>
      </c>
      <c r="N20" s="57">
        <f>3.727228289*Deflactores!$K$5</f>
        <v>8.193322488185963</v>
      </c>
      <c r="O20" s="57">
        <f>6.428307502*Deflactores!$L$5</f>
        <v>13.623233466827827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148.687854223*Deflactores!$A$5</f>
        <v>554.89051866668365</v>
      </c>
      <c r="E21" s="56">
        <f>162.32244434*Deflactores!$B$5</f>
        <v>562.73404716033065</v>
      </c>
      <c r="F21" s="56">
        <f>212.741252394*Deflactores!$C$5</f>
        <v>689.32760660640236</v>
      </c>
      <c r="G21" s="56">
        <f>213.429636381*Deflactores!$D$5</f>
        <v>649.40301987470559</v>
      </c>
      <c r="H21" s="56">
        <f>231.428864866*Deflactores!$E$5</f>
        <v>667.4781682166572</v>
      </c>
      <c r="I21" s="56">
        <f>205.281762353*Deflactores!$F$5</f>
        <v>564.65096930630921</v>
      </c>
      <c r="J21" s="56">
        <f>255.615866221*Deflactores!$G$5</f>
        <v>672.96562645587608</v>
      </c>
      <c r="K21" s="56">
        <f>68.866642913*Deflactores!$H$5</f>
        <v>171.53855926587113</v>
      </c>
      <c r="L21" s="56">
        <f>49.808943268*Deflactores!$I$5</f>
        <v>115.22529495116416</v>
      </c>
      <c r="M21" s="56">
        <f>63.401565141*Deflactores!$J$5</f>
        <v>143.79129989935203</v>
      </c>
      <c r="N21" s="56">
        <f>13.088186205*Deflactores!$K$5</f>
        <v>28.770904824765292</v>
      </c>
      <c r="O21" s="56">
        <f>11.655320463*Deflactores!$L$5</f>
        <v>24.700615480629011</v>
      </c>
      <c r="P21" s="56">
        <f>17.046648133*Deflactores!$M$5</f>
        <v>35.265738515541528</v>
      </c>
      <c r="Q21" s="56">
        <f>27.7168870689999*Deflactores!$N$5</f>
        <v>56.248870920322481</v>
      </c>
      <c r="R21" s="56">
        <f>20.234970404*Deflactores!$O$5</f>
        <v>39.615097213733463</v>
      </c>
      <c r="S21" s="56">
        <f>21.90654796*Deflactores!$P$5</f>
        <v>40.168244923921719</v>
      </c>
      <c r="T21" s="56">
        <f>25.887492612*Deflactores!$Q$5</f>
        <v>44.886787205840697</v>
      </c>
      <c r="U21" s="56">
        <f>28.985124678*Deflactores!$R$5</f>
        <v>48.283050185546294</v>
      </c>
      <c r="V21" s="56">
        <f>24.242894007*Deflactores!$S$5</f>
        <v>39.138886365065133</v>
      </c>
    </row>
    <row r="22" spans="3:22" x14ac:dyDescent="0.2">
      <c r="C22" s="88" t="s">
        <v>132</v>
      </c>
      <c r="D22" s="57">
        <f>35.150291*Deflactores!$A$5</f>
        <v>131.17791837268825</v>
      </c>
      <c r="E22" s="57">
        <f>46.396604061*Deflactores!$B$5</f>
        <v>160.84620265484824</v>
      </c>
      <c r="F22" s="57">
        <f>48.16994312*Deflactores!$C$5</f>
        <v>156.08101967821557</v>
      </c>
      <c r="G22" s="57">
        <f>33.85338692584*Deflactores!$D$5</f>
        <v>103.00580591995275</v>
      </c>
      <c r="H22" s="57">
        <f>40.71061*Deflactores!$E$5</f>
        <v>117.41596453630133</v>
      </c>
      <c r="I22" s="57">
        <f>34.829881856*Deflactores!$F$5</f>
        <v>95.803574196698349</v>
      </c>
      <c r="J22" s="57">
        <f>63.265135*Deflactores!$G$5</f>
        <v>166.55954044449226</v>
      </c>
      <c r="K22" s="57">
        <f>109.7593085*Deflactores!$H$5</f>
        <v>273.39729148542705</v>
      </c>
      <c r="L22" s="57">
        <f>101.637882*Deflactores!$I$5</f>
        <v>235.1235373263896</v>
      </c>
      <c r="M22" s="57">
        <f>151.187094*Deflactores!$J$5</f>
        <v>342.88410271763581</v>
      </c>
      <c r="N22" s="57">
        <f>140.65824*Deflactores!$K$5</f>
        <v>309.19982131007544</v>
      </c>
      <c r="O22" s="57">
        <f>148.524437*Deflactores!$L$5</f>
        <v>314.76140183876367</v>
      </c>
      <c r="P22" s="57">
        <f>157.10499*Deflactores!$M$5</f>
        <v>325.01541966489333</v>
      </c>
      <c r="Q22" s="57">
        <f>196.790672*Deflactores!$N$5</f>
        <v>399.36855391065848</v>
      </c>
      <c r="R22" s="57">
        <f>207.7665075*Deflactores!$O$5</f>
        <v>406.75574157219222</v>
      </c>
      <c r="S22" s="57">
        <f>232.154592923*Deflactores!$P$5</f>
        <v>425.68288558159514</v>
      </c>
      <c r="T22" s="57">
        <f>257.444383543*Deflactores!$Q$5</f>
        <v>446.38742865644815</v>
      </c>
      <c r="U22" s="57">
        <f>324.209314048*Deflactores!$R$5</f>
        <v>540.06373112766107</v>
      </c>
      <c r="V22" s="57">
        <f>414.103954892*Deflactores!$S$5</f>
        <v>668.54920989062612</v>
      </c>
    </row>
    <row r="23" spans="3:22" x14ac:dyDescent="0.2">
      <c r="C23" s="87" t="s">
        <v>133</v>
      </c>
      <c r="D23" s="56">
        <f>0.225556897*Deflactores!$A$5</f>
        <v>0.84175929647532222</v>
      </c>
      <c r="E23" s="56">
        <f>0.335156211*Deflactores!$B$5</f>
        <v>1.1619083966718913</v>
      </c>
      <c r="F23" s="56">
        <f>0.3006264*Deflactores!$C$5</f>
        <v>0.97409446669471389</v>
      </c>
      <c r="G23" s="56">
        <f>0.2164611*Deflactores!$D$5</f>
        <v>0.65862686367728152</v>
      </c>
      <c r="H23" s="56">
        <f>1.3211976*Deflactores!$E$5</f>
        <v>3.8105469445691535</v>
      </c>
      <c r="I23" s="56">
        <f>2.838476492*Deflactores!$F$5</f>
        <v>7.8075542814412593</v>
      </c>
      <c r="J23" s="56">
        <f>6.14*Deflactores!$G$5</f>
        <v>16.164915768047951</v>
      </c>
      <c r="K23" s="56">
        <f>2.01262288*Deflactores!$H$5</f>
        <v>5.0132025401162181</v>
      </c>
      <c r="L23" s="56">
        <f>5.259*Deflactores!$I$5</f>
        <v>12.165884003756423</v>
      </c>
      <c r="M23" s="56">
        <f>4.791234*Deflactores!$J$5</f>
        <v>10.866258008770441</v>
      </c>
      <c r="N23" s="56">
        <f>4.177927349*Deflactores!$K$5</f>
        <v>9.1840647924876428</v>
      </c>
      <c r="O23" s="56">
        <f>6.594619169*Deflactores!$L$5</f>
        <v>13.9756905742536</v>
      </c>
      <c r="P23" s="56">
        <f>6.213502078*Deflactores!$M$5</f>
        <v>12.854359275729289</v>
      </c>
      <c r="Q23" s="56">
        <f>6.205*Deflactores!$N$5</f>
        <v>12.592476319282227</v>
      </c>
      <c r="R23" s="56">
        <f>4.723843*Deflactores!$O$5</f>
        <v>9.2481232208979076</v>
      </c>
      <c r="S23" s="56">
        <f>8.071323648*Deflactores!$P$5</f>
        <v>14.799725896800096</v>
      </c>
      <c r="T23" s="56">
        <f>10.167031601*Deflactores!$Q$5</f>
        <v>17.628798231992512</v>
      </c>
      <c r="U23" s="56">
        <f>8.975452402*Deflactores!$R$5</f>
        <v>14.951193882311445</v>
      </c>
      <c r="V23" s="56">
        <f>30.778*Deflactores!$S$5</f>
        <v>49.689473715314193</v>
      </c>
    </row>
    <row r="24" spans="3:22" x14ac:dyDescent="0.2">
      <c r="C24" s="88" t="s">
        <v>134</v>
      </c>
      <c r="D24" s="57">
        <f>132.429589128*Deflactores!$A$5</f>
        <v>494.21604597132426</v>
      </c>
      <c r="E24" s="57">
        <f>123.413481652*Deflactores!$B$5</f>
        <v>427.84575039240792</v>
      </c>
      <c r="F24" s="57">
        <f>134.10720528*Deflactores!$C$5</f>
        <v>434.53631020808587</v>
      </c>
      <c r="G24" s="57">
        <f>120.390481133539*Deflactores!$D$5</f>
        <v>366.31249220105468</v>
      </c>
      <c r="H24" s="57">
        <f>132.380654737*Deflactores!$E$5</f>
        <v>381.80715695225251</v>
      </c>
      <c r="I24" s="57">
        <f>140.81279672802*Deflactores!$F$5</f>
        <v>387.32170482092909</v>
      </c>
      <c r="J24" s="57">
        <f>128.009593717019*Deflactores!$G$5</f>
        <v>337.01372963153949</v>
      </c>
      <c r="K24" s="57">
        <f>163.159364726999*Deflactores!$H$5</f>
        <v>406.41043576585992</v>
      </c>
      <c r="L24" s="57">
        <f>161.894066485*Deflactores!$I$5</f>
        <v>374.51691077256896</v>
      </c>
      <c r="M24" s="57">
        <f>172.642731243*Deflactores!$J$5</f>
        <v>391.54432052895999</v>
      </c>
      <c r="N24" s="57">
        <f>177.480546826*Deflactores!$K$5</f>
        <v>390.14389320251468</v>
      </c>
      <c r="O24" s="57">
        <f>185.267227474*Deflactores!$L$5</f>
        <v>392.62880514738026</v>
      </c>
      <c r="P24" s="57">
        <f>186.094570726*Deflactores!$M$5</f>
        <v>384.98843990804539</v>
      </c>
      <c r="Q24" s="57">
        <f>219.241099406*Deflactores!$N$5</f>
        <v>444.92962973141908</v>
      </c>
      <c r="R24" s="57">
        <f>224.6975625*Deflactores!$O$5</f>
        <v>439.90258470389659</v>
      </c>
      <c r="S24" s="57">
        <f>233.97657284*Deflactores!$P$5</f>
        <v>429.02370110790059</v>
      </c>
      <c r="T24" s="57">
        <f>214.688909586*Deflactores!$Q$5</f>
        <v>372.25294641218824</v>
      </c>
      <c r="U24" s="57">
        <f>232.179862889*Deflactores!$R$5</f>
        <v>386.76224775571222</v>
      </c>
      <c r="V24" s="57">
        <f>251.914611725*Deflactores!$S$5</f>
        <v>406.7029851781457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1109.934565231*Deflactores!$A$5</f>
        <v>4142.1820888167704</v>
      </c>
      <c r="E26" s="57">
        <f>1154.053585196*Deflactores!$B$5</f>
        <v>4000.834556661498</v>
      </c>
      <c r="F26" s="57">
        <f>1139.911253016*Deflactores!$C$5</f>
        <v>3693.5586631311276</v>
      </c>
      <c r="G26" s="57">
        <f>1160.286576072*Deflactores!$D$5</f>
        <v>3530.407581616987</v>
      </c>
      <c r="H26" s="57">
        <f>1204.12625616*Deflactores!$E$5</f>
        <v>3472.8943091373926</v>
      </c>
      <c r="I26" s="57">
        <f>1313.54092530493*Deflactores!$F$5</f>
        <v>3613.0445695489025</v>
      </c>
      <c r="J26" s="57">
        <f>1721.175682426*Deflactores!$G$5</f>
        <v>4531.3778385063106</v>
      </c>
      <c r="K26" s="57">
        <f>2342.250543466*Deflactores!$H$5</f>
        <v>5834.2655699573215</v>
      </c>
      <c r="L26" s="57">
        <f>2890.925004623*Deflactores!$I$5</f>
        <v>6687.7083608675439</v>
      </c>
      <c r="M26" s="57">
        <f>3703.735331799*Deflactores!$J$5</f>
        <v>8399.8702028594143</v>
      </c>
      <c r="N26" s="57">
        <f>3135.554449915*Deflactores!$K$5</f>
        <v>6892.6845353797253</v>
      </c>
      <c r="O26" s="57">
        <f>3428.590810724*Deflactores!$L$5</f>
        <v>7266.0638997405495</v>
      </c>
      <c r="P26" s="57">
        <f>3263.887211278*Deflactores!$M$5</f>
        <v>6752.2595667546757</v>
      </c>
      <c r="Q26" s="57">
        <f>3744.054541846*Deflactores!$N$5</f>
        <v>7598.2140461396975</v>
      </c>
      <c r="R26" s="57">
        <f>1562.687347583*Deflactores!$O$5</f>
        <v>3059.3576344907533</v>
      </c>
      <c r="S26" s="57">
        <f>1664.499803037*Deflactores!$P$5</f>
        <v>3052.057124029398</v>
      </c>
      <c r="T26" s="57">
        <f>2696.164742321*Deflactores!$Q$5</f>
        <v>4674.9283476126966</v>
      </c>
      <c r="U26" s="57">
        <f>2882.593462787*Deflactores!$R$5</f>
        <v>4801.7873434890462</v>
      </c>
      <c r="V26" s="57">
        <f>2987.183218478*Deflactores!$S$5</f>
        <v>4822.6513099418498</v>
      </c>
    </row>
    <row r="27" spans="3:22" x14ac:dyDescent="0.2">
      <c r="C27" s="87" t="s">
        <v>137</v>
      </c>
      <c r="D27" s="56">
        <f>17.710440261*Deflactores!$A$5</f>
        <v>66.09386781184341</v>
      </c>
      <c r="E27" s="56">
        <f>22.556995946*Deflactores!$B$5</f>
        <v>78.199842739453857</v>
      </c>
      <c r="F27" s="56">
        <f>25.139433335*Deflactores!$C$5</f>
        <v>81.457193737689494</v>
      </c>
      <c r="G27" s="56">
        <f>29.0175576287799*Deflactores!$D$5</f>
        <v>88.291813044552029</v>
      </c>
      <c r="H27" s="56">
        <f>34.491713625*Deflactores!$E$5</f>
        <v>99.479664485235205</v>
      </c>
      <c r="I27" s="56">
        <f>82.653571105*Deflactores!$F$5</f>
        <v>227.34810197513951</v>
      </c>
      <c r="J27" s="56">
        <f>56.174831452*Deflactores!$G$5</f>
        <v>147.89273920291058</v>
      </c>
      <c r="K27" s="56">
        <f>37.058533538*Deflactores!$H$5</f>
        <v>92.308368503533899</v>
      </c>
      <c r="L27" s="56">
        <f>60.73508273232*Deflactores!$I$5</f>
        <v>140.50123055332855</v>
      </c>
      <c r="M27" s="56">
        <f>62.60635798*Deflactores!$J$5</f>
        <v>141.98781332744844</v>
      </c>
      <c r="N27" s="56">
        <f>70.7671043*Deflactores!$K$5</f>
        <v>155.56270293294918</v>
      </c>
      <c r="O27" s="56">
        <f>60.974123029*Deflactores!$L$5</f>
        <v>129.21981613367288</v>
      </c>
      <c r="P27" s="56">
        <f>57.998927334*Deflactores!$M$5</f>
        <v>119.98693171727815</v>
      </c>
      <c r="Q27" s="56">
        <f>61.1504*Deflactores!$N$5</f>
        <v>124.09910780251987</v>
      </c>
      <c r="R27" s="56">
        <f>65.421461075*Deflactores!$O$5</f>
        <v>128.07913669289519</v>
      </c>
      <c r="S27" s="56">
        <f>50.701177921*Deflactores!$P$5</f>
        <v>92.966602331902052</v>
      </c>
      <c r="T27" s="56">
        <f>43.59246783177*Deflactores!$Q$5</f>
        <v>75.585760918192847</v>
      </c>
      <c r="U27" s="56">
        <f>70.297016282*Deflactores!$R$5</f>
        <v>117.09987114922326</v>
      </c>
      <c r="V27" s="56">
        <f>56.886194231*Deflactores!$S$5</f>
        <v>91.839789882563281</v>
      </c>
    </row>
    <row r="28" spans="3:22" x14ac:dyDescent="0.2">
      <c r="C28" s="88" t="s">
        <v>138</v>
      </c>
      <c r="D28" s="57">
        <f>14.836020194*Deflactores!$A$5</f>
        <v>55.366774800927999</v>
      </c>
      <c r="E28" s="57">
        <f>17.516699*Deflactores!$B$5</f>
        <v>60.726309052569292</v>
      </c>
      <c r="F28" s="57">
        <f>19.89331668*Deflactores!$C$5</f>
        <v>64.458642694698995</v>
      </c>
      <c r="G28" s="57">
        <f>31.3052490205999*Deflactores!$D$5</f>
        <v>95.252578773156003</v>
      </c>
      <c r="H28" s="57">
        <f>59.096393*Deflactores!$E$5</f>
        <v>170.44352773665946</v>
      </c>
      <c r="I28" s="57">
        <f>39.186800051*Deflactores!$F$5</f>
        <v>107.78777607511276</v>
      </c>
      <c r="J28" s="57">
        <f>67.426603*Deflactores!$G$5</f>
        <v>177.51553062224909</v>
      </c>
      <c r="K28" s="57">
        <f>74.504*Deflactores!$H$5</f>
        <v>185.58054057738764</v>
      </c>
      <c r="L28" s="57">
        <f>102.451176236*Deflactores!$I$5</f>
        <v>237.00496789039406</v>
      </c>
      <c r="M28" s="57">
        <f>112.59505803*Deflactores!$J$5</f>
        <v>255.35946502852082</v>
      </c>
      <c r="N28" s="57">
        <f>110.662352326*Deflactores!$K$5</f>
        <v>243.26182074332661</v>
      </c>
      <c r="O28" s="57">
        <f>84.831953*Deflactores!$L$5</f>
        <v>179.78068112118217</v>
      </c>
      <c r="P28" s="57">
        <f>30.347235*Deflactores!$M$5</f>
        <v>62.781706164738253</v>
      </c>
      <c r="Q28" s="57">
        <f>25.362461*Deflactores!$N$5</f>
        <v>51.47077994217873</v>
      </c>
      <c r="R28" s="57">
        <f>53.7835*Deflactores!$O$5</f>
        <v>105.29487014093453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204.209931554*Deflactores!$A$5</f>
        <v>762.09422369455956</v>
      </c>
      <c r="E29" s="56">
        <f>235.912327699*Deflactores!$B$5</f>
        <v>817.85300536136845</v>
      </c>
      <c r="F29" s="56">
        <f>198.38415855*Deflactores!$C$5</f>
        <v>642.80752163962245</v>
      </c>
      <c r="G29" s="56">
        <f>203.78504172315*Deflactores!$D$5</f>
        <v>620.05738164715149</v>
      </c>
      <c r="H29" s="56">
        <f>288.119494081*Deflactores!$E$5</f>
        <v>830.98308522598359</v>
      </c>
      <c r="I29" s="56">
        <f>237.51291913804*Deflactores!$F$5</f>
        <v>653.30645293003738</v>
      </c>
      <c r="J29" s="56">
        <f>319.286960527039*Deflactores!$G$5</f>
        <v>840.59394507420802</v>
      </c>
      <c r="K29" s="56">
        <f>384.622981216*Deflactores!$H$5</f>
        <v>958.04977950917657</v>
      </c>
      <c r="L29" s="56">
        <f>482.411783941*Deflactores!$I$5</f>
        <v>1115.9851312932899</v>
      </c>
      <c r="M29" s="56">
        <f>812.111389801*Deflactores!$J$5</f>
        <v>1841.8244430221541</v>
      </c>
      <c r="N29" s="56">
        <f>898.427410886*Deflactores!$K$5</f>
        <v>1974.954292802362</v>
      </c>
      <c r="O29" s="56">
        <f>866.356882247*Deflactores!$L$5</f>
        <v>1836.03259003585</v>
      </c>
      <c r="P29" s="56">
        <f>852.766454199*Deflactores!$M$5</f>
        <v>1764.1848739981529</v>
      </c>
      <c r="Q29" s="56">
        <f>1099.227713974*Deflactores!$N$5</f>
        <v>2230.781459744775</v>
      </c>
      <c r="R29" s="56">
        <f>1028.836296901*Deflactores!$O$5</f>
        <v>2014.2085263783645</v>
      </c>
      <c r="S29" s="56">
        <f>962.046961514*Deflactores!$P$5</f>
        <v>1764.0268128492958</v>
      </c>
      <c r="T29" s="56">
        <f>1025.501005129*Deflactores!$Q$5</f>
        <v>1778.1345643055272</v>
      </c>
      <c r="U29" s="56">
        <f>1045.15590132826*Deflactores!$R$5</f>
        <v>1741.0073407017087</v>
      </c>
      <c r="V29" s="56">
        <f>503.17410668*Deflactores!$S$5</f>
        <v>812.34831854254867</v>
      </c>
    </row>
    <row r="30" spans="3:22" x14ac:dyDescent="0.2">
      <c r="C30" s="88" t="s">
        <v>140</v>
      </c>
      <c r="D30" s="57">
        <f>33.491046494*Deflactores!$A$5</f>
        <v>124.98575796160091</v>
      </c>
      <c r="E30" s="57">
        <f>44.740896411*Deflactores!$B$5</f>
        <v>155.1062504838026</v>
      </c>
      <c r="F30" s="57">
        <f>25.4688899*Deflactores!$C$5</f>
        <v>82.524704165857969</v>
      </c>
      <c r="G30" s="57">
        <f>17.43548485107*Deflactores!$D$5</f>
        <v>53.051004102598519</v>
      </c>
      <c r="H30" s="57">
        <f>2315.646310038*Deflactores!$E$5</f>
        <v>6678.6973965273137</v>
      </c>
      <c r="I30" s="57">
        <f>2278.346484183*Deflactores!$F$5</f>
        <v>6266.8526222867949</v>
      </c>
      <c r="J30" s="57">
        <f>360.978454937*Deflactores!$G$5</f>
        <v>950.35607787242645</v>
      </c>
      <c r="K30" s="57">
        <f>218.115856*Deflactores!$H$5</f>
        <v>543.30047333001767</v>
      </c>
      <c r="L30" s="57">
        <f>322.943177614*Deflactores!$I$5</f>
        <v>747.0791478715405</v>
      </c>
      <c r="M30" s="57">
        <f>417.002730743*Deflactores!$J$5</f>
        <v>945.73950314580054</v>
      </c>
      <c r="N30" s="57">
        <f>1251.424060742*Deflactores!$K$5</f>
        <v>2750.923770726517</v>
      </c>
      <c r="O30" s="57">
        <f>1218.5541*Deflactores!$L$5</f>
        <v>2582.4288883342006</v>
      </c>
      <c r="P30" s="57">
        <f>692.498042702*Deflactores!$M$5</f>
        <v>1432.6250360724239</v>
      </c>
      <c r="Q30" s="57">
        <f>741.709724*Deflactores!$N$5</f>
        <v>1505.231609226649</v>
      </c>
      <c r="R30" s="57">
        <f>659.195317098*Deflactores!$O$5</f>
        <v>1290.5423654344934</v>
      </c>
      <c r="S30" s="57">
        <f>856.593229699*Deflactores!$P$5</f>
        <v>1570.6649314875699</v>
      </c>
      <c r="T30" s="57">
        <f>690.088598475*Deflactores!$Q$5</f>
        <v>1196.5569836054915</v>
      </c>
      <c r="U30" s="57">
        <f>724.142286978*Deflactores!$R$5</f>
        <v>1206.2669652814334</v>
      </c>
      <c r="V30" s="57">
        <f>711.129321031*Deflactores!$S$5</f>
        <v>1148.0811523022649</v>
      </c>
    </row>
    <row r="31" spans="3:22" x14ac:dyDescent="0.2">
      <c r="C31" s="87" t="s">
        <v>141</v>
      </c>
      <c r="D31" s="56">
        <f>9.184223294*Deflactores!$A$5</f>
        <v>34.274745935300338</v>
      </c>
      <c r="E31" s="56">
        <f>8.382529829*Deflactores!$B$5</f>
        <v>29.06027539996176</v>
      </c>
      <c r="F31" s="56">
        <f>10.845507335*Deflactores!$C$5</f>
        <v>35.141786228755805</v>
      </c>
      <c r="G31" s="56">
        <f>11.930545653*Deflactores!$D$5</f>
        <v>36.301108445785474</v>
      </c>
      <c r="H31" s="56">
        <f>14.276763447*Deflactores!$E$5</f>
        <v>41.176488158396914</v>
      </c>
      <c r="I31" s="56">
        <f>14.562986552*Deflactores!$F$5</f>
        <v>40.057160355245628</v>
      </c>
      <c r="J31" s="56">
        <f>24.913591299*Deflactores!$G$5</f>
        <v>65.590570818877424</v>
      </c>
      <c r="K31" s="56">
        <f>21.600408*Deflactores!$H$5</f>
        <v>53.804029224365522</v>
      </c>
      <c r="L31" s="56">
        <f>28.897*Deflactores!$I$5</f>
        <v>66.848745019309618</v>
      </c>
      <c r="M31" s="56">
        <f>29.61438595*Deflactores!$J$5</f>
        <v>67.163815940529361</v>
      </c>
      <c r="N31" s="56">
        <f>35.497414526*Deflactores!$K$5</f>
        <v>78.031647690237534</v>
      </c>
      <c r="O31" s="56">
        <f>30.894882887*Deflactores!$L$5</f>
        <v>65.474186225372122</v>
      </c>
      <c r="P31" s="56">
        <f>31.203853346*Deflactores!$M$5</f>
        <v>64.553859749534226</v>
      </c>
      <c r="Q31" s="56">
        <f>33.181*Deflactores!$N$5</f>
        <v>67.337785132973977</v>
      </c>
      <c r="R31" s="56">
        <f>33.246*Deflactores!$O$5</f>
        <v>65.087494356178198</v>
      </c>
      <c r="S31" s="56">
        <f>31.3467*Deflactores!$P$5</f>
        <v>57.477879465802282</v>
      </c>
      <c r="T31" s="56">
        <f>45.744085942*Deflactores!$Q$5</f>
        <v>79.31649010504961</v>
      </c>
      <c r="U31" s="56">
        <f>24.299951725*Deflactores!$R$5</f>
        <v>40.47854896877692</v>
      </c>
      <c r="V31" s="56">
        <f>21.823*Deflactores!$S$5</f>
        <v>35.232093862151594</v>
      </c>
    </row>
    <row r="32" spans="3:22" x14ac:dyDescent="0.2">
      <c r="C32" s="88" t="s">
        <v>142</v>
      </c>
      <c r="D32" s="57">
        <f>20.881127588*Deflactores!$A$5</f>
        <v>77.926605224074876</v>
      </c>
      <c r="E32" s="57">
        <f>24.271653333*Deflactores!$B$5</f>
        <v>84.144159896598183</v>
      </c>
      <c r="F32" s="57">
        <f>27.647225905*Deflactores!$C$5</f>
        <v>89.582983309247794</v>
      </c>
      <c r="G32" s="57">
        <f>28.926448644*Deflactores!$D$5</f>
        <v>88.014595452576344</v>
      </c>
      <c r="H32" s="57">
        <f>38.541627703*Deflactores!$E$5</f>
        <v>111.16026980550714</v>
      </c>
      <c r="I32" s="57">
        <f>32.531814913*Deflactores!$F$5</f>
        <v>89.482478196633849</v>
      </c>
      <c r="J32" s="57">
        <f>50.501261194*Deflactores!$G$5</f>
        <v>132.95580348227995</v>
      </c>
      <c r="K32" s="57">
        <f>54.741550448*Deflactores!$H$5</f>
        <v>136.35464571276947</v>
      </c>
      <c r="L32" s="57">
        <f>54.756283643*Deflactores!$I$5</f>
        <v>126.67020256275397</v>
      </c>
      <c r="M32" s="57">
        <f>60.628139826*Deflactores!$J$5</f>
        <v>137.50132219405828</v>
      </c>
      <c r="N32" s="57">
        <f>81.366817333*Deflactores!$K$5</f>
        <v>178.8633597287521</v>
      </c>
      <c r="O32" s="57">
        <f>77.358120576*Deflactores!$L$5</f>
        <v>163.94171200335114</v>
      </c>
      <c r="P32" s="57">
        <f>84.672906755*Deflactores!$M$5</f>
        <v>175.16948585288546</v>
      </c>
      <c r="Q32" s="57">
        <f>120.617562*Deflactores!$N$5</f>
        <v>244.78223902893728</v>
      </c>
      <c r="R32" s="57">
        <f>123.911*Deflactores!$O$5</f>
        <v>242.58727405307093</v>
      </c>
      <c r="S32" s="57">
        <f>126.9779*Deflactores!$P$5</f>
        <v>232.82898777289782</v>
      </c>
      <c r="T32" s="57">
        <f>118.256259817*Deflactores!$Q$5</f>
        <v>205.04664741859662</v>
      </c>
      <c r="U32" s="57">
        <f>124.830664551*Deflactores!$R$5</f>
        <v>207.94132535802882</v>
      </c>
      <c r="V32" s="57">
        <f>112.901301*Deflactores!$S$5</f>
        <v>182.27325454754293</v>
      </c>
    </row>
    <row r="33" spans="3:22" x14ac:dyDescent="0.2">
      <c r="C33" s="87" t="s">
        <v>143</v>
      </c>
      <c r="D33" s="56">
        <f>0.0585*Deflactores!$A$5</f>
        <v>0.21831706101102441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66.591601911*Deflactores!$E$5</f>
        <v>192.06091896921885</v>
      </c>
      <c r="I33" s="56">
        <f>8.86793114152*Deflactores!$F$5</f>
        <v>24.392258997613268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48.02174751*Deflactores!$M$5</f>
        <v>99.346356980794809</v>
      </c>
      <c r="Q33" s="56">
        <f>6.856473429*Deflactores!$N$5</f>
        <v>13.914581674209558</v>
      </c>
      <c r="R33" s="56">
        <f>12.826001183*Deflactores!$O$5</f>
        <v>25.110156999664543</v>
      </c>
      <c r="S33" s="56">
        <f>3.309*Deflactores!$P$5</f>
        <v>6.0674426064734011</v>
      </c>
      <c r="T33" s="56">
        <f>11.880739274*Deflactores!$Q$5</f>
        <v>20.600226666715091</v>
      </c>
      <c r="U33" s="56">
        <f>20.546765788*Deflactores!$R$5</f>
        <v>34.226539810113479</v>
      </c>
      <c r="V33" s="56">
        <f>152.863819794*Deflactores!$S$5</f>
        <v>246.79065422303233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19.148407319*Deflactores!$A$5</f>
        <v>71.460239468821698</v>
      </c>
      <c r="E35" s="56">
        <f>19.591125569*Deflactores!$B$5</f>
        <v>67.91786203500935</v>
      </c>
      <c r="F35" s="56">
        <f>33.568428695*Deflactores!$C$5</f>
        <v>108.76895923789647</v>
      </c>
      <c r="G35" s="56">
        <f>25.067270199*Deflactores!$D$5</f>
        <v>76.272261168950692</v>
      </c>
      <c r="H35" s="56">
        <f>28.644206908*Deflactores!$E$5</f>
        <v>82.614512100904548</v>
      </c>
      <c r="I35" s="56">
        <f>13.19138481*Deflactores!$F$5</f>
        <v>36.284412867864155</v>
      </c>
      <c r="J35" s="56">
        <f>38.475990297*Deflactores!$G$5</f>
        <v>101.29660297121097</v>
      </c>
      <c r="K35" s="56">
        <f>36.932942188*Deflactores!$H$5</f>
        <v>91.995535492892259</v>
      </c>
      <c r="L35" s="56">
        <f>30.838*Deflactores!$I$5</f>
        <v>71.338948641916815</v>
      </c>
      <c r="M35" s="56">
        <f>37.60481516*Deflactores!$J$5</f>
        <v>85.285674609230526</v>
      </c>
      <c r="N35" s="56">
        <f>44.903290566*Deflactores!$K$5</f>
        <v>98.707970604790717</v>
      </c>
      <c r="O35" s="56">
        <f>49.119953357*Deflactores!$L$5</f>
        <v>104.09778814313233</v>
      </c>
      <c r="P35" s="56">
        <f>54.412927217*Deflactores!$M$5</f>
        <v>112.56829190866918</v>
      </c>
      <c r="Q35" s="56">
        <f>53.261*Deflactores!$N$5</f>
        <v>108.08829673509922</v>
      </c>
      <c r="R35" s="56">
        <f>62.092943088*Deflactores!$O$5</f>
        <v>121.56271680198199</v>
      </c>
      <c r="S35" s="56">
        <f>79.029272362*Deflactores!$P$5</f>
        <v>144.9095117219068</v>
      </c>
      <c r="T35" s="56">
        <f>89.677864288*Deflactores!$Q$5</f>
        <v>155.49405543833117</v>
      </c>
      <c r="U35" s="56">
        <f>92.022257971*Deflactores!$R$5</f>
        <v>153.28950105132549</v>
      </c>
      <c r="V35" s="56">
        <f>99.376388153*Deflactores!$S$5</f>
        <v>160.43798905228911</v>
      </c>
    </row>
    <row r="36" spans="3:22" x14ac:dyDescent="0.2">
      <c r="C36" s="88" t="s">
        <v>146</v>
      </c>
      <c r="D36" s="57">
        <f>55.6351*Deflactores!$A$5</f>
        <v>207.62549608640074</v>
      </c>
      <c r="E36" s="57">
        <f>60.605352745*Deflactores!$B$5</f>
        <v>210.10461965652595</v>
      </c>
      <c r="F36" s="57">
        <f>59.231262245*Deflactores!$C$5</f>
        <v>191.92208271861028</v>
      </c>
      <c r="G36" s="57">
        <f>39.518977535*Deflactores!$D$5</f>
        <v>120.24451612603832</v>
      </c>
      <c r="H36" s="57">
        <f>48.9352049579999*Deflactores!$E$5</f>
        <v>141.137022754637</v>
      </c>
      <c r="I36" s="57">
        <f>47.351396689*Deflactores!$F$5</f>
        <v>130.24543306713613</v>
      </c>
      <c r="J36" s="57">
        <f>59.2419703099999*Deflactores!$G$5</f>
        <v>155.96766449419317</v>
      </c>
      <c r="K36" s="57">
        <f>57.64480384*Deflactores!$H$5</f>
        <v>143.58630218652249</v>
      </c>
      <c r="L36" s="57">
        <f>59.853*Deflactores!$I$5</f>
        <v>138.46066843065853</v>
      </c>
      <c r="M36" s="57">
        <f>76.089560131*Deflactores!$J$5</f>
        <v>172.56698215058972</v>
      </c>
      <c r="N36" s="57">
        <f>118.705394776*Deflactores!$K$5</f>
        <v>260.94231559616532</v>
      </c>
      <c r="O36" s="57">
        <f>118.6728*Deflactores!$L$5</f>
        <v>251.4981214042995</v>
      </c>
      <c r="P36" s="57">
        <f>233.065941177*Deflactores!$M$5</f>
        <v>482.16179945166613</v>
      </c>
      <c r="Q36" s="57">
        <f>222.298*Deflactores!$N$5</f>
        <v>451.13332809408547</v>
      </c>
      <c r="R36" s="57">
        <f>180.891966222*Deflactores!$O$5</f>
        <v>354.14199694857734</v>
      </c>
      <c r="S36" s="57">
        <f>237.95576086*Deflactores!$P$5</f>
        <v>436.32001266175871</v>
      </c>
      <c r="T36" s="57">
        <f>309.022227539*Deflactores!$Q$5</f>
        <v>535.81917636118021</v>
      </c>
      <c r="U36" s="57">
        <f>309.029419521*Deflactores!$R$5</f>
        <v>514.77725686195799</v>
      </c>
      <c r="V36" s="57">
        <f>268.591*Deflactores!$S$5</f>
        <v>433.62614317596842</v>
      </c>
    </row>
    <row r="37" spans="3:22" x14ac:dyDescent="0.2">
      <c r="C37" s="90" t="s">
        <v>147</v>
      </c>
      <c r="D37" s="58">
        <f>700.609254339*Deflactores!$A$5</f>
        <v>2614.6145867421501</v>
      </c>
      <c r="E37" s="58">
        <f>782.941984801*Deflactores!$B$5</f>
        <v>2714.2772128046236</v>
      </c>
      <c r="F37" s="58">
        <f>752.525672304*Deflactores!$C$5</f>
        <v>2438.3457122762534</v>
      </c>
      <c r="G37" s="58">
        <f>787.546873752*Deflactores!$D$5</f>
        <v>2396.2713275416586</v>
      </c>
      <c r="H37" s="58">
        <f>967.72983466716*Deflactores!$E$5</f>
        <v>2791.0889065037345</v>
      </c>
      <c r="I37" s="58">
        <f>996.961455516*Deflactores!$F$5</f>
        <v>2742.2565247180687</v>
      </c>
      <c r="J37" s="58">
        <f>1200.217786615*Deflactores!$G$5</f>
        <v>3159.8402970593529</v>
      </c>
      <c r="K37" s="58">
        <f>1298.481008955*Deflactores!$H$5</f>
        <v>3234.3606728677742</v>
      </c>
      <c r="L37" s="58">
        <f>1453.925571645*Deflactores!$I$5</f>
        <v>3363.432183823601</v>
      </c>
      <c r="M37" s="58">
        <f>1713.35904547623*Deflactores!$J$5</f>
        <v>3885.805086916097</v>
      </c>
      <c r="N37" s="58">
        <f>2199.789243171*Deflactores!$K$5</f>
        <v>4835.6530048172035</v>
      </c>
      <c r="O37" s="58">
        <f>2375.69907458*Deflactores!$L$5</f>
        <v>5034.7160788217925</v>
      </c>
      <c r="P37" s="58">
        <f>2712.933542629*Deflactores!$M$5</f>
        <v>5612.4584832125975</v>
      </c>
      <c r="Q37" s="58">
        <f>2773.33386289641*Deflactores!$N$5</f>
        <v>5628.2257846875982</v>
      </c>
      <c r="R37" s="58">
        <f>1399.74915822052*Deflactores!$O$5</f>
        <v>2740.3647186351222</v>
      </c>
      <c r="S37" s="58">
        <f>1954.582910666*Deflactores!$P$5</f>
        <v>3583.958788171557</v>
      </c>
      <c r="T37" s="58">
        <f>2250.714120758*Deflactores!$Q$5</f>
        <v>3902.5535347836094</v>
      </c>
      <c r="U37" s="58">
        <f>2361.791039725*Deflactores!$R$5</f>
        <v>3934.2413243220944</v>
      </c>
      <c r="V37" s="58">
        <f>2150.837207*Deflactores!$S$5</f>
        <v>3472.4143499625156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293.5195484*Deflactores!$A$5</f>
        <v>1095.3901736063442</v>
      </c>
      <c r="E39" s="56">
        <f>299.74387286*Deflactores!$B$5</f>
        <v>1039.142081502365</v>
      </c>
      <c r="F39" s="56">
        <f>305.804992022*Deflactores!$C$5</f>
        <v>990.87422334249868</v>
      </c>
      <c r="G39" s="56">
        <f>251.090755227*Deflactores!$D$5</f>
        <v>763.99462357679499</v>
      </c>
      <c r="H39" s="56">
        <f>287.161412*Deflactores!$E$5</f>
        <v>828.21982199692445</v>
      </c>
      <c r="I39" s="56">
        <f>246.62958*Deflactores!$F$5</f>
        <v>678.38287147563938</v>
      </c>
      <c r="J39" s="56">
        <f>390.259098926*Deflactores!$G$5</f>
        <v>1027.4438862952904</v>
      </c>
      <c r="K39" s="56">
        <f>502.122964559*Deflactores!$H$5</f>
        <v>1250.7281649197314</v>
      </c>
      <c r="L39" s="56">
        <f>663.65407537*Deflactores!$I$5</f>
        <v>1535.2611712438945</v>
      </c>
      <c r="M39" s="56">
        <f>955.280087867*Deflactores!$J$5</f>
        <v>2166.5232600627974</v>
      </c>
      <c r="N39" s="56">
        <f>1046.237221168*Deflactores!$K$5</f>
        <v>2299.8749439285994</v>
      </c>
      <c r="O39" s="56">
        <f>1153.550738668*Deflactores!$L$5</f>
        <v>2444.6700821042732</v>
      </c>
      <c r="P39" s="56">
        <f>1286.179192*Deflactores!$M$5</f>
        <v>2660.8198113384783</v>
      </c>
      <c r="Q39" s="56">
        <f>1433.786343896*Deflactores!$N$5</f>
        <v>2909.7374024851929</v>
      </c>
      <c r="R39" s="56">
        <f>1918.594143757*Deflactores!$O$5</f>
        <v>3756.1356404854801</v>
      </c>
      <c r="S39" s="56">
        <f>1555.619286201*Deflactores!$P$5</f>
        <v>2852.4118273036224</v>
      </c>
      <c r="T39" s="56">
        <f>1196.302911507*Deflactores!$Q$5</f>
        <v>2074.2910496341733</v>
      </c>
      <c r="U39" s="56">
        <f>1254.587728588*Deflactores!$R$5</f>
        <v>2089.876201483522</v>
      </c>
      <c r="V39" s="56">
        <f>1303.384062301*Deflactores!$S$5</f>
        <v>2104.2455034331338</v>
      </c>
    </row>
    <row r="40" spans="3:22" x14ac:dyDescent="0.2">
      <c r="C40" s="88" t="s">
        <v>150</v>
      </c>
      <c r="D40" s="57">
        <f>517.207429017*Deflactores!$A$5</f>
        <v>1930.174458736059</v>
      </c>
      <c r="E40" s="57">
        <f>781.02766378417*Deflactores!$B$5</f>
        <v>2707.6407084213579</v>
      </c>
      <c r="F40" s="57">
        <f>1000.89216*Deflactores!$C$5</f>
        <v>3243.1067757659348</v>
      </c>
      <c r="G40" s="57">
        <f>778.5035118503*Deflactores!$D$5</f>
        <v>2368.7550620952793</v>
      </c>
      <c r="H40" s="57">
        <f>755.93165207805*Deflactores!$E$5</f>
        <v>2180.2287917637191</v>
      </c>
      <c r="I40" s="57">
        <f>626.46115189392*Deflactores!$F$5</f>
        <v>1723.1530584844452</v>
      </c>
      <c r="J40" s="57">
        <f>854.41259221717*Deflactores!$G$5</f>
        <v>2249.4312026628754</v>
      </c>
      <c r="K40" s="57">
        <f>850.411796239*Deflactores!$H$5</f>
        <v>2118.2739297141206</v>
      </c>
      <c r="L40" s="57">
        <f>850.6261928412*Deflactores!$I$5</f>
        <v>1967.7922785059861</v>
      </c>
      <c r="M40" s="57">
        <f>1050.700260401*Deflactores!$J$5</f>
        <v>2382.9310193155984</v>
      </c>
      <c r="N40" s="57">
        <f>1281.49349921*Deflactores!$K$5</f>
        <v>2817.0234531994379</v>
      </c>
      <c r="O40" s="57">
        <f>888.620551700999*Deflactores!$L$5</f>
        <v>1883.2150197353856</v>
      </c>
      <c r="P40" s="57">
        <f>1212.6112*Deflactores!$M$5</f>
        <v>2508.6239339587491</v>
      </c>
      <c r="Q40" s="57">
        <f>1165.24238422093*Deflactores!$N$5</f>
        <v>2364.7521562491575</v>
      </c>
      <c r="R40" s="57">
        <f>1466.186371851*Deflactores!$O$5</f>
        <v>2870.4324491053767</v>
      </c>
      <c r="S40" s="57">
        <f>1587.914225168*Deflactores!$P$5</f>
        <v>2911.6284149922999</v>
      </c>
      <c r="T40" s="57">
        <f>1703.450058804*Deflactores!$Q$5</f>
        <v>2953.6425737063564</v>
      </c>
      <c r="U40" s="57">
        <f>2444.249677335*Deflactores!$R$5</f>
        <v>4071.5998688232776</v>
      </c>
      <c r="V40" s="57">
        <f>2071.890245226*Deflactores!$S$5</f>
        <v>3344.9586029362927</v>
      </c>
    </row>
    <row r="41" spans="3:22" x14ac:dyDescent="0.2">
      <c r="C41" s="87" t="s">
        <v>151</v>
      </c>
      <c r="D41" s="56">
        <f>36.718857568*Deflactores!$A$5</f>
        <v>137.03167637484052</v>
      </c>
      <c r="E41" s="56">
        <f>62.17883846*Deflactores!$B$5</f>
        <v>215.55952756005809</v>
      </c>
      <c r="F41" s="56">
        <f>23.117184*Deflactores!$C$5</f>
        <v>74.904669117428057</v>
      </c>
      <c r="G41" s="56">
        <f>14.6774*Deflactores!$D$5</f>
        <v>44.658970729322412</v>
      </c>
      <c r="H41" s="56">
        <f>36.7336*Deflactores!$E$5</f>
        <v>105.94562633403622</v>
      </c>
      <c r="I41" s="56">
        <f>88.85*Deflactores!$F$5</f>
        <v>244.39208845350404</v>
      </c>
      <c r="J41" s="56">
        <f>43.5783*Deflactores!$G$5</f>
        <v>114.72956821086711</v>
      </c>
      <c r="K41" s="56">
        <f>24.6393235*Deflactores!$H$5</f>
        <v>61.373603760752857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152</v>
      </c>
      <c r="D42" s="44">
        <f t="shared" ref="D42:V42" si="0">+SUM(D13:D41)</f>
        <v>15453.211183002451</v>
      </c>
      <c r="E42" s="44">
        <f t="shared" si="0"/>
        <v>16511.668507063197</v>
      </c>
      <c r="F42" s="44">
        <f t="shared" si="0"/>
        <v>16365.136722217625</v>
      </c>
      <c r="G42" s="44">
        <f t="shared" si="0"/>
        <v>14883.222018655228</v>
      </c>
      <c r="H42" s="44">
        <f t="shared" si="0"/>
        <v>22257.578938138027</v>
      </c>
      <c r="I42" s="44">
        <f t="shared" si="0"/>
        <v>21348.33235493796</v>
      </c>
      <c r="J42" s="44">
        <f t="shared" si="0"/>
        <v>18349.719216977584</v>
      </c>
      <c r="K42" s="44">
        <f t="shared" si="0"/>
        <v>19029.037387067834</v>
      </c>
      <c r="L42" s="44">
        <f t="shared" si="0"/>
        <v>20376.397307770429</v>
      </c>
      <c r="M42" s="44">
        <f t="shared" si="0"/>
        <v>25429.511701911826</v>
      </c>
      <c r="N42" s="44">
        <f t="shared" si="0"/>
        <v>27710.663711537869</v>
      </c>
      <c r="O42" s="44">
        <f t="shared" si="0"/>
        <v>27320.618107980077</v>
      </c>
      <c r="P42" s="44">
        <f t="shared" si="0"/>
        <v>27403.026491694905</v>
      </c>
      <c r="Q42" s="44">
        <f t="shared" si="0"/>
        <v>29231.873071315735</v>
      </c>
      <c r="R42" s="44">
        <f t="shared" si="0"/>
        <v>22344.55625632147</v>
      </c>
      <c r="S42" s="44">
        <f t="shared" si="0"/>
        <v>22475.24100146598</v>
      </c>
      <c r="T42" s="44">
        <f t="shared" si="0"/>
        <v>23158.867601117745</v>
      </c>
      <c r="U42" s="44">
        <f t="shared" si="0"/>
        <v>24346.025521751544</v>
      </c>
      <c r="V42" s="44">
        <f t="shared" si="0"/>
        <v>22187.686870138525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D47" s="164" t="s">
        <v>172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</row>
    <row r="48" spans="3:22" ht="15" hidden="1" customHeight="1" x14ac:dyDescent="0.2">
      <c r="H48" s="27"/>
      <c r="I48" s="27"/>
      <c r="J48" s="27"/>
      <c r="L48" s="27"/>
      <c r="M48" s="27"/>
      <c r="N48" s="27"/>
      <c r="O48" s="27"/>
      <c r="P48" s="27"/>
      <c r="Q48" s="98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ht="12" thickBot="1" x14ac:dyDescent="0.25">
      <c r="C50" s="181" t="s">
        <v>120</v>
      </c>
      <c r="D50" s="155">
        <v>2000</v>
      </c>
      <c r="E50" s="155">
        <v>2001</v>
      </c>
      <c r="F50" s="155">
        <v>2002</v>
      </c>
      <c r="G50" s="155">
        <v>2003</v>
      </c>
      <c r="H50" s="155">
        <v>2004</v>
      </c>
      <c r="I50" s="155">
        <v>2005</v>
      </c>
      <c r="J50" s="155">
        <v>2006</v>
      </c>
      <c r="K50" s="155">
        <v>2007</v>
      </c>
      <c r="L50" s="155">
        <v>2008</v>
      </c>
      <c r="M50" s="155">
        <v>2009</v>
      </c>
      <c r="N50" s="155">
        <v>2010</v>
      </c>
      <c r="O50" s="155">
        <v>2011</v>
      </c>
      <c r="P50" s="155">
        <v>2012</v>
      </c>
      <c r="Q50" s="155">
        <v>2013</v>
      </c>
      <c r="R50" s="155">
        <v>2014</v>
      </c>
      <c r="S50" s="155">
        <v>2015</v>
      </c>
      <c r="T50" s="155">
        <v>2016</v>
      </c>
      <c r="U50" s="155">
        <v>2017</v>
      </c>
      <c r="V50" s="155">
        <v>2018</v>
      </c>
    </row>
    <row r="51" spans="3:22" ht="12" customHeight="1" thickBot="1" x14ac:dyDescent="0.25">
      <c r="C51" s="162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3:22" x14ac:dyDescent="0.2">
      <c r="C52" s="87" t="s">
        <v>123</v>
      </c>
      <c r="D52" s="65">
        <f>36.2100729245*Deflactores!$A$5</f>
        <v>135.13293504054204</v>
      </c>
      <c r="E52" s="56">
        <f>35.8800794855*Deflactores!$B$5</f>
        <v>124.38786529740702</v>
      </c>
      <c r="F52" s="56">
        <f>36.635118942*Deflactores!$C$5</f>
        <v>118.70569799626679</v>
      </c>
      <c r="G52" s="56">
        <f>31.024949061*Deflactores!$D$5</f>
        <v>94.39970921238897</v>
      </c>
      <c r="H52" s="56">
        <f>50.321692589*Deflactores!$E$5</f>
        <v>145.13587667776733</v>
      </c>
      <c r="I52" s="56">
        <f>43.27018847*Deflactores!$F$5</f>
        <v>119.01960301586981</v>
      </c>
      <c r="J52" s="56">
        <f>61.461734706*Deflactores!$G$5</f>
        <v>161.81168802615628</v>
      </c>
      <c r="K52" s="56">
        <f>58.245828229*Deflactores!$H$5</f>
        <v>145.08338195419688</v>
      </c>
      <c r="L52" s="56">
        <f>61.843923815*Deflactores!$I$5</f>
        <v>143.06636308622157</v>
      </c>
      <c r="M52" s="56">
        <f>55.656663964*Deflactores!$J$5</f>
        <v>126.22628544969002</v>
      </c>
      <c r="N52" s="56">
        <f>71.571966388*Deflactores!$K$5</f>
        <v>157.33197868806212</v>
      </c>
      <c r="O52" s="56">
        <f>53.0426706297499*Deflactores!$L$5</f>
        <v>112.41103283691892</v>
      </c>
      <c r="P52" s="56">
        <f>46.93674365471*Deflactores!$M$5</f>
        <v>97.10172437323024</v>
      </c>
      <c r="Q52" s="56">
        <f>60.35755805154*Deflactores!$N$5</f>
        <v>122.49010805055919</v>
      </c>
      <c r="R52" s="56">
        <f>97.16221082378*Deflactores!$O$5</f>
        <v>190.21972112815305</v>
      </c>
      <c r="S52" s="56">
        <f>65.92876250912*Deflactores!$P$5</f>
        <v>120.88817849498365</v>
      </c>
      <c r="T52" s="56">
        <f>46.05019627594*Deflactores!$Q$5</f>
        <v>79.847260296933868</v>
      </c>
      <c r="U52" s="56">
        <f>51.26383021732*Deflactores!$R$5</f>
        <v>85.394633094846341</v>
      </c>
      <c r="V52" s="56">
        <f>60.4902115525799*Deflactores!$S$5</f>
        <v>97.658287639733388</v>
      </c>
    </row>
    <row r="53" spans="3:22" x14ac:dyDescent="0.2">
      <c r="C53" s="88" t="s">
        <v>124</v>
      </c>
      <c r="D53" s="57">
        <f>3.04604505296*Deflactores!$A$5</f>
        <v>11.367582968707646</v>
      </c>
      <c r="E53" s="57">
        <f>1.062717388*Deflactores!$B$5</f>
        <v>3.6841932683336736</v>
      </c>
      <c r="F53" s="57">
        <f>7.36757275538999*Deflactores!$C$5</f>
        <v>23.872527010256302</v>
      </c>
      <c r="G53" s="57">
        <f>8.58197371639*Deflactores!$D$5</f>
        <v>26.112398176793931</v>
      </c>
      <c r="H53" s="57">
        <f>11.4031171549599*Deflactores!$E$5</f>
        <v>32.888428826540817</v>
      </c>
      <c r="I53" s="57">
        <f>8.77429770821999*Deflactores!$F$5</f>
        <v>24.13470952869643</v>
      </c>
      <c r="J53" s="57">
        <f>11.65714183993*Deflactores!$G$5</f>
        <v>30.690018882517261</v>
      </c>
      <c r="K53" s="57">
        <f>20.93919499082*Deflactores!$H$5</f>
        <v>52.157026812677209</v>
      </c>
      <c r="L53" s="57">
        <f>17.04992551237*Deflactores!$I$5</f>
        <v>39.442368521806557</v>
      </c>
      <c r="M53" s="57">
        <f>20.7066014237699*Deflactores!$J$5</f>
        <v>46.961445330254598</v>
      </c>
      <c r="N53" s="57">
        <f>24.02984087722*Deflactores!$K$5</f>
        <v>52.823229590715556</v>
      </c>
      <c r="O53" s="57">
        <f>38.07912427073*Deflactores!$L$5</f>
        <v>80.69943760330473</v>
      </c>
      <c r="P53" s="57">
        <f>39.45450646738*Deflactores!$M$5</f>
        <v>81.622633228688414</v>
      </c>
      <c r="Q53" s="57">
        <f>53.65119612868*Deflactores!$N$5</f>
        <v>108.88016386004337</v>
      </c>
      <c r="R53" s="57">
        <f>58.25105919557*Deflactores!$O$5</f>
        <v>114.04125268101619</v>
      </c>
      <c r="S53" s="57">
        <f>66.01524220171*Deflactores!$P$5</f>
        <v>121.04674923279424</v>
      </c>
      <c r="T53" s="57">
        <f>77.49118911206*Deflactores!$Q$5</f>
        <v>134.36336103050152</v>
      </c>
      <c r="U53" s="57">
        <f>92.93628673117*Deflactores!$R$5</f>
        <v>154.81207847642165</v>
      </c>
      <c r="V53" s="57">
        <f>111.06654468903*Deflactores!$S$5</f>
        <v>179.3111362978857</v>
      </c>
    </row>
    <row r="54" spans="3:22" x14ac:dyDescent="0.2">
      <c r="C54" s="87" t="s">
        <v>125</v>
      </c>
      <c r="D54" s="56">
        <f>6.1498901741*Deflactores!$A$5</f>
        <v>22.950870911967339</v>
      </c>
      <c r="E54" s="56">
        <f>7.86128488419999*Deflactores!$B$5</f>
        <v>27.253240774886866</v>
      </c>
      <c r="F54" s="56">
        <f>22.4451105273699*Deflactores!$C$5</f>
        <v>72.727005908537279</v>
      </c>
      <c r="G54" s="56">
        <f>27.62638395873*Deflactores!$D$5</f>
        <v>84.058884582415502</v>
      </c>
      <c r="H54" s="56">
        <f>27.93207588936*Deflactores!$E$5</f>
        <v>80.560611399592659</v>
      </c>
      <c r="I54" s="56">
        <f>41.44616995361*Deflactores!$F$5</f>
        <v>114.00243143907279</v>
      </c>
      <c r="J54" s="56">
        <f>46.94325704665*Deflactores!$G$5</f>
        <v>123.58856612979164</v>
      </c>
      <c r="K54" s="56">
        <f>53.7968510705*Deflactores!$H$5</f>
        <v>134.00151271105719</v>
      </c>
      <c r="L54" s="56">
        <f>61.65444301615*Deflactores!$I$5</f>
        <v>142.62802853217173</v>
      </c>
      <c r="M54" s="56">
        <f>48.60898774798*Deflactores!$J$5</f>
        <v>110.24253927374698</v>
      </c>
      <c r="N54" s="56">
        <f>0*Deflactores!$K$5</f>
        <v>0</v>
      </c>
      <c r="O54" s="56">
        <f>0*Deflactores!$L$5</f>
        <v>0</v>
      </c>
      <c r="P54" s="56">
        <f>0*Deflactores!$M$5</f>
        <v>0</v>
      </c>
      <c r="Q54" s="56">
        <f>0*Deflactores!$N$5</f>
        <v>0</v>
      </c>
      <c r="R54" s="56">
        <f>0*Deflactores!$O$5</f>
        <v>0</v>
      </c>
      <c r="S54" s="56">
        <f>0*Deflactores!$P$5</f>
        <v>0</v>
      </c>
      <c r="T54" s="56">
        <f>0*Deflactores!$Q$5</f>
        <v>0</v>
      </c>
      <c r="U54" s="56">
        <f>0*Deflactores!$R$5</f>
        <v>0</v>
      </c>
      <c r="V54" s="56">
        <f>0*Deflactores!$S$5</f>
        <v>0</v>
      </c>
    </row>
    <row r="55" spans="3:22" x14ac:dyDescent="0.2">
      <c r="C55" s="88" t="s">
        <v>126</v>
      </c>
      <c r="D55" s="57">
        <f>35.6767520253399*Deflactores!$A$5</f>
        <v>133.14262647164648</v>
      </c>
      <c r="E55" s="57">
        <f>35.786062984*Deflactores!$B$5</f>
        <v>124.06193201933161</v>
      </c>
      <c r="F55" s="57">
        <f>37.261712756*Deflactores!$C$5</f>
        <v>120.73599728828685</v>
      </c>
      <c r="G55" s="57">
        <f>36.653103124*Deflactores!$D$5</f>
        <v>111.52451112278413</v>
      </c>
      <c r="H55" s="57">
        <f>39.965685213*Deflactores!$E$5</f>
        <v>115.26748131847177</v>
      </c>
      <c r="I55" s="57">
        <f>47.63117692*Deflactores!$F$5</f>
        <v>131.01500059625371</v>
      </c>
      <c r="J55" s="57">
        <f>49.548271488*Deflactores!$G$5</f>
        <v>130.44684610030814</v>
      </c>
      <c r="K55" s="57">
        <f>57.889290852*Deflactores!$H$5</f>
        <v>144.19529005094734</v>
      </c>
      <c r="L55" s="57">
        <f>89.92491549418*Deflactores!$I$5</f>
        <v>208.02739892561181</v>
      </c>
      <c r="M55" s="57">
        <f>100.1659768982*Deflactores!$J$5</f>
        <v>227.17098531951905</v>
      </c>
      <c r="N55" s="57">
        <f>110.04350582878*Deflactores!$K$5</f>
        <v>241.90145091103813</v>
      </c>
      <c r="O55" s="57">
        <f>110.76453357878*Deflactores!$L$5</f>
        <v>234.7384751458348</v>
      </c>
      <c r="P55" s="57">
        <f>142.34915984252*Deflactores!$M$5</f>
        <v>294.48887603863903</v>
      </c>
      <c r="Q55" s="57">
        <f>195.91528931969*Deflactores!$N$5</f>
        <v>397.59204534142185</v>
      </c>
      <c r="R55" s="57">
        <f>217.65275413227*Deflactores!$O$5</f>
        <v>426.11058191032794</v>
      </c>
      <c r="S55" s="57">
        <f>248.923691618599*Deflactores!$P$5</f>
        <v>456.43101005963535</v>
      </c>
      <c r="T55" s="57">
        <f>257.670861717879*Deflactores!$Q$5</f>
        <v>446.78012322115262</v>
      </c>
      <c r="U55" s="57">
        <f>298.22643370248*Deflactores!$R$5</f>
        <v>496.78178117489819</v>
      </c>
      <c r="V55" s="57">
        <f>307.92650624502*Deflactores!$S$5</f>
        <v>497.1312638348968</v>
      </c>
    </row>
    <row r="56" spans="3:22" x14ac:dyDescent="0.2">
      <c r="C56" s="87" t="s">
        <v>127</v>
      </c>
      <c r="D56" s="56">
        <f>0*Deflactores!$A$5</f>
        <v>0</v>
      </c>
      <c r="E56" s="56">
        <f>0*Deflactores!$B$5</f>
        <v>0</v>
      </c>
      <c r="F56" s="56">
        <f>0*Deflactores!$C$5</f>
        <v>0</v>
      </c>
      <c r="G56" s="56">
        <f>0*Deflactores!$D$5</f>
        <v>0</v>
      </c>
      <c r="H56" s="56">
        <f>0*Deflactores!$E$5</f>
        <v>0</v>
      </c>
      <c r="I56" s="56">
        <f>0*Deflactores!$F$5</f>
        <v>0</v>
      </c>
      <c r="J56" s="56">
        <f>0*Deflactores!$G$5</f>
        <v>0</v>
      </c>
      <c r="K56" s="56">
        <f>0*Deflactores!$H$5</f>
        <v>0</v>
      </c>
      <c r="L56" s="56">
        <f>0*Deflactores!$I$5</f>
        <v>0</v>
      </c>
      <c r="M56" s="56">
        <f>0*Deflactores!$J$5</f>
        <v>0</v>
      </c>
      <c r="N56" s="56">
        <f>0*Deflactores!$K$5</f>
        <v>0</v>
      </c>
      <c r="O56" s="56">
        <f>0*Deflactores!$L$5</f>
        <v>0</v>
      </c>
      <c r="P56" s="56">
        <f>0*Deflactores!$M$5</f>
        <v>0</v>
      </c>
      <c r="Q56" s="56">
        <f>0*Deflactores!$N$5</f>
        <v>0</v>
      </c>
      <c r="R56" s="56">
        <f>0*Deflactores!$O$5</f>
        <v>0</v>
      </c>
      <c r="S56" s="56">
        <f>0*Deflactores!$P$5</f>
        <v>0</v>
      </c>
      <c r="T56" s="56">
        <f>0*Deflactores!$Q$5</f>
        <v>0</v>
      </c>
      <c r="U56" s="56">
        <f>0*Deflactores!$R$5</f>
        <v>0</v>
      </c>
      <c r="V56" s="56">
        <f>0*Deflactores!$S$5</f>
        <v>0</v>
      </c>
    </row>
    <row r="57" spans="3:22" x14ac:dyDescent="0.2">
      <c r="C57" s="88" t="s">
        <v>128</v>
      </c>
      <c r="D57" s="57">
        <f>0.658158847*Deflactores!$A$5</f>
        <v>2.4561932505204185</v>
      </c>
      <c r="E57" s="57">
        <f>0.727861463309999*Deflactores!$B$5</f>
        <v>2.523325894246303</v>
      </c>
      <c r="F57" s="57">
        <f>0.712697081*Deflactores!$C$5</f>
        <v>2.3092924740860226</v>
      </c>
      <c r="G57" s="57">
        <f>0.985356982*Deflactores!$D$5</f>
        <v>2.998148760480158</v>
      </c>
      <c r="H57" s="57">
        <f>1.1467912556*Deflactores!$E$5</f>
        <v>3.3075309212529622</v>
      </c>
      <c r="I57" s="57">
        <f>1.009658895*Deflactores!$F$5</f>
        <v>2.7771822844649092</v>
      </c>
      <c r="J57" s="57">
        <f>3.213440944*Deflactores!$G$5</f>
        <v>8.4600980757909596</v>
      </c>
      <c r="K57" s="57">
        <f>4.537906213*Deflactores!$H$5</f>
        <v>11.303380866772603</v>
      </c>
      <c r="L57" s="57">
        <f>4.356919704*Deflactores!$I$5</f>
        <v>10.079060607063086</v>
      </c>
      <c r="M57" s="57">
        <f>5.040882345*Deflactores!$J$5</f>
        <v>11.432446871228949</v>
      </c>
      <c r="N57" s="57">
        <f>8.095353012*Deflactores!$K$5</f>
        <v>17.795485744399908</v>
      </c>
      <c r="O57" s="57">
        <f>8.54962503598*Deflactores!$L$5</f>
        <v>18.118849772316288</v>
      </c>
      <c r="P57" s="57">
        <f>10.25836944282*Deflactores!$M$5</f>
        <v>21.222293763779625</v>
      </c>
      <c r="Q57" s="57">
        <f>9.79861044866*Deflactores!$N$5</f>
        <v>19.885377926933511</v>
      </c>
      <c r="R57" s="57">
        <f>10.97827321925*Deflactores!$O$5</f>
        <v>21.492759916937871</v>
      </c>
      <c r="S57" s="57">
        <f>16.58156546618*Deflactores!$P$5</f>
        <v>30.404260136454671</v>
      </c>
      <c r="T57" s="57">
        <f>19.11388326173*Deflactores!$Q$5</f>
        <v>33.141904606429591</v>
      </c>
      <c r="U57" s="57">
        <f>12.47707778511*Deflactores!$R$5</f>
        <v>20.784156685883861</v>
      </c>
      <c r="V57" s="57">
        <f>13.7508538011*Deflactores!$S$5</f>
        <v>22.200035366589344</v>
      </c>
    </row>
    <row r="58" spans="3:22" x14ac:dyDescent="0.2">
      <c r="C58" s="87" t="s">
        <v>129</v>
      </c>
      <c r="D58" s="56">
        <f>597.754992283169*Deflactores!$A$5</f>
        <v>2230.7711644432316</v>
      </c>
      <c r="E58" s="56">
        <f>730.48966738077*Deflactores!$B$5</f>
        <v>2532.4372646394841</v>
      </c>
      <c r="F58" s="56">
        <f>801.75497708632*Deflactores!$C$5</f>
        <v>2597.8592925462681</v>
      </c>
      <c r="G58" s="56">
        <f>924.75855567134*Deflactores!$D$5</f>
        <v>2813.7657398052002</v>
      </c>
      <c r="H58" s="56">
        <f>939.87571095315*Deflactores!$E$5</f>
        <v>2710.753121749</v>
      </c>
      <c r="I58" s="56">
        <f>1115.4372480153*Deflactores!$F$5</f>
        <v>3068.1377443026258</v>
      </c>
      <c r="J58" s="56">
        <f>1041.38612959485*Deflactores!$G$5</f>
        <v>2741.6806297905896</v>
      </c>
      <c r="K58" s="56">
        <f>1073.17659028713*Deflactores!$H$5</f>
        <v>2673.1543509138201</v>
      </c>
      <c r="L58" s="56">
        <f>1124.72225012072*Deflactores!$I$5</f>
        <v>2601.8711601849395</v>
      </c>
      <c r="M58" s="56">
        <f>1375.4322866259*Deflactores!$J$5</f>
        <v>3119.4055852980928</v>
      </c>
      <c r="N58" s="56">
        <f>1669.37602281604*Deflactores!$K$5</f>
        <v>3669.6802686713836</v>
      </c>
      <c r="O58" s="56">
        <f>1680.23656274845*Deflactores!$L$5</f>
        <v>3560.8525209319455</v>
      </c>
      <c r="P58" s="56">
        <f>1776.12253675505*Deflactores!$M$5</f>
        <v>3674.404050817976</v>
      </c>
      <c r="Q58" s="56">
        <f>1788.35669894742*Deflactores!$N$5</f>
        <v>3629.3052992627108</v>
      </c>
      <c r="R58" s="56">
        <f>1809.69340245213*Deflactores!$O$5</f>
        <v>3542.9347626335775</v>
      </c>
      <c r="S58" s="56">
        <f>1941.15561285381*Deflactores!$P$5</f>
        <v>3559.3382505966129</v>
      </c>
      <c r="T58" s="56">
        <f>2121.98938580668*Deflactores!$Q$5</f>
        <v>3679.3554107903356</v>
      </c>
      <c r="U58" s="56">
        <f>2155.64407849314*Deflactores!$R$5</f>
        <v>3590.8443513806433</v>
      </c>
      <c r="V58" s="56">
        <f>2006.47393312136*Deflactores!$S$5</f>
        <v>3239.347383205436</v>
      </c>
    </row>
    <row r="59" spans="3:22" x14ac:dyDescent="0.2">
      <c r="C59" s="88" t="s">
        <v>130</v>
      </c>
      <c r="D59" s="57">
        <f>8.003812074*Deflactores!$A$5</f>
        <v>29.869550921029607</v>
      </c>
      <c r="E59" s="57">
        <f>12.9890533624*Deflactores!$B$5</f>
        <v>45.030017858125937</v>
      </c>
      <c r="F59" s="57">
        <f>16.11152975989*Deflactores!$C$5</f>
        <v>52.204836265531114</v>
      </c>
      <c r="G59" s="57">
        <f>12.91172400982*Deflactores!$D$5</f>
        <v>39.286542890405713</v>
      </c>
      <c r="H59" s="57">
        <f>14.5248119237699*Deflactores!$E$5</f>
        <v>41.891899967546863</v>
      </c>
      <c r="I59" s="57">
        <f>13.34073276181*Deflactores!$F$5</f>
        <v>36.695211493065038</v>
      </c>
      <c r="J59" s="57">
        <f>21.8517856500099*Deflactores!$G$5</f>
        <v>57.529686386620362</v>
      </c>
      <c r="K59" s="57">
        <f>17.68570364286*Deflactores!$H$5</f>
        <v>44.052969538996997</v>
      </c>
      <c r="L59" s="57">
        <f>18.20442863826*Deflactores!$I$5</f>
        <v>42.11313313704747</v>
      </c>
      <c r="M59" s="57">
        <f>11.91921765847*Deflactores!$J$5</f>
        <v>27.032137094457852</v>
      </c>
      <c r="N59" s="57">
        <f>3.59107803142*Deflactores!$K$5</f>
        <v>7.8940322701720245</v>
      </c>
      <c r="O59" s="57">
        <f>5.45818566797*Deflactores!$L$5</f>
        <v>11.567296311963032</v>
      </c>
      <c r="P59" s="57">
        <f>0*Deflactores!$M$5</f>
        <v>0</v>
      </c>
      <c r="Q59" s="57">
        <f>0*Deflactores!$N$5</f>
        <v>0</v>
      </c>
      <c r="R59" s="57">
        <f>0*Deflactores!$O$5</f>
        <v>0</v>
      </c>
      <c r="S59" s="57">
        <f>0*Deflactores!$P$5</f>
        <v>0</v>
      </c>
      <c r="T59" s="57">
        <f>0*Deflactores!$Q$5</f>
        <v>0</v>
      </c>
      <c r="U59" s="57">
        <f>0*Deflactores!$R$5</f>
        <v>0</v>
      </c>
      <c r="V59" s="57">
        <f>0*Deflactores!$S$5</f>
        <v>0</v>
      </c>
    </row>
    <row r="60" spans="3:22" x14ac:dyDescent="0.2">
      <c r="C60" s="87" t="s">
        <v>131</v>
      </c>
      <c r="D60" s="56">
        <f>141.774643534219*Deflactores!$A$5</f>
        <v>529.09100003891149</v>
      </c>
      <c r="E60" s="56">
        <f>154.557632629009*Deflactores!$B$5</f>
        <v>535.81525637123002</v>
      </c>
      <c r="F60" s="56">
        <f>194.840424600029*Deflactores!$C$5</f>
        <v>631.32505824949794</v>
      </c>
      <c r="G60" s="56">
        <f>203.03770081782*Deflactores!$D$5</f>
        <v>617.7834451450492</v>
      </c>
      <c r="H60" s="56">
        <f>215.42941723129*Deflactores!$E$5</f>
        <v>621.33318104801685</v>
      </c>
      <c r="I60" s="56">
        <f>199.12359370781*Deflactores!$F$5</f>
        <v>547.71222202159481</v>
      </c>
      <c r="J60" s="56">
        <f>137.26194730658*Deflactores!$G$5</f>
        <v>361.37260852916972</v>
      </c>
      <c r="K60" s="56">
        <f>59.76914968907*Deflactores!$H$5</f>
        <v>148.8777932614143</v>
      </c>
      <c r="L60" s="56">
        <f>45.24701120306*Deflactores!$I$5</f>
        <v>104.67196992072547</v>
      </c>
      <c r="M60" s="56">
        <f>58.46750104822*Deflactores!$J$5</f>
        <v>132.6011110119052</v>
      </c>
      <c r="N60" s="56">
        <f>11.59510866678*Deflactores!$K$5</f>
        <v>25.488769999107646</v>
      </c>
      <c r="O60" s="56">
        <f>11.12493472937*Deflactores!$L$5</f>
        <v>23.576591983858172</v>
      </c>
      <c r="P60" s="56">
        <f>16.05164785385*Deflactores!$M$5</f>
        <v>33.207303367844283</v>
      </c>
      <c r="Q60" s="56">
        <f>25.5639256053699*Deflactores!$N$5</f>
        <v>51.879633813620146</v>
      </c>
      <c r="R60" s="56">
        <f>18.22851435884*Deflactores!$O$5</f>
        <v>35.686949571452551</v>
      </c>
      <c r="S60" s="56">
        <f>19.68766792357*Deflactores!$P$5</f>
        <v>36.099666117125516</v>
      </c>
      <c r="T60" s="56">
        <f>23.10830436064*Deflactores!$Q$5</f>
        <v>40.067902908566488</v>
      </c>
      <c r="U60" s="56">
        <f>26.25296005972*Deflactores!$R$5</f>
        <v>43.731845288376626</v>
      </c>
      <c r="V60" s="56">
        <f>22.46956328931*Deflactores!$S$5</f>
        <v>36.275936527999157</v>
      </c>
    </row>
    <row r="61" spans="3:22" x14ac:dyDescent="0.2">
      <c r="C61" s="88" t="s">
        <v>132</v>
      </c>
      <c r="D61" s="57">
        <f>30.5061304197899*Deflactores!$A$5</f>
        <v>113.8463031806417</v>
      </c>
      <c r="E61" s="57">
        <f>36.39949117518*Deflactores!$B$5</f>
        <v>126.18854445465151</v>
      </c>
      <c r="F61" s="57">
        <f>37.9484548098399*Deflactores!$C$5</f>
        <v>122.9611898684861</v>
      </c>
      <c r="G61" s="57">
        <f>29.71692825223*Deflactores!$D$5</f>
        <v>90.419790220455525</v>
      </c>
      <c r="H61" s="57">
        <f>33.8205599143099*Deflactores!$E$5</f>
        <v>97.543948948356828</v>
      </c>
      <c r="I61" s="57">
        <f>32.58751082365*Deflactores!$F$5</f>
        <v>89.635676169870479</v>
      </c>
      <c r="J61" s="57">
        <f>50.45359702978*Deflactores!$G$5</f>
        <v>132.83031696765929</v>
      </c>
      <c r="K61" s="57">
        <f>52.19541685416*Deflactores!$H$5</f>
        <v>130.01253188361835</v>
      </c>
      <c r="L61" s="57">
        <f>59.29509510314*Deflactores!$I$5</f>
        <v>137.17004164603662</v>
      </c>
      <c r="M61" s="57">
        <f>91.7809390404199*Deflactores!$J$5</f>
        <v>208.15417570931291</v>
      </c>
      <c r="N61" s="57">
        <f>101.63206999193*Deflactores!$K$5</f>
        <v>223.41114093904369</v>
      </c>
      <c r="O61" s="57">
        <f>102.13335867444*Deflactores!$L$5</f>
        <v>216.44680027211945</v>
      </c>
      <c r="P61" s="57">
        <f>111.491193539179*Deflactores!$M$5</f>
        <v>230.65057995341911</v>
      </c>
      <c r="Q61" s="57">
        <f>136.50245292901*Deflactores!$N$5</f>
        <v>277.01916293835535</v>
      </c>
      <c r="R61" s="57">
        <f>143.926416696659*Deflactores!$O$5</f>
        <v>281.77253908586727</v>
      </c>
      <c r="S61" s="57">
        <f>171.592670947138*Deflactores!$P$5</f>
        <v>314.63544353678924</v>
      </c>
      <c r="T61" s="57">
        <f>235.37181596516*Deflactores!$Q$5</f>
        <v>408.11540831046148</v>
      </c>
      <c r="U61" s="57">
        <f>303.126796357749*Deflactores!$R$5</f>
        <v>504.94474264703967</v>
      </c>
      <c r="V61" s="57">
        <f>386.73002907984*Deflactores!$S$5</f>
        <v>624.35543618446309</v>
      </c>
    </row>
    <row r="62" spans="3:22" x14ac:dyDescent="0.2">
      <c r="C62" s="87" t="s">
        <v>133</v>
      </c>
      <c r="D62" s="56">
        <f>0.11853800175*Deflactores!$A$5</f>
        <v>0.44237381470392595</v>
      </c>
      <c r="E62" s="56">
        <f>0.214188289*Deflactores!$B$5</f>
        <v>0.74254083108096036</v>
      </c>
      <c r="F62" s="56">
        <f>0.260938646*Deflactores!$C$5</f>
        <v>0.84549757178814211</v>
      </c>
      <c r="G62" s="56">
        <f>0.07390113754*Deflactores!$D$5</f>
        <v>0.22485922154213209</v>
      </c>
      <c r="H62" s="56">
        <f>1.20410662263*Deflactores!$E$5</f>
        <v>3.4728376828706233</v>
      </c>
      <c r="I62" s="56">
        <f>2.83453941795*Deflactores!$F$5</f>
        <v>7.7967249089091757</v>
      </c>
      <c r="J62" s="56">
        <f>6.1395643486*Deflactores!$G$5</f>
        <v>16.163768818832118</v>
      </c>
      <c r="K62" s="56">
        <f>1.67227434244*Deflactores!$H$5</f>
        <v>4.1654350969573528</v>
      </c>
      <c r="L62" s="56">
        <f>5.053744687*Deflactores!$I$5</f>
        <v>11.691057548325215</v>
      </c>
      <c r="M62" s="56">
        <f>4.66139467675*Deflactores!$J$5</f>
        <v>10.571789488527292</v>
      </c>
      <c r="N62" s="56">
        <f>3.78407508428*Deflactores!$K$5</f>
        <v>8.3182850850635166</v>
      </c>
      <c r="O62" s="56">
        <f>6.004542516*Deflactores!$L$5</f>
        <v>12.725166699245706</v>
      </c>
      <c r="P62" s="56">
        <f>5.28679631342999*Deflactores!$M$5</f>
        <v>10.937210348902727</v>
      </c>
      <c r="Q62" s="56">
        <f>3.71746154698999*Deflactores!$N$5</f>
        <v>7.5442460110094629</v>
      </c>
      <c r="R62" s="56">
        <f>4.64879036292*Deflactores!$O$5</f>
        <v>9.101188609445078</v>
      </c>
      <c r="S62" s="56">
        <f>3.97249314766*Deflactores!$P$5</f>
        <v>7.2840357141238785</v>
      </c>
      <c r="T62" s="56">
        <f>4.14800004867*Deflactores!$Q$5</f>
        <v>7.1922915944420067</v>
      </c>
      <c r="U62" s="56">
        <f>8.95598100564*Deflactores!$R$5</f>
        <v>14.918758679148556</v>
      </c>
      <c r="V62" s="56">
        <f>30.00912429724*Deflactores!$S$5</f>
        <v>48.448164045334444</v>
      </c>
    </row>
    <row r="63" spans="3:22" x14ac:dyDescent="0.2">
      <c r="C63" s="88" t="s">
        <v>134</v>
      </c>
      <c r="D63" s="57">
        <f>95.1793752617999*Deflactores!$A$5</f>
        <v>355.20139275250523</v>
      </c>
      <c r="E63" s="57">
        <f>109.822033842879*Deflactores!$B$5</f>
        <v>380.72737151699607</v>
      </c>
      <c r="F63" s="57">
        <f>124.05390120894*Deflactores!$C$5</f>
        <v>401.96143365825867</v>
      </c>
      <c r="G63" s="57">
        <f>110.564745944939*Deflactores!$D$5</f>
        <v>336.41569711597418</v>
      </c>
      <c r="H63" s="57">
        <f>122.995945236639*Deflactores!$E$5</f>
        <v>354.74014130503241</v>
      </c>
      <c r="I63" s="57">
        <f>122.982474151189*Deflactores!$F$5</f>
        <v>338.27736298242161</v>
      </c>
      <c r="J63" s="57">
        <f>124.86224888279*Deflactores!$G$5</f>
        <v>328.72764426699348</v>
      </c>
      <c r="K63" s="57">
        <f>145.17442639258*Deflactores!$H$5</f>
        <v>361.61210844984384</v>
      </c>
      <c r="L63" s="57">
        <f>149.04338510996*Deflactores!$I$5</f>
        <v>344.78884479463215</v>
      </c>
      <c r="M63" s="57">
        <f>153.39774799646*Deflactores!$J$5</f>
        <v>347.89774569429983</v>
      </c>
      <c r="N63" s="57">
        <f>163.526828228149*Deflactores!$K$5</f>
        <v>359.47034505441746</v>
      </c>
      <c r="O63" s="57">
        <f>171.14833302793*Deflactores!$L$5</f>
        <v>362.70724410312909</v>
      </c>
      <c r="P63" s="57">
        <f>165.36240552697*Deflactores!$M$5</f>
        <v>342.09818306308694</v>
      </c>
      <c r="Q63" s="57">
        <f>173.17642322288*Deflactores!$N$5</f>
        <v>351.44560974893039</v>
      </c>
      <c r="R63" s="57">
        <f>164.672218465898*Deflactores!$O$5</f>
        <v>322.3877185230848</v>
      </c>
      <c r="S63" s="57">
        <f>165.45753935791*Deflactores!$P$5</f>
        <v>303.38595462751067</v>
      </c>
      <c r="T63" s="57">
        <f>169.78626317913*Deflactores!$Q$5</f>
        <v>294.39544339121232</v>
      </c>
      <c r="U63" s="57">
        <f>181.494629489639*Deflactores!$R$5</f>
        <v>302.33143384429405</v>
      </c>
      <c r="V63" s="57">
        <f>201.8691909*Deflactores!$S$5</f>
        <v>325.90726672159639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>
        <f>0*Deflactores!$O$5</f>
        <v>0</v>
      </c>
      <c r="S64" s="56"/>
      <c r="T64" s="56"/>
      <c r="U64" s="56"/>
      <c r="V64" s="56"/>
    </row>
    <row r="65" spans="3:22" x14ac:dyDescent="0.2">
      <c r="C65" s="88" t="s">
        <v>136</v>
      </c>
      <c r="D65" s="57">
        <f>901.50422125414*Deflactores!$A$5</f>
        <v>3364.3376422775409</v>
      </c>
      <c r="E65" s="57">
        <f>932.469092945029*Deflactores!$B$5</f>
        <v>3232.6528143315581</v>
      </c>
      <c r="F65" s="57">
        <f>1038.13203410427*Deflactores!$C$5</f>
        <v>3363.772011105802</v>
      </c>
      <c r="G65" s="57">
        <f>1119.92888966226*Deflactores!$D$5</f>
        <v>3407.6111233835295</v>
      </c>
      <c r="H65" s="57">
        <f>1191.32171027494*Deflactores!$E$5</f>
        <v>3435.9639338484044</v>
      </c>
      <c r="I65" s="57">
        <f>1287.49032750673*Deflactores!$F$5</f>
        <v>3541.3894204058038</v>
      </c>
      <c r="J65" s="57">
        <f>1655.29087091817*Deflactores!$G$5</f>
        <v>4357.9214169398947</v>
      </c>
      <c r="K65" s="57">
        <f>2209.504349147*Deflactores!$H$5</f>
        <v>5503.6106990603093</v>
      </c>
      <c r="L65" s="57">
        <f>2769.020696673*Deflactores!$I$5</f>
        <v>6405.7015781944319</v>
      </c>
      <c r="M65" s="57">
        <f>3600.99693686742*Deflactores!$J$5</f>
        <v>8166.8651134119982</v>
      </c>
      <c r="N65" s="57">
        <f>2942.24824650298*Deflactores!$K$5</f>
        <v>6467.7521350231891</v>
      </c>
      <c r="O65" s="57">
        <f>3003.70080757003*Deflactores!$L$5</f>
        <v>6365.6129320656446</v>
      </c>
      <c r="P65" s="57">
        <f>3111.21233563869*Deflactores!$M$5</f>
        <v>6436.4090722656356</v>
      </c>
      <c r="Q65" s="57">
        <f>3586.83309026666*Deflactores!$N$5</f>
        <v>7279.147582659275</v>
      </c>
      <c r="R65" s="57">
        <f>1463.84673740134*Deflactores!$O$5</f>
        <v>2865.8520200601452</v>
      </c>
      <c r="S65" s="57">
        <f>1575.07497317459*Deflactores!$P$5</f>
        <v>2888.086128930026</v>
      </c>
      <c r="T65" s="57">
        <f>2633.05563353561*Deflactores!$Q$5</f>
        <v>4565.5023333108347</v>
      </c>
      <c r="U65" s="57">
        <f>2863.86215081322*Deflactores!$R$5</f>
        <v>4770.5849634365777</v>
      </c>
      <c r="V65" s="57">
        <f>2879.89084741872*Deflactores!$S$5</f>
        <v>4649.4333798747948</v>
      </c>
    </row>
    <row r="66" spans="3:22" x14ac:dyDescent="0.2">
      <c r="C66" s="87" t="s">
        <v>137</v>
      </c>
      <c r="D66" s="56">
        <f>13.67201399619*Deflactores!$A$5</f>
        <v>51.022801944440886</v>
      </c>
      <c r="E66" s="56">
        <f>16.31033806234*Deflactores!$B$5</f>
        <v>56.54413710742778</v>
      </c>
      <c r="F66" s="56">
        <f>22.97294848556*Deflactores!$C$5</f>
        <v>74.43731489798202</v>
      </c>
      <c r="G66" s="56">
        <f>27.16624647671*Deflactores!$D$5</f>
        <v>82.658822831628896</v>
      </c>
      <c r="H66" s="56">
        <f>26.90616978977*Deflactores!$E$5</f>
        <v>77.601732763113503</v>
      </c>
      <c r="I66" s="56">
        <f>49.7923735626899*Deflactores!$F$5</f>
        <v>136.95961917887257</v>
      </c>
      <c r="J66" s="56">
        <f>51.69605256341*Deflactores!$G$5</f>
        <v>136.10135752900686</v>
      </c>
      <c r="K66" s="56">
        <f>34.06748990493*Deflactores!$H$5</f>
        <v>84.858037054005223</v>
      </c>
      <c r="L66" s="56">
        <f>50.7377852573899*Deflactores!$I$5</f>
        <v>117.3740273909314</v>
      </c>
      <c r="M66" s="56">
        <f>50.60149670534*Deflactores!$J$5</f>
        <v>114.76144117155867</v>
      </c>
      <c r="N66" s="56">
        <f>41.7600112394799*Deflactores!$K$5</f>
        <v>91.79830497775265</v>
      </c>
      <c r="O66" s="56">
        <f>43.78680811979*Deflactores!$L$5</f>
        <v>92.795484596451033</v>
      </c>
      <c r="P66" s="56">
        <f>50.1206771882519*Deflactores!$M$5</f>
        <v>103.68857749348598</v>
      </c>
      <c r="Q66" s="56">
        <f>49.99982356834*Deflactores!$N$5</f>
        <v>101.47003936383736</v>
      </c>
      <c r="R66" s="56">
        <f>61.4377894118559*Deflactores!$O$5</f>
        <v>120.28008697588388</v>
      </c>
      <c r="S66" s="56">
        <f>45.69249390887*Deflactores!$P$5</f>
        <v>83.782588195437953</v>
      </c>
      <c r="T66" s="56">
        <f>39.04748853089*Deflactores!$Q$5</f>
        <v>67.705139886591525</v>
      </c>
      <c r="U66" s="56">
        <f>67.81908243814*Deflactores!$R$5</f>
        <v>112.97216062637132</v>
      </c>
      <c r="V66" s="56">
        <f>44.89951800628*Deflactores!$S$5</f>
        <v>72.487927084389057</v>
      </c>
    </row>
    <row r="67" spans="3:22" x14ac:dyDescent="0.2">
      <c r="C67" s="88" t="s">
        <v>138</v>
      </c>
      <c r="D67" s="57">
        <f>13.5098436569499*Deflactores!$A$5</f>
        <v>50.417595929978333</v>
      </c>
      <c r="E67" s="57">
        <f>15.15026622446*Deflactores!$B$5</f>
        <v>52.522438672678</v>
      </c>
      <c r="F67" s="57">
        <f>18.7159862645999*Deflactores!$C$5</f>
        <v>60.64383786347782</v>
      </c>
      <c r="G67" s="57">
        <f>29.82478729393*Deflactores!$D$5</f>
        <v>90.747973262831763</v>
      </c>
      <c r="H67" s="57">
        <f>56.27418564343*Deflactores!$E$5</f>
        <v>162.30382659012514</v>
      </c>
      <c r="I67" s="57">
        <f>32.41884819902*Deflactores!$F$5</f>
        <v>89.171750327694042</v>
      </c>
      <c r="J67" s="57">
        <f>60.2798115006799*Deflactores!$G$5</f>
        <v>158.70001228376202</v>
      </c>
      <c r="K67" s="57">
        <f>65.2936911571299*Deflactores!$H$5</f>
        <v>162.63876437819661</v>
      </c>
      <c r="L67" s="57">
        <f>94.48481506579*Deflactores!$I$5</f>
        <v>218.57602209674431</v>
      </c>
      <c r="M67" s="57">
        <f>73.36076872026*Deflactores!$J$5</f>
        <v>166.37823171151339</v>
      </c>
      <c r="N67" s="57">
        <f>77.5019734686099*Deflactores!$K$5</f>
        <v>170.36752591012365</v>
      </c>
      <c r="O67" s="57">
        <f>54.3894944289599*Deflactores!$L$5</f>
        <v>115.26529813919473</v>
      </c>
      <c r="P67" s="57">
        <f>27.7940853175437*Deflactores!$M$5</f>
        <v>57.499805090107685</v>
      </c>
      <c r="Q67" s="57">
        <f>24.48107961143*Deflactores!$N$5</f>
        <v>49.682097546719618</v>
      </c>
      <c r="R67" s="57">
        <f>43.7024991075*Deflactores!$O$5</f>
        <v>85.558748842275435</v>
      </c>
      <c r="S67" s="57">
        <f>0*Deflactores!$P$5</f>
        <v>0</v>
      </c>
      <c r="T67" s="57">
        <f>0*Deflactores!$Q$5</f>
        <v>0</v>
      </c>
      <c r="U67" s="57">
        <f>0*Deflactores!$R$5</f>
        <v>0</v>
      </c>
      <c r="V67" s="57">
        <f>0*Deflactores!$S$5</f>
        <v>0</v>
      </c>
    </row>
    <row r="68" spans="3:22" x14ac:dyDescent="0.2">
      <c r="C68" s="87" t="s">
        <v>139</v>
      </c>
      <c r="D68" s="56">
        <f>166.91388707259*Deflactores!$A$5</f>
        <v>622.90853448912594</v>
      </c>
      <c r="E68" s="56">
        <f>230.29545464953*Deflactores!$B$5</f>
        <v>798.3806168302209</v>
      </c>
      <c r="F68" s="56">
        <f>176.8590107242*Deflactores!$C$5</f>
        <v>573.06139358201506</v>
      </c>
      <c r="G68" s="56">
        <f>179.034568973699*Deflactores!$D$5</f>
        <v>544.74904106539839</v>
      </c>
      <c r="H68" s="56">
        <f>217.13969498702*Deflactores!$E$5</f>
        <v>626.26589790767628</v>
      </c>
      <c r="I68" s="56">
        <f>220.91821457421*Deflactores!$F$5</f>
        <v>607.66081977727094</v>
      </c>
      <c r="J68" s="56">
        <f>310.527447376699*Deflactores!$G$5</f>
        <v>817.5325782591666</v>
      </c>
      <c r="K68" s="56">
        <f>303.314585151759*Deflactores!$H$5</f>
        <v>755.52030330545347</v>
      </c>
      <c r="L68" s="56">
        <f>434.76875776104*Deflactores!$I$5</f>
        <v>1005.7703508990468</v>
      </c>
      <c r="M68" s="56">
        <f>711.19210937452*Deflactores!$J$5</f>
        <v>1612.9450062896574</v>
      </c>
      <c r="N68" s="56">
        <f>687.20548602533*Deflactores!$K$5</f>
        <v>1510.6389322256241</v>
      </c>
      <c r="O68" s="56">
        <f>739.88676759992*Deflactores!$L$5</f>
        <v>1568.0099576590374</v>
      </c>
      <c r="P68" s="56">
        <f>743.877318361519*Deflactores!$M$5</f>
        <v>1538.9173749762156</v>
      </c>
      <c r="Q68" s="56">
        <f>967.24709011813*Deflactores!$N$5</f>
        <v>1962.9389326683631</v>
      </c>
      <c r="R68" s="56">
        <f>846.352878859199*Deflactores!$O$5</f>
        <v>1656.9508580305385</v>
      </c>
      <c r="S68" s="56">
        <f>902.03891182106*Deflactores!$P$5</f>
        <v>1653.9949611000309</v>
      </c>
      <c r="T68" s="56">
        <f>990.518247371119*Deflactores!$Q$5</f>
        <v>1717.4773339245673</v>
      </c>
      <c r="U68" s="56">
        <f>996.28305824993*Deflactores!$R$5</f>
        <v>1659.5955834201404</v>
      </c>
      <c r="V68" s="56">
        <f>468.842055224949*Deflactores!$S$5</f>
        <v>756.92101435226425</v>
      </c>
    </row>
    <row r="69" spans="3:22" x14ac:dyDescent="0.2">
      <c r="C69" s="88" t="s">
        <v>140</v>
      </c>
      <c r="D69" s="57">
        <f>20.40286374909*Deflactores!$A$5</f>
        <v>76.141764955721357</v>
      </c>
      <c r="E69" s="57">
        <f>37.02605593009*Deflactores!$B$5</f>
        <v>128.36069829186204</v>
      </c>
      <c r="F69" s="57">
        <f>16.63222710139*Deflactores!$C$5</f>
        <v>53.89200811463617</v>
      </c>
      <c r="G69" s="57">
        <f>15.3162871038899*Deflactores!$D$5</f>
        <v>46.602914511733509</v>
      </c>
      <c r="H69" s="57">
        <f>2306.53273684083*Deflactores!$E$5</f>
        <v>6652.4123817039563</v>
      </c>
      <c r="I69" s="57">
        <f>2254.08539536518*Deflactores!$F$5</f>
        <v>6200.1197222941892</v>
      </c>
      <c r="J69" s="57">
        <f>353.380834682029*Deflactores!$G$5</f>
        <v>930.35365255333511</v>
      </c>
      <c r="K69" s="57">
        <f>173.403545318709*Deflactores!$H$5</f>
        <v>431.92746266350201</v>
      </c>
      <c r="L69" s="57">
        <f>304.45532783738*Deflactores!$I$5</f>
        <v>704.31036371842538</v>
      </c>
      <c r="M69" s="57">
        <f>316.79475235962*Deflactores!$J$5</f>
        <v>718.47326074330101</v>
      </c>
      <c r="N69" s="57">
        <f>1183.77604529881*Deflactores!$K$5</f>
        <v>2602.217557091144</v>
      </c>
      <c r="O69" s="57">
        <f>1137.0082817064*Deflactores!$L$5</f>
        <v>2409.6123700653407</v>
      </c>
      <c r="P69" s="57">
        <f>588.053133570975*Deflactores!$M$5</f>
        <v>1216.5516575433157</v>
      </c>
      <c r="Q69" s="57">
        <f>645.064996508*Deflactores!$N$5</f>
        <v>1309.1000310918391</v>
      </c>
      <c r="R69" s="57">
        <f>626.218822280098*Deflactores!$O$5</f>
        <v>1225.9824959660841</v>
      </c>
      <c r="S69" s="57">
        <f>798.730095784049*Deflactores!$P$5</f>
        <v>1464.5660363350619</v>
      </c>
      <c r="T69" s="57">
        <f>649.175017074519*Deflactores!$Q$5</f>
        <v>1125.6161918618777</v>
      </c>
      <c r="U69" s="57">
        <f>697.873674770709*Deflactores!$R$5</f>
        <v>1162.509046845707</v>
      </c>
      <c r="V69" s="57">
        <f>641.03894344862*Deflactores!$S$5</f>
        <v>1034.9238979460324</v>
      </c>
    </row>
    <row r="70" spans="3:22" x14ac:dyDescent="0.2">
      <c r="C70" s="87" t="s">
        <v>141</v>
      </c>
      <c r="D70" s="56">
        <f>9.12766304758*Deflactores!$A$5</f>
        <v>34.063667870881979</v>
      </c>
      <c r="E70" s="56">
        <f>8.38083977937*Deflactores!$B$5</f>
        <v>29.05441639215752</v>
      </c>
      <c r="F70" s="56">
        <f>10.83871057821*Deflactores!$C$5</f>
        <v>35.119763268760906</v>
      </c>
      <c r="G70" s="56">
        <f>11.92827706617*Deflactores!$D$5</f>
        <v>36.29420580956667</v>
      </c>
      <c r="H70" s="56">
        <f>14.09637140133*Deflactores!$E$5</f>
        <v>40.656208407319255</v>
      </c>
      <c r="I70" s="56">
        <f>14.4622732668*Deflactores!$F$5</f>
        <v>39.780136943821418</v>
      </c>
      <c r="J70" s="56">
        <f>24.6572096128*Deflactores!$G$5</f>
        <v>64.915589000979523</v>
      </c>
      <c r="K70" s="56">
        <f>20.27944993198*Deflactores!$H$5</f>
        <v>50.513680889467885</v>
      </c>
      <c r="L70" s="56">
        <f>26.0867057836*Deflactores!$I$5</f>
        <v>60.347563529834453</v>
      </c>
      <c r="M70" s="56">
        <f>26.8510619693799*Deflactores!$J$5</f>
        <v>60.89674751196992</v>
      </c>
      <c r="N70" s="56">
        <f>26.8979553883399*Deflactores!$K$5</f>
        <v>59.128018377601464</v>
      </c>
      <c r="O70" s="56">
        <f>29.60803293318*Deflactores!$L$5</f>
        <v>62.747020894184693</v>
      </c>
      <c r="P70" s="56">
        <f>23.0349363154599*Deflactores!$M$5</f>
        <v>47.654180134719411</v>
      </c>
      <c r="Q70" s="56">
        <f>22.98484362756*Deflactores!$N$5</f>
        <v>46.645624348501897</v>
      </c>
      <c r="R70" s="56">
        <f>30.7571634791499*Deflactores!$O$5</f>
        <v>60.214964337400559</v>
      </c>
      <c r="S70" s="56">
        <f>28.51771076153*Deflactores!$P$5</f>
        <v>52.290593325352717</v>
      </c>
      <c r="T70" s="56">
        <f>31.79882428633*Deflactores!$Q$5</f>
        <v>55.136551095519202</v>
      </c>
      <c r="U70" s="56">
        <f>18.49309151377*Deflactores!$R$5</f>
        <v>30.805555455242857</v>
      </c>
      <c r="V70" s="56">
        <f>18.15825791927*Deflactores!$S$5</f>
        <v>29.315559152494071</v>
      </c>
    </row>
    <row r="71" spans="3:22" x14ac:dyDescent="0.2">
      <c r="C71" s="88" t="s">
        <v>142</v>
      </c>
      <c r="D71" s="57">
        <f>18.91902832774*Deflactores!$A$5</f>
        <v>70.604216439256632</v>
      </c>
      <c r="E71" s="57">
        <f>23.25017981721*Deflactores!$B$5</f>
        <v>80.602949511646202</v>
      </c>
      <c r="F71" s="57">
        <f>24.46692505868*Deflactores!$C$5</f>
        <v>79.278121670932521</v>
      </c>
      <c r="G71" s="57">
        <f>23.67554848118*Deflactores!$D$5</f>
        <v>72.037665160155839</v>
      </c>
      <c r="H71" s="57">
        <f>35.0686696121299*Deflactores!$E$5</f>
        <v>101.14369859633919</v>
      </c>
      <c r="I71" s="57">
        <f>30.3152409884*Deflactores!$F$5</f>
        <v>83.385538065575062</v>
      </c>
      <c r="J71" s="57">
        <f>37.2833636618499*Deflactores!$G$5</f>
        <v>98.156748068941937</v>
      </c>
      <c r="K71" s="57">
        <f>41.02654022911*Deflactores!$H$5</f>
        <v>102.19219791874495</v>
      </c>
      <c r="L71" s="57">
        <f>46.30445232787*Deflactores!$I$5</f>
        <v>107.11819659219157</v>
      </c>
      <c r="M71" s="57">
        <f>46.32704400041*Deflactores!$J$5</f>
        <v>105.06721502062217</v>
      </c>
      <c r="N71" s="57">
        <f>72.95133141763*Deflactores!$K$5</f>
        <v>160.36414673369501</v>
      </c>
      <c r="O71" s="57">
        <f>68.3372454495599*Deflactores!$L$5</f>
        <v>144.82416233971753</v>
      </c>
      <c r="P71" s="57">
        <f>75.79003497391*Deflactores!$M$5</f>
        <v>156.79279202692609</v>
      </c>
      <c r="Q71" s="57">
        <f>84.7396817022*Deflactores!$N$5</f>
        <v>171.97138358395921</v>
      </c>
      <c r="R71" s="57">
        <f>109.99704420675*Deflactores!$O$5</f>
        <v>215.34716940393201</v>
      </c>
      <c r="S71" s="57">
        <f>116.47791655346*Deflactores!$P$5</f>
        <v>213.57602708060341</v>
      </c>
      <c r="T71" s="57">
        <f>112.18333491425*Deflactores!$Q$5</f>
        <v>194.51669413527128</v>
      </c>
      <c r="U71" s="57">
        <f>115.4962221707*Deflactores!$R$5</f>
        <v>192.39213055866341</v>
      </c>
      <c r="V71" s="57">
        <f>107.28573986153*Deflactores!$S$5</f>
        <v>173.20722434458159</v>
      </c>
    </row>
    <row r="72" spans="3:22" x14ac:dyDescent="0.2">
      <c r="C72" s="87" t="s">
        <v>143</v>
      </c>
      <c r="D72" s="56">
        <f>0.0585*Deflactores!$A$5</f>
        <v>0.21831706101102441</v>
      </c>
      <c r="E72" s="56">
        <f>0*Deflactores!$B$5</f>
        <v>0</v>
      </c>
      <c r="F72" s="56">
        <f>0*Deflactores!$C$5</f>
        <v>0</v>
      </c>
      <c r="G72" s="56">
        <f>0*Deflactores!$D$5</f>
        <v>0</v>
      </c>
      <c r="H72" s="56">
        <f>51.62513713616*Deflactores!$E$5</f>
        <v>148.89522095495633</v>
      </c>
      <c r="I72" s="56">
        <f>8.41141910152*Deflactores!$F$5</f>
        <v>23.136570411684517</v>
      </c>
      <c r="J72" s="56">
        <f>0*Deflactores!$G$5</f>
        <v>0</v>
      </c>
      <c r="K72" s="56">
        <f>0*Deflactores!$H$5</f>
        <v>0</v>
      </c>
      <c r="L72" s="56">
        <f>0*Deflactores!$I$5</f>
        <v>0</v>
      </c>
      <c r="M72" s="56">
        <f>0*Deflactores!$J$5</f>
        <v>0</v>
      </c>
      <c r="N72" s="56">
        <f>0*Deflactores!$K$5</f>
        <v>0</v>
      </c>
      <c r="O72" s="56">
        <f>0*Deflactores!$L$5</f>
        <v>0</v>
      </c>
      <c r="P72" s="56">
        <f>1.837994*Deflactores!$M$5</f>
        <v>3.8024024014231248</v>
      </c>
      <c r="Q72" s="56">
        <f>3.565116884*Deflactores!$N$5</f>
        <v>7.2350765410545108</v>
      </c>
      <c r="R72" s="56">
        <f>11.10531429688*Deflactores!$O$5</f>
        <v>21.741475113450097</v>
      </c>
      <c r="S72" s="56">
        <f>0.260502065*Deflactores!$P$5</f>
        <v>0.47766132615754103</v>
      </c>
      <c r="T72" s="56">
        <f>11.80826940417*Deflactores!$Q$5</f>
        <v>20.474569861143031</v>
      </c>
      <c r="U72" s="56">
        <f>20.3188699500599*Deflactores!$R$5</f>
        <v>33.84691383635699</v>
      </c>
      <c r="V72" s="56">
        <f>56.06953242524*Deflactores!$S$5</f>
        <v>90.521332044769636</v>
      </c>
    </row>
    <row r="73" spans="3:22" x14ac:dyDescent="0.2">
      <c r="C73" s="88" t="s">
        <v>144</v>
      </c>
      <c r="D73" s="57">
        <f>0*Deflactores!$A$5</f>
        <v>0</v>
      </c>
      <c r="E73" s="57">
        <f>0*Deflactores!$B$5</f>
        <v>0</v>
      </c>
      <c r="F73" s="57">
        <f>0*Deflactores!$C$5</f>
        <v>0</v>
      </c>
      <c r="G73" s="57">
        <f>0*Deflactores!$D$5</f>
        <v>0</v>
      </c>
      <c r="H73" s="57">
        <f>0*Deflactores!$E$5</f>
        <v>0</v>
      </c>
      <c r="I73" s="57">
        <f>0*Deflactores!$F$5</f>
        <v>0</v>
      </c>
      <c r="J73" s="57">
        <f>0*Deflactores!$G$5</f>
        <v>0</v>
      </c>
      <c r="K73" s="57">
        <f>0*Deflactores!$H$5</f>
        <v>0</v>
      </c>
      <c r="L73" s="57">
        <f>0*Deflactores!$I$5</f>
        <v>0</v>
      </c>
      <c r="M73" s="57">
        <f>0*Deflactores!$J$5</f>
        <v>0</v>
      </c>
      <c r="N73" s="57">
        <f>0*Deflactores!$K$5</f>
        <v>0</v>
      </c>
      <c r="O73" s="57">
        <f>0*Deflactores!$L$5</f>
        <v>0</v>
      </c>
      <c r="P73" s="57">
        <f>0*Deflactores!$M$5</f>
        <v>0</v>
      </c>
      <c r="Q73" s="57">
        <f>0*Deflactores!$N$5</f>
        <v>0</v>
      </c>
      <c r="R73" s="57">
        <f>0*Deflactores!$O$5</f>
        <v>0</v>
      </c>
      <c r="S73" s="57">
        <f>0*Deflactores!$P$5</f>
        <v>0</v>
      </c>
      <c r="T73" s="57">
        <f>0*Deflactores!$Q$5</f>
        <v>0</v>
      </c>
      <c r="U73" s="57">
        <f>0*Deflactores!$R$5</f>
        <v>0</v>
      </c>
      <c r="V73" s="57">
        <f>0*Deflactores!$S$5</f>
        <v>0</v>
      </c>
    </row>
    <row r="74" spans="3:22" x14ac:dyDescent="0.2">
      <c r="C74" s="87" t="s">
        <v>145</v>
      </c>
      <c r="D74" s="56">
        <f>15.1657653094499*Deflactores!$A$5</f>
        <v>56.597355732342756</v>
      </c>
      <c r="E74" s="56">
        <f>14.28736353804*Deflactores!$B$5</f>
        <v>49.530956360980277</v>
      </c>
      <c r="F74" s="56">
        <f>32.637759147*Deflactores!$C$5</f>
        <v>105.75338889201841</v>
      </c>
      <c r="G74" s="56">
        <f>23.949605309*Deflactores!$D$5</f>
        <v>72.871538724396387</v>
      </c>
      <c r="H74" s="56">
        <f>28.2032478095*Deflactores!$E$5</f>
        <v>81.342714948480747</v>
      </c>
      <c r="I74" s="56">
        <f>12.863095361*Deflactores!$F$5</f>
        <v>35.381415185721657</v>
      </c>
      <c r="J74" s="56">
        <f>25.0498214018099*Deflactores!$G$5</f>
        <v>65.949226867247873</v>
      </c>
      <c r="K74" s="56">
        <f>30.14841375665*Deflactores!$H$5</f>
        <v>75.096087760521002</v>
      </c>
      <c r="L74" s="56">
        <f>24.79210777*Deflactores!$I$5</f>
        <v>57.352711036023635</v>
      </c>
      <c r="M74" s="56">
        <f>34.82654000942*Deflactores!$J$5</f>
        <v>78.984697740733225</v>
      </c>
      <c r="N74" s="56">
        <f>35.987668924*Deflactores!$K$5</f>
        <v>79.109341910342081</v>
      </c>
      <c r="O74" s="56">
        <f>41.1135668558099*Deflactores!$L$5</f>
        <v>87.130200252006034</v>
      </c>
      <c r="P74" s="56">
        <f>40.97943228817*Deflactores!$M$5</f>
        <v>84.777366923664587</v>
      </c>
      <c r="Q74" s="56">
        <f>38.22253412347*Deflactores!$N$5</f>
        <v>77.569114554835252</v>
      </c>
      <c r="R74" s="56">
        <f>54.07418067229*Deflactores!$O$5</f>
        <v>105.86395143243202</v>
      </c>
      <c r="S74" s="56">
        <f>68.04919394646*Deflactores!$P$5</f>
        <v>124.77624015923941</v>
      </c>
      <c r="T74" s="56">
        <f>86.87126489248*Deflactores!$Q$5</f>
        <v>150.62764246713633</v>
      </c>
      <c r="U74" s="56">
        <f>89.07446920025*Deflactores!$R$5</f>
        <v>148.37911219719226</v>
      </c>
      <c r="V74" s="56">
        <f>94.2997448785899*Deflactores!$S$5</f>
        <v>152.24201359755435</v>
      </c>
    </row>
    <row r="75" spans="3:22" x14ac:dyDescent="0.2">
      <c r="C75" s="88" t="s">
        <v>146</v>
      </c>
      <c r="D75" s="57">
        <f>52.80543624187*Deflactores!$A$5</f>
        <v>197.06542984154004</v>
      </c>
      <c r="E75" s="57">
        <f>55.54113389054*Deflactores!$B$5</f>
        <v>192.54815429362932</v>
      </c>
      <c r="F75" s="57">
        <f>52.2961154513099*Deflactores!$C$5</f>
        <v>169.45070922164157</v>
      </c>
      <c r="G75" s="57">
        <f>39.1749110501499*Deflactores!$D$5</f>
        <v>119.19762396013283</v>
      </c>
      <c r="H75" s="57">
        <f>38.47777006005*Deflactores!$E$5</f>
        <v>110.97609406508002</v>
      </c>
      <c r="I75" s="57">
        <f>43.1427822899899*Deflactores!$F$5</f>
        <v>118.66915774389962</v>
      </c>
      <c r="J75" s="57">
        <f>55.23657172369*Deflactores!$G$5</f>
        <v>145.42256176371143</v>
      </c>
      <c r="K75" s="57">
        <f>52.93431180082*Deflactores!$H$5</f>
        <v>131.8530306975218</v>
      </c>
      <c r="L75" s="57">
        <f>50.3791020424299*Deflactores!$I$5</f>
        <v>116.54426918836478</v>
      </c>
      <c r="M75" s="57">
        <f>72.62991210308*Deflactores!$J$5</f>
        <v>164.7206886715168</v>
      </c>
      <c r="N75" s="57">
        <f>116.966760831559*Deflactores!$K$5</f>
        <v>257.12039016225691</v>
      </c>
      <c r="O75" s="57">
        <f>113.092670704617*Deflactores!$L$5</f>
        <v>239.6723952481633</v>
      </c>
      <c r="P75" s="57">
        <f>226.787108687708*Deflactores!$M$5</f>
        <v>469.172286028109</v>
      </c>
      <c r="Q75" s="57">
        <f>219.360041314875*Deflactores!$N$5</f>
        <v>445.17101138667755</v>
      </c>
      <c r="R75" s="57">
        <f>177.449381289906*Deflactores!$O$5</f>
        <v>347.40226202292212</v>
      </c>
      <c r="S75" s="57">
        <f>234.460574041864*Deflactores!$P$5</f>
        <v>429.91117451792599</v>
      </c>
      <c r="T75" s="57">
        <f>306.76087092197*Deflactores!$Q$5</f>
        <v>531.8981696114538</v>
      </c>
      <c r="U75" s="57">
        <f>306.50679758984*Deflactores!$R$5</f>
        <v>510.57510549450831</v>
      </c>
      <c r="V75" s="57">
        <f>221.714786127715*Deflactores!$S$5</f>
        <v>357.94694384266694</v>
      </c>
    </row>
    <row r="76" spans="3:22" x14ac:dyDescent="0.2">
      <c r="C76" s="90" t="s">
        <v>147</v>
      </c>
      <c r="D76" s="58">
        <f>506.2880732102*Deflactores!$A$5</f>
        <v>1889.4243447553031</v>
      </c>
      <c r="E76" s="58">
        <f>735.869050176059*Deflactores!$B$5</f>
        <v>2551.086329862263</v>
      </c>
      <c r="F76" s="58">
        <f>692.77430183596*Deflactores!$C$5</f>
        <v>2244.7383665795892</v>
      </c>
      <c r="G76" s="58">
        <f>733.87525876151*Deflactores!$D$5</f>
        <v>2232.9645373161588</v>
      </c>
      <c r="H76" s="58">
        <f>906.02869294076*Deflactores!$E$5</f>
        <v>2613.1328633789499</v>
      </c>
      <c r="I76" s="58">
        <f>933.44981503486*Deflactores!$F$5</f>
        <v>2567.560492548188</v>
      </c>
      <c r="J76" s="58">
        <f>1144.12525265454*Deflactores!$G$5</f>
        <v>3012.1642243089937</v>
      </c>
      <c r="K76" s="58">
        <f>1225.45039735193*Deflactores!$H$5</f>
        <v>3052.4501663178571</v>
      </c>
      <c r="L76" s="58">
        <f>1406.91710588602*Deflactores!$I$5</f>
        <v>3254.6853609260334</v>
      </c>
      <c r="M76" s="58">
        <f>1661.62003009167*Deflactores!$J$5</f>
        <v>3768.4638152753523</v>
      </c>
      <c r="N76" s="58">
        <f>2137.13063128918*Deflactores!$K$5</f>
        <v>4697.9146711270041</v>
      </c>
      <c r="O76" s="58">
        <f>2011.05300355432*Deflactores!$L$5</f>
        <v>4261.9374653533541</v>
      </c>
      <c r="P76" s="58">
        <f>2466.99588042161*Deflactores!$M$5</f>
        <v>5103.6679445178197</v>
      </c>
      <c r="Q76" s="58">
        <f>2610.01428086068*Deflactores!$N$5</f>
        <v>5296.7837267891291</v>
      </c>
      <c r="R76" s="58">
        <f>1306.91985909646*Deflactores!$O$5</f>
        <v>2558.6277733537277</v>
      </c>
      <c r="S76" s="58">
        <f>1878.40287259988*Deflactores!$P$5</f>
        <v>3444.2736842957206</v>
      </c>
      <c r="T76" s="58">
        <f>2184.99101395814*Deflactores!$Q$5</f>
        <v>3788.5950624955458</v>
      </c>
      <c r="U76" s="58">
        <f>2282.71665486154*Deflactores!$R$5</f>
        <v>3802.5202247868042</v>
      </c>
      <c r="V76" s="58">
        <f>2018.06129348178*Deflactores!$S$5</f>
        <v>3258.054571393719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0*Deflactores!$R$5</f>
        <v>0</v>
      </c>
      <c r="V77" s="59">
        <f>0*Deflactores!$S$5</f>
        <v>0</v>
      </c>
    </row>
    <row r="78" spans="3:22" x14ac:dyDescent="0.2">
      <c r="C78" s="87" t="s">
        <v>149</v>
      </c>
      <c r="D78" s="56">
        <f>163.270166460379*Deflactores!$A$5</f>
        <v>609.31047679334483</v>
      </c>
      <c r="E78" s="56">
        <f>185.10368988615*Deflactores!$B$5</f>
        <v>641.71131094947111</v>
      </c>
      <c r="F78" s="56">
        <f>201.39723615737*Deflactores!$C$5</f>
        <v>652.5705438660832</v>
      </c>
      <c r="G78" s="56">
        <f>166.4286155889*Deflactores!$D$5</f>
        <v>506.39286740882829</v>
      </c>
      <c r="H78" s="56">
        <f>199.51577893522*Deflactores!$E$5</f>
        <v>575.43568185026766</v>
      </c>
      <c r="I78" s="56">
        <f>138.06037734842*Deflactores!$F$5</f>
        <v>379.75086047112217</v>
      </c>
      <c r="J78" s="56">
        <f>264.36114345793*Deflactores!$G$5</f>
        <v>695.98951406226047</v>
      </c>
      <c r="K78" s="56">
        <f>390.095259084*Deflactores!$H$5</f>
        <v>971.68056825787619</v>
      </c>
      <c r="L78" s="56">
        <f>533.310213073*Deflactores!$I$5</f>
        <v>1233.7307834692413</v>
      </c>
      <c r="M78" s="56">
        <f>736.95853944888*Deflactores!$J$5</f>
        <v>1671.3818676813025</v>
      </c>
      <c r="N78" s="56">
        <f>873.36213722735*Deflactores!$K$5</f>
        <v>1919.8549389618568</v>
      </c>
      <c r="O78" s="56">
        <f>992.46887960147*Deflactores!$L$5</f>
        <v>2103.2962799563134</v>
      </c>
      <c r="P78" s="56">
        <f>1263.5330538589*Deflactores!$M$5</f>
        <v>2613.9699684931379</v>
      </c>
      <c r="Q78" s="56">
        <f>1283.69950593628*Deflactores!$N$5</f>
        <v>2605.1499805925705</v>
      </c>
      <c r="R78" s="56">
        <f>1793.12918937338*Deflactores!$O$5</f>
        <v>3510.5061057943285</v>
      </c>
      <c r="S78" s="56">
        <f>1449.23813363372*Deflactores!$P$5</f>
        <v>2657.3494103763146</v>
      </c>
      <c r="T78" s="56">
        <f>1167.70348217955*Deflactores!$Q$5</f>
        <v>2024.7019867739618</v>
      </c>
      <c r="U78" s="56">
        <f>1233.41612316861*Deflactores!$R$5</f>
        <v>2054.6088118024672</v>
      </c>
      <c r="V78" s="56">
        <f>1177.34050500686*Deflactores!$S$5</f>
        <v>1900.7547624118888</v>
      </c>
    </row>
    <row r="79" spans="3:22" x14ac:dyDescent="0.2">
      <c r="C79" s="88" t="s">
        <v>150</v>
      </c>
      <c r="D79" s="57">
        <f>438.19972326172*Deflactores!$A$5</f>
        <v>1635.3243712537255</v>
      </c>
      <c r="E79" s="57">
        <f>742.11601622589*Deflactores!$B$5</f>
        <v>2572.7431038345139</v>
      </c>
      <c r="F79" s="57">
        <f>851.2214490135*Deflactores!$C$5</f>
        <v>2758.1413455900974</v>
      </c>
      <c r="G79" s="57">
        <f>760.666438336229*Deflactores!$D$5</f>
        <v>2314.4821429160193</v>
      </c>
      <c r="H79" s="57">
        <f>725.04735526043*Deflactores!$E$5</f>
        <v>2091.1534991098811</v>
      </c>
      <c r="I79" s="57">
        <f>619.554418086199*Deflactores!$F$5</f>
        <v>1704.1552970926459</v>
      </c>
      <c r="J79" s="57">
        <f>830.180563765839*Deflactores!$G$5</f>
        <v>2185.6349976458223</v>
      </c>
      <c r="K79" s="57">
        <f>784.906905635939*Deflactores!$H$5</f>
        <v>1955.1090928116898</v>
      </c>
      <c r="L79" s="57">
        <f>795.547989592629*Deflactores!$I$5</f>
        <v>1840.3773646711441</v>
      </c>
      <c r="M79" s="57">
        <f>897.73221565139*Deflactores!$J$5</f>
        <v>2036.0078172039077</v>
      </c>
      <c r="N79" s="57">
        <f>1002.53474641319*Deflactores!$K$5</f>
        <v>2203.8066482852346</v>
      </c>
      <c r="O79" s="57">
        <f>740.385893998199*Deflactores!$L$5</f>
        <v>1569.0677346012724</v>
      </c>
      <c r="P79" s="57">
        <f>1084.98144281714*Deflactores!$M$5</f>
        <v>2244.5862411234316</v>
      </c>
      <c r="Q79" s="57">
        <f>1098.34069992344*Deflactores!$N$5</f>
        <v>2228.9813463803039</v>
      </c>
      <c r="R79" s="57">
        <f>1417.68377141158*Deflactores!$O$5</f>
        <v>2775.4762819766775</v>
      </c>
      <c r="S79" s="57">
        <f>1541.33121096454*Deflactores!$P$5</f>
        <v>2826.2129525818955</v>
      </c>
      <c r="T79" s="57">
        <f>1670.86636678997*Deflactores!$Q$5</f>
        <v>2897.1451263971317</v>
      </c>
      <c r="U79" s="57">
        <f>2348.47137240831*Deflactores!$R$5</f>
        <v>3912.0535927649257</v>
      </c>
      <c r="V79" s="57">
        <f>2015.20138143864*Deflactores!$S$5</f>
        <v>3253.4373927500214</v>
      </c>
    </row>
    <row r="80" spans="3:22" x14ac:dyDescent="0.2">
      <c r="C80" s="87" t="s">
        <v>151</v>
      </c>
      <c r="D80" s="56">
        <f>26.857936547*Deflactores!$A$5</f>
        <v>100.23155165404481</v>
      </c>
      <c r="E80" s="56">
        <f>36.53579006568*Deflactores!$B$5</f>
        <v>126.66106091154928</v>
      </c>
      <c r="F80" s="56">
        <f>10.36058953445*Deflactores!$C$5</f>
        <v>33.570547820161195</v>
      </c>
      <c r="G80" s="56">
        <f>11.26058101111*Deflactores!$D$5</f>
        <v>34.262604941633072</v>
      </c>
      <c r="H80" s="56">
        <f>22.9284455457*Deflactores!$E$5</f>
        <v>66.1293345657662</v>
      </c>
      <c r="I80" s="56">
        <f>88.1926808026499*Deflactores!$F$5</f>
        <v>242.58405681117461</v>
      </c>
      <c r="J80" s="56">
        <f>23.58111021023*Deflactores!$G$5</f>
        <v>62.082517958538034</v>
      </c>
      <c r="K80" s="56">
        <f>13.86999891267*Deflactores!$H$5</f>
        <v>34.548506067071266</v>
      </c>
      <c r="L80" s="56">
        <f>0*Deflactores!$I$5</f>
        <v>0</v>
      </c>
      <c r="M80" s="56">
        <f>0*Deflactores!$J$5</f>
        <v>0</v>
      </c>
      <c r="N80" s="56">
        <f>0*Deflactores!$K$5</f>
        <v>0</v>
      </c>
      <c r="O80" s="56">
        <f>0*Deflactores!$L$5</f>
        <v>0</v>
      </c>
      <c r="P80" s="56">
        <f>0*Deflactores!$M$5</f>
        <v>0</v>
      </c>
      <c r="Q80" s="56">
        <f>0*Deflactores!$N$5</f>
        <v>0</v>
      </c>
      <c r="R80" s="56">
        <f>0*Deflactores!$O$5</f>
        <v>0</v>
      </c>
      <c r="S80" s="56">
        <f>0*Deflactores!$P$5</f>
        <v>0</v>
      </c>
      <c r="T80" s="56">
        <f>0*Deflactores!$Q$5</f>
        <v>0</v>
      </c>
      <c r="U80" s="56">
        <f>0*Deflactores!$R$5</f>
        <v>0</v>
      </c>
      <c r="V80" s="56">
        <f>0*Deflactores!$S$5</f>
        <v>0</v>
      </c>
    </row>
    <row r="81" spans="3:22" x14ac:dyDescent="0.2">
      <c r="C81" s="79" t="s">
        <v>154</v>
      </c>
      <c r="D81" s="44">
        <f t="shared" ref="D81:Q81" si="1">+SUM(D52:D80)</f>
        <v>12321.94006479267</v>
      </c>
      <c r="E81" s="44">
        <f t="shared" si="1"/>
        <v>14415.250540275727</v>
      </c>
      <c r="F81" s="44">
        <f t="shared" si="1"/>
        <v>14349.937181310461</v>
      </c>
      <c r="G81" s="44">
        <f t="shared" si="1"/>
        <v>13777.862787545502</v>
      </c>
      <c r="H81" s="44">
        <f t="shared" si="1"/>
        <v>20990.308148534765</v>
      </c>
      <c r="I81" s="44">
        <f t="shared" si="1"/>
        <v>20248.908726000511</v>
      </c>
      <c r="J81" s="44">
        <f t="shared" si="1"/>
        <v>16824.226269216088</v>
      </c>
      <c r="K81" s="44">
        <f t="shared" si="1"/>
        <v>17160.614378722519</v>
      </c>
      <c r="L81" s="44">
        <f t="shared" si="1"/>
        <v>18907.438018616995</v>
      </c>
      <c r="M81" s="44">
        <f t="shared" si="1"/>
        <v>23032.642148974468</v>
      </c>
      <c r="N81" s="44">
        <f t="shared" si="1"/>
        <v>24984.187597739226</v>
      </c>
      <c r="O81" s="44">
        <f t="shared" si="1"/>
        <v>23653.814716831312</v>
      </c>
      <c r="P81" s="44">
        <f t="shared" si="1"/>
        <v>24863.222523973556</v>
      </c>
      <c r="Q81" s="44">
        <f t="shared" si="1"/>
        <v>26547.887594460652</v>
      </c>
      <c r="R81" s="44">
        <f>10467.8882705937*Deflactores!$O$5</f>
        <v>20493.551667369647</v>
      </c>
      <c r="S81" s="44">
        <f>+SUM(S52:S80)</f>
        <v>20788.811006739797</v>
      </c>
      <c r="T81" s="44">
        <f>+SUM(T52:T80)</f>
        <v>22262.655907971068</v>
      </c>
      <c r="U81" s="44">
        <f>+SUM(U52:U80)</f>
        <v>23605.386982496508</v>
      </c>
      <c r="V81" s="44">
        <f>+SUM(V52:V80)</f>
        <v>20799.880928619106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D86" s="164" t="s">
        <v>173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4.5" customHeight="1" x14ac:dyDescent="0.2">
      <c r="H87" s="27"/>
      <c r="I87" s="27"/>
      <c r="J87" s="27"/>
      <c r="L87" s="179"/>
      <c r="M87" s="160"/>
      <c r="N87" s="160"/>
      <c r="O87" s="160"/>
      <c r="P87" s="160"/>
      <c r="Q87" s="160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1" t="s">
        <v>120</v>
      </c>
      <c r="D89" s="155">
        <v>2000</v>
      </c>
      <c r="E89" s="155">
        <v>2001</v>
      </c>
      <c r="F89" s="155">
        <v>2002</v>
      </c>
      <c r="G89" s="155">
        <v>2003</v>
      </c>
      <c r="H89" s="155">
        <v>2004</v>
      </c>
      <c r="I89" s="155">
        <v>2005</v>
      </c>
      <c r="J89" s="155">
        <v>2006</v>
      </c>
      <c r="K89" s="155">
        <v>2007</v>
      </c>
      <c r="L89" s="155">
        <v>2008</v>
      </c>
      <c r="M89" s="155">
        <v>2009</v>
      </c>
      <c r="N89" s="155">
        <v>2010</v>
      </c>
      <c r="O89" s="155">
        <v>2011</v>
      </c>
      <c r="P89" s="155">
        <v>2012</v>
      </c>
      <c r="Q89" s="155">
        <v>2013</v>
      </c>
      <c r="R89" s="155">
        <v>2014</v>
      </c>
      <c r="S89" s="155">
        <v>2015</v>
      </c>
      <c r="T89" s="155">
        <v>2016</v>
      </c>
      <c r="U89" s="155">
        <v>2017</v>
      </c>
      <c r="V89" s="155">
        <v>2018</v>
      </c>
    </row>
    <row r="90" spans="3:22" ht="12" customHeight="1" thickBot="1" x14ac:dyDescent="0.25">
      <c r="C90" s="162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</row>
    <row r="91" spans="3:22" x14ac:dyDescent="0.2">
      <c r="C91" s="87" t="s">
        <v>123</v>
      </c>
      <c r="D91" s="60">
        <f t="shared" ref="D91:V91" si="2">+IFERROR(IF(D52&gt;0,+((D52/D13)*100)," "),"")</f>
        <v>76.826405648153099</v>
      </c>
      <c r="E91" s="60">
        <f t="shared" si="2"/>
        <v>86.003312360620328</v>
      </c>
      <c r="F91" s="60">
        <f t="shared" si="2"/>
        <v>93.542900455728002</v>
      </c>
      <c r="G91" s="60">
        <f t="shared" si="2"/>
        <v>89.683407345069057</v>
      </c>
      <c r="H91" s="60">
        <f t="shared" si="2"/>
        <v>94.141923247317166</v>
      </c>
      <c r="I91" s="60">
        <f t="shared" si="2"/>
        <v>93.748512574855496</v>
      </c>
      <c r="J91" s="60">
        <f t="shared" si="2"/>
        <v>92.611655770696544</v>
      </c>
      <c r="K91" s="60">
        <f t="shared" si="2"/>
        <v>92.926885201151251</v>
      </c>
      <c r="L91" s="60">
        <f t="shared" si="2"/>
        <v>95.486567788343905</v>
      </c>
      <c r="M91" s="60">
        <f t="shared" si="2"/>
        <v>78.529915347409187</v>
      </c>
      <c r="N91" s="60">
        <f t="shared" si="2"/>
        <v>83.022110148997228</v>
      </c>
      <c r="O91" s="60">
        <f t="shared" si="2"/>
        <v>87.470355127180014</v>
      </c>
      <c r="P91" s="60">
        <f t="shared" si="2"/>
        <v>91.836218355561371</v>
      </c>
      <c r="Q91" s="60">
        <f t="shared" si="2"/>
        <v>81.108752600749128</v>
      </c>
      <c r="R91" s="60">
        <f t="shared" si="2"/>
        <v>94.504188844412766</v>
      </c>
      <c r="S91" s="60">
        <f t="shared" si="2"/>
        <v>80.94595554650607</v>
      </c>
      <c r="T91" s="60">
        <f t="shared" si="2"/>
        <v>93.977883118074701</v>
      </c>
      <c r="U91" s="60">
        <f t="shared" si="2"/>
        <v>96.332495196132257</v>
      </c>
      <c r="V91" s="60">
        <f t="shared" si="2"/>
        <v>87.655412913050441</v>
      </c>
    </row>
    <row r="92" spans="3:22" x14ac:dyDescent="0.2">
      <c r="C92" s="88" t="s">
        <v>124</v>
      </c>
      <c r="D92" s="62">
        <f t="shared" ref="D92:V92" si="3">+IFERROR(IF(D53&gt;0,+((D53/D14)*100)," "),"")</f>
        <v>53.361684791619211</v>
      </c>
      <c r="E92" s="62">
        <f t="shared" si="3"/>
        <v>34.503811298701301</v>
      </c>
      <c r="F92" s="62">
        <f t="shared" si="3"/>
        <v>84.451773904057646</v>
      </c>
      <c r="G92" s="62">
        <f t="shared" si="3"/>
        <v>78.540960771617733</v>
      </c>
      <c r="H92" s="62">
        <f t="shared" si="3"/>
        <v>76.045622603116342</v>
      </c>
      <c r="I92" s="62">
        <f t="shared" si="3"/>
        <v>73.492735641343415</v>
      </c>
      <c r="J92" s="62">
        <f t="shared" si="3"/>
        <v>79.736118342793333</v>
      </c>
      <c r="K92" s="62">
        <f t="shared" si="3"/>
        <v>86.472704414794947</v>
      </c>
      <c r="L92" s="62">
        <f t="shared" si="3"/>
        <v>76.563498641025646</v>
      </c>
      <c r="M92" s="62">
        <f t="shared" si="3"/>
        <v>82.740355725125468</v>
      </c>
      <c r="N92" s="62">
        <f t="shared" si="3"/>
        <v>80.94125868101591</v>
      </c>
      <c r="O92" s="62">
        <f t="shared" si="3"/>
        <v>88.506703864656942</v>
      </c>
      <c r="P92" s="62">
        <f t="shared" si="3"/>
        <v>88.225640580008942</v>
      </c>
      <c r="Q92" s="62">
        <f t="shared" si="3"/>
        <v>79.329424954602857</v>
      </c>
      <c r="R92" s="62">
        <f t="shared" si="3"/>
        <v>84.140701101583403</v>
      </c>
      <c r="S92" s="62">
        <f t="shared" si="3"/>
        <v>89.998342840288316</v>
      </c>
      <c r="T92" s="62">
        <f t="shared" si="3"/>
        <v>89.934567032915183</v>
      </c>
      <c r="U92" s="62">
        <f t="shared" si="3"/>
        <v>96.900639459504148</v>
      </c>
      <c r="V92" s="62">
        <f t="shared" si="3"/>
        <v>97.35309898095548</v>
      </c>
    </row>
    <row r="93" spans="3:22" x14ac:dyDescent="0.2">
      <c r="C93" s="87" t="s">
        <v>125</v>
      </c>
      <c r="D93" s="60">
        <f t="shared" ref="D93:V93" si="4">+IFERROR(IF(D54&gt;0,+((D54/D15)*100)," "),"")</f>
        <v>94.330263889837212</v>
      </c>
      <c r="E93" s="60">
        <f t="shared" si="4"/>
        <v>94.835507919261829</v>
      </c>
      <c r="F93" s="60">
        <f t="shared" si="4"/>
        <v>99.187380036384582</v>
      </c>
      <c r="G93" s="60">
        <f t="shared" si="4"/>
        <v>98.942357340366812</v>
      </c>
      <c r="H93" s="60">
        <f t="shared" si="4"/>
        <v>98.338137794297779</v>
      </c>
      <c r="I93" s="60">
        <f t="shared" si="4"/>
        <v>98.782361766819164</v>
      </c>
      <c r="J93" s="60">
        <f t="shared" si="4"/>
        <v>98.186682367604561</v>
      </c>
      <c r="K93" s="60">
        <f t="shared" si="4"/>
        <v>93.851874025676253</v>
      </c>
      <c r="L93" s="60">
        <f t="shared" si="4"/>
        <v>96.504199034955207</v>
      </c>
      <c r="M93" s="60">
        <f t="shared" si="4"/>
        <v>97.144680580533148</v>
      </c>
      <c r="N93" s="60" t="str">
        <f t="shared" si="4"/>
        <v xml:space="preserve"> </v>
      </c>
      <c r="O93" s="60" t="str">
        <f t="shared" si="4"/>
        <v xml:space="preserve"> </v>
      </c>
      <c r="P93" s="60" t="str">
        <f t="shared" si="4"/>
        <v xml:space="preserve"> </v>
      </c>
      <c r="Q93" s="60" t="str">
        <f t="shared" si="4"/>
        <v xml:space="preserve"> </v>
      </c>
      <c r="R93" s="60" t="str">
        <f t="shared" si="4"/>
        <v xml:space="preserve"> </v>
      </c>
      <c r="S93" s="60" t="str">
        <f t="shared" si="4"/>
        <v xml:space="preserve"> </v>
      </c>
      <c r="T93" s="60" t="str">
        <f t="shared" si="4"/>
        <v xml:space="preserve"> </v>
      </c>
      <c r="U93" s="60" t="str">
        <f t="shared" si="4"/>
        <v xml:space="preserve"> </v>
      </c>
      <c r="V93" s="60" t="str">
        <f t="shared" si="4"/>
        <v xml:space="preserve"> </v>
      </c>
    </row>
    <row r="94" spans="3:22" x14ac:dyDescent="0.2">
      <c r="C94" s="88" t="s">
        <v>126</v>
      </c>
      <c r="D94" s="62">
        <f t="shared" ref="D94:V94" si="5">+IFERROR(IF(D55&gt;0,+((D55/D16)*100)," "),"")</f>
        <v>95.114713813779758</v>
      </c>
      <c r="E94" s="62">
        <f t="shared" si="5"/>
        <v>88.910546805608632</v>
      </c>
      <c r="F94" s="62">
        <f t="shared" si="5"/>
        <v>78.504930226419845</v>
      </c>
      <c r="G94" s="62">
        <f t="shared" si="5"/>
        <v>89.068626117182077</v>
      </c>
      <c r="H94" s="62">
        <f t="shared" si="5"/>
        <v>87.124927162062889</v>
      </c>
      <c r="I94" s="62">
        <f t="shared" si="5"/>
        <v>90.222352769585427</v>
      </c>
      <c r="J94" s="62">
        <f t="shared" si="5"/>
        <v>87.60954711798739</v>
      </c>
      <c r="K94" s="62">
        <f t="shared" si="5"/>
        <v>94.732023352017819</v>
      </c>
      <c r="L94" s="62">
        <f t="shared" si="5"/>
        <v>93.569938059520382</v>
      </c>
      <c r="M94" s="62">
        <f t="shared" si="5"/>
        <v>95.425199939338555</v>
      </c>
      <c r="N94" s="62">
        <f t="shared" si="5"/>
        <v>92.256907099016274</v>
      </c>
      <c r="O94" s="62">
        <f t="shared" si="5"/>
        <v>86.952000054031132</v>
      </c>
      <c r="P94" s="62">
        <f t="shared" si="5"/>
        <v>92.299314068765298</v>
      </c>
      <c r="Q94" s="62">
        <f t="shared" si="5"/>
        <v>95.602105946941037</v>
      </c>
      <c r="R94" s="62">
        <f t="shared" si="5"/>
        <v>96.254637202357372</v>
      </c>
      <c r="S94" s="62">
        <f t="shared" si="5"/>
        <v>95.661710815116834</v>
      </c>
      <c r="T94" s="62">
        <f t="shared" si="5"/>
        <v>96.011157445576984</v>
      </c>
      <c r="U94" s="62">
        <f t="shared" si="5"/>
        <v>97.646179930332295</v>
      </c>
      <c r="V94" s="62">
        <f t="shared" si="5"/>
        <v>95.998223228670028</v>
      </c>
    </row>
    <row r="95" spans="3:22" x14ac:dyDescent="0.2">
      <c r="C95" s="87" t="s">
        <v>127</v>
      </c>
      <c r="D95" s="60" t="str">
        <f t="shared" ref="D95:V95" si="6">+IFERROR(IF(D56&gt;0,+((D56/D17)*100)," "),"")</f>
        <v xml:space="preserve"> </v>
      </c>
      <c r="E95" s="60" t="str">
        <f t="shared" si="6"/>
        <v xml:space="preserve"> </v>
      </c>
      <c r="F95" s="60" t="str">
        <f t="shared" si="6"/>
        <v xml:space="preserve"> </v>
      </c>
      <c r="G95" s="60" t="str">
        <f t="shared" si="6"/>
        <v xml:space="preserve"> </v>
      </c>
      <c r="H95" s="60" t="str">
        <f t="shared" si="6"/>
        <v xml:space="preserve"> </v>
      </c>
      <c r="I95" s="60" t="str">
        <f t="shared" si="6"/>
        <v xml:space="preserve"> </v>
      </c>
      <c r="J95" s="60" t="str">
        <f t="shared" si="6"/>
        <v xml:space="preserve"> </v>
      </c>
      <c r="K95" s="60" t="str">
        <f t="shared" si="6"/>
        <v xml:space="preserve"> </v>
      </c>
      <c r="L95" s="60" t="str">
        <f t="shared" si="6"/>
        <v xml:space="preserve"> </v>
      </c>
      <c r="M95" s="60" t="str">
        <f t="shared" si="6"/>
        <v xml:space="preserve"> </v>
      </c>
      <c r="N95" s="60" t="str">
        <f t="shared" si="6"/>
        <v xml:space="preserve"> </v>
      </c>
      <c r="O95" s="60" t="str">
        <f t="shared" si="6"/>
        <v xml:space="preserve"> </v>
      </c>
      <c r="P95" s="60" t="str">
        <f t="shared" si="6"/>
        <v xml:space="preserve"> </v>
      </c>
      <c r="Q95" s="60" t="str">
        <f t="shared" si="6"/>
        <v xml:space="preserve"> </v>
      </c>
      <c r="R95" s="60" t="str">
        <f t="shared" si="6"/>
        <v xml:space="preserve"> </v>
      </c>
      <c r="S95" s="60" t="str">
        <f t="shared" si="6"/>
        <v xml:space="preserve"> </v>
      </c>
      <c r="T95" s="60" t="str">
        <f t="shared" si="6"/>
        <v xml:space="preserve"> </v>
      </c>
      <c r="U95" s="60" t="str">
        <f t="shared" si="6"/>
        <v xml:space="preserve"> </v>
      </c>
      <c r="V95" s="60" t="str">
        <f t="shared" si="6"/>
        <v xml:space="preserve"> </v>
      </c>
    </row>
    <row r="96" spans="3:22" x14ac:dyDescent="0.2">
      <c r="C96" s="88" t="s">
        <v>128</v>
      </c>
      <c r="D96" s="62">
        <f t="shared" ref="D96:V96" si="7">+IFERROR(IF(D57&gt;0,+((D57/D18)*100)," "),"")</f>
        <v>86.980122753860371</v>
      </c>
      <c r="E96" s="62">
        <f t="shared" si="7"/>
        <v>89.213415832962923</v>
      </c>
      <c r="F96" s="62">
        <f t="shared" si="7"/>
        <v>82.191642610683886</v>
      </c>
      <c r="G96" s="62">
        <f t="shared" si="7"/>
        <v>91.351259206325281</v>
      </c>
      <c r="H96" s="62">
        <f t="shared" si="7"/>
        <v>90.964498867269583</v>
      </c>
      <c r="I96" s="62">
        <f t="shared" si="7"/>
        <v>92.97911259697031</v>
      </c>
      <c r="J96" s="62">
        <f t="shared" si="7"/>
        <v>35.352814771903866</v>
      </c>
      <c r="K96" s="62">
        <f t="shared" si="7"/>
        <v>56.116034118354129</v>
      </c>
      <c r="L96" s="62">
        <f t="shared" si="7"/>
        <v>85.672773747349851</v>
      </c>
      <c r="M96" s="62">
        <f t="shared" si="7"/>
        <v>35.058042094419314</v>
      </c>
      <c r="N96" s="62">
        <f t="shared" si="7"/>
        <v>93.412235377375808</v>
      </c>
      <c r="O96" s="62">
        <f t="shared" si="7"/>
        <v>81.194102803351058</v>
      </c>
      <c r="P96" s="62">
        <f t="shared" si="7"/>
        <v>94.08442923609671</v>
      </c>
      <c r="Q96" s="62">
        <f t="shared" si="7"/>
        <v>88.575430255538876</v>
      </c>
      <c r="R96" s="62">
        <f t="shared" si="7"/>
        <v>95.205138880396518</v>
      </c>
      <c r="S96" s="62">
        <f t="shared" si="7"/>
        <v>95.758341336382429</v>
      </c>
      <c r="T96" s="62">
        <f t="shared" si="7"/>
        <v>97.857401402652869</v>
      </c>
      <c r="U96" s="62">
        <f t="shared" si="7"/>
        <v>98.071660235325226</v>
      </c>
      <c r="V96" s="62">
        <f t="shared" si="7"/>
        <v>98.369589389629823</v>
      </c>
    </row>
    <row r="97" spans="3:22" x14ac:dyDescent="0.2">
      <c r="C97" s="87" t="s">
        <v>129</v>
      </c>
      <c r="D97" s="60">
        <f t="shared" ref="D97:V97" si="8">+IFERROR(IF(D58&gt;0,+((D58/D19)*100)," "),"")</f>
        <v>87.3268444824363</v>
      </c>
      <c r="E97" s="60">
        <f t="shared" si="8"/>
        <v>90.302815302222115</v>
      </c>
      <c r="F97" s="60">
        <f t="shared" si="8"/>
        <v>89.357896008881127</v>
      </c>
      <c r="G97" s="60">
        <f t="shared" si="8"/>
        <v>91.115206709447108</v>
      </c>
      <c r="H97" s="60">
        <f t="shared" si="8"/>
        <v>93.40906420620324</v>
      </c>
      <c r="I97" s="60">
        <f t="shared" si="8"/>
        <v>94.268314988125269</v>
      </c>
      <c r="J97" s="60">
        <f t="shared" si="8"/>
        <v>93.60765757044453</v>
      </c>
      <c r="K97" s="60">
        <f t="shared" si="8"/>
        <v>92.470814543056406</v>
      </c>
      <c r="L97" s="60">
        <f t="shared" si="8"/>
        <v>92.463722564322595</v>
      </c>
      <c r="M97" s="60">
        <f t="shared" si="8"/>
        <v>91.3811197815089</v>
      </c>
      <c r="N97" s="60">
        <f t="shared" si="8"/>
        <v>95.498290468946053</v>
      </c>
      <c r="O97" s="60">
        <f t="shared" si="8"/>
        <v>86.684756870288297</v>
      </c>
      <c r="P97" s="60">
        <f t="shared" si="8"/>
        <v>86.304308490020304</v>
      </c>
      <c r="Q97" s="60">
        <f t="shared" si="8"/>
        <v>84.51325185496114</v>
      </c>
      <c r="R97" s="60">
        <f t="shared" si="8"/>
        <v>91.453103946654991</v>
      </c>
      <c r="S97" s="60">
        <f t="shared" si="8"/>
        <v>87.50627161093476</v>
      </c>
      <c r="T97" s="60">
        <f t="shared" si="8"/>
        <v>94.532294571805679</v>
      </c>
      <c r="U97" s="60">
        <f t="shared" si="8"/>
        <v>97.976281186011235</v>
      </c>
      <c r="V97" s="60">
        <f t="shared" si="8"/>
        <v>97.199281247847694</v>
      </c>
    </row>
    <row r="98" spans="3:22" x14ac:dyDescent="0.2">
      <c r="C98" s="88" t="s">
        <v>130</v>
      </c>
      <c r="D98" s="62">
        <f t="shared" ref="D98:V98" si="9">+IFERROR(IF(D59&gt;0,+((D59/D20)*100)," "),"")</f>
        <v>88.35591084454073</v>
      </c>
      <c r="E98" s="62">
        <f t="shared" si="9"/>
        <v>94.362832736045959</v>
      </c>
      <c r="F98" s="62">
        <f t="shared" si="9"/>
        <v>95.933626429420997</v>
      </c>
      <c r="G98" s="62">
        <f t="shared" si="9"/>
        <v>93.158798602296372</v>
      </c>
      <c r="H98" s="62">
        <f t="shared" si="9"/>
        <v>95.998138624862804</v>
      </c>
      <c r="I98" s="62">
        <f t="shared" si="9"/>
        <v>97.405126577975309</v>
      </c>
      <c r="J98" s="62">
        <f t="shared" si="9"/>
        <v>93.987387579237151</v>
      </c>
      <c r="K98" s="62">
        <f t="shared" si="9"/>
        <v>95.129376817965834</v>
      </c>
      <c r="L98" s="62">
        <f t="shared" si="9"/>
        <v>95.454474433987315</v>
      </c>
      <c r="M98" s="62">
        <f t="shared" si="9"/>
        <v>63.460640310590101</v>
      </c>
      <c r="N98" s="62">
        <f t="shared" si="9"/>
        <v>96.347144660234136</v>
      </c>
      <c r="O98" s="62">
        <f t="shared" si="9"/>
        <v>84.908596333822345</v>
      </c>
      <c r="P98" s="62" t="str">
        <f t="shared" si="9"/>
        <v xml:space="preserve"> </v>
      </c>
      <c r="Q98" s="62" t="str">
        <f t="shared" si="9"/>
        <v xml:space="preserve"> </v>
      </c>
      <c r="R98" s="62" t="str">
        <f t="shared" si="9"/>
        <v xml:space="preserve"> </v>
      </c>
      <c r="S98" s="62" t="str">
        <f t="shared" si="9"/>
        <v xml:space="preserve"> </v>
      </c>
      <c r="T98" s="62" t="str">
        <f t="shared" si="9"/>
        <v xml:space="preserve"> </v>
      </c>
      <c r="U98" s="62" t="str">
        <f t="shared" si="9"/>
        <v xml:space="preserve"> </v>
      </c>
      <c r="V98" s="62" t="str">
        <f t="shared" si="9"/>
        <v xml:space="preserve"> </v>
      </c>
    </row>
    <row r="99" spans="3:22" x14ac:dyDescent="0.2">
      <c r="C99" s="87" t="s">
        <v>131</v>
      </c>
      <c r="D99" s="60">
        <f t="shared" ref="D99:V99" si="10">+IFERROR(IF(D60&gt;0,+((D60/D21)*100)," "),"")</f>
        <v>95.35052091180718</v>
      </c>
      <c r="E99" s="60">
        <f t="shared" si="10"/>
        <v>95.216427560241243</v>
      </c>
      <c r="F99" s="60">
        <f t="shared" si="10"/>
        <v>91.585633913248572</v>
      </c>
      <c r="G99" s="60">
        <f t="shared" si="10"/>
        <v>95.130978181198316</v>
      </c>
      <c r="H99" s="60">
        <f t="shared" si="10"/>
        <v>93.086667195134083</v>
      </c>
      <c r="I99" s="60">
        <f t="shared" si="10"/>
        <v>97.000138456235334</v>
      </c>
      <c r="J99" s="60">
        <f t="shared" si="10"/>
        <v>53.69852401411822</v>
      </c>
      <c r="K99" s="60">
        <f t="shared" si="10"/>
        <v>86.789695505525117</v>
      </c>
      <c r="L99" s="60">
        <f t="shared" si="10"/>
        <v>90.84113862766722</v>
      </c>
      <c r="M99" s="60">
        <f t="shared" si="10"/>
        <v>92.217756640854148</v>
      </c>
      <c r="N99" s="60">
        <f t="shared" si="10"/>
        <v>88.592173775388304</v>
      </c>
      <c r="O99" s="60">
        <f t="shared" si="10"/>
        <v>95.449410976611773</v>
      </c>
      <c r="P99" s="60">
        <f t="shared" si="10"/>
        <v>94.163073752758365</v>
      </c>
      <c r="Q99" s="60">
        <f t="shared" si="10"/>
        <v>92.23231144871967</v>
      </c>
      <c r="R99" s="60">
        <f t="shared" si="10"/>
        <v>90.084215567899378</v>
      </c>
      <c r="S99" s="60">
        <f t="shared" si="10"/>
        <v>89.871156147095661</v>
      </c>
      <c r="T99" s="60">
        <f t="shared" si="10"/>
        <v>89.264359074807714</v>
      </c>
      <c r="U99" s="60">
        <f t="shared" si="10"/>
        <v>90.573907655626755</v>
      </c>
      <c r="V99" s="60">
        <f t="shared" si="10"/>
        <v>92.685152535097657</v>
      </c>
    </row>
    <row r="100" spans="3:22" x14ac:dyDescent="0.2">
      <c r="C100" s="88" t="s">
        <v>132</v>
      </c>
      <c r="D100" s="62">
        <f t="shared" ref="D100:V100" si="11">+IFERROR(IF(D61&gt;0,+((D61/D22)*100)," "),"")</f>
        <v>86.787703748426708</v>
      </c>
      <c r="E100" s="62">
        <f t="shared" si="11"/>
        <v>78.452921095957194</v>
      </c>
      <c r="F100" s="62">
        <f t="shared" si="11"/>
        <v>78.780360432030122</v>
      </c>
      <c r="G100" s="62">
        <f t="shared" si="11"/>
        <v>87.781256030094085</v>
      </c>
      <c r="H100" s="62">
        <f t="shared" si="11"/>
        <v>83.075542013027786</v>
      </c>
      <c r="I100" s="62">
        <f t="shared" si="11"/>
        <v>93.561933280104668</v>
      </c>
      <c r="J100" s="62">
        <f t="shared" si="11"/>
        <v>79.749449724212226</v>
      </c>
      <c r="K100" s="62">
        <f t="shared" si="11"/>
        <v>47.554433029395405</v>
      </c>
      <c r="L100" s="62">
        <f t="shared" si="11"/>
        <v>58.339561919580326</v>
      </c>
      <c r="M100" s="62">
        <f t="shared" si="11"/>
        <v>60.706861023745788</v>
      </c>
      <c r="N100" s="62">
        <f t="shared" si="11"/>
        <v>72.25461515225129</v>
      </c>
      <c r="O100" s="62">
        <f t="shared" si="11"/>
        <v>68.765356555056329</v>
      </c>
      <c r="P100" s="62">
        <f t="shared" si="11"/>
        <v>70.966042223852341</v>
      </c>
      <c r="Q100" s="62">
        <f t="shared" si="11"/>
        <v>69.364290259149058</v>
      </c>
      <c r="R100" s="62">
        <f t="shared" si="11"/>
        <v>69.273155923198544</v>
      </c>
      <c r="S100" s="62">
        <f t="shared" si="11"/>
        <v>73.913106256765332</v>
      </c>
      <c r="T100" s="62">
        <f t="shared" si="11"/>
        <v>91.426277289846823</v>
      </c>
      <c r="U100" s="62">
        <f t="shared" si="11"/>
        <v>93.497251073073826</v>
      </c>
      <c r="V100" s="62">
        <f t="shared" si="11"/>
        <v>93.38960048828821</v>
      </c>
    </row>
    <row r="101" spans="3:22" x14ac:dyDescent="0.2">
      <c r="C101" s="87" t="s">
        <v>133</v>
      </c>
      <c r="D101" s="60">
        <f t="shared" ref="D101:V101" si="12">+IFERROR(IF(D62&gt;0,+((D62/D23)*100)," "),"")</f>
        <v>52.553481328482718</v>
      </c>
      <c r="E101" s="60">
        <f t="shared" si="12"/>
        <v>63.907002755798558</v>
      </c>
      <c r="F101" s="60">
        <f t="shared" si="12"/>
        <v>86.798313787478406</v>
      </c>
      <c r="G101" s="60">
        <f t="shared" si="12"/>
        <v>34.140608885384019</v>
      </c>
      <c r="H101" s="60">
        <f t="shared" si="12"/>
        <v>91.137512104926614</v>
      </c>
      <c r="I101" s="60">
        <f t="shared" si="12"/>
        <v>99.861296224890481</v>
      </c>
      <c r="J101" s="60">
        <f t="shared" si="12"/>
        <v>99.992904700325752</v>
      </c>
      <c r="K101" s="60">
        <f t="shared" si="12"/>
        <v>83.089303965380751</v>
      </c>
      <c r="L101" s="60">
        <f t="shared" si="12"/>
        <v>96.097065734930581</v>
      </c>
      <c r="M101" s="60">
        <f t="shared" si="12"/>
        <v>97.290065080311223</v>
      </c>
      <c r="N101" s="60">
        <f t="shared" si="12"/>
        <v>90.573022654061475</v>
      </c>
      <c r="O101" s="60">
        <f t="shared" si="12"/>
        <v>91.052149671146537</v>
      </c>
      <c r="P101" s="60">
        <f t="shared" si="12"/>
        <v>85.085612703805552</v>
      </c>
      <c r="Q101" s="60">
        <f t="shared" si="12"/>
        <v>59.910742094923286</v>
      </c>
      <c r="R101" s="60">
        <f t="shared" si="12"/>
        <v>98.411195353444228</v>
      </c>
      <c r="S101" s="60">
        <f t="shared" si="12"/>
        <v>49.217369057482252</v>
      </c>
      <c r="T101" s="60">
        <f t="shared" si="12"/>
        <v>40.798536007914201</v>
      </c>
      <c r="U101" s="60">
        <f t="shared" si="12"/>
        <v>99.783059443826332</v>
      </c>
      <c r="V101" s="60">
        <f t="shared" si="12"/>
        <v>97.501865934238737</v>
      </c>
    </row>
    <row r="102" spans="3:22" x14ac:dyDescent="0.2">
      <c r="C102" s="88" t="s">
        <v>134</v>
      </c>
      <c r="D102" s="62">
        <f t="shared" ref="D102:V102" si="13">+IFERROR(IF(D63&gt;0,+((D63/D24)*100)," "),"")</f>
        <v>71.871683578059091</v>
      </c>
      <c r="E102" s="62">
        <f t="shared" si="13"/>
        <v>88.987063951857365</v>
      </c>
      <c r="F102" s="62">
        <f t="shared" si="13"/>
        <v>92.503531745315343</v>
      </c>
      <c r="G102" s="62">
        <f t="shared" si="13"/>
        <v>91.838445119509799</v>
      </c>
      <c r="H102" s="62">
        <f t="shared" si="13"/>
        <v>92.910815013715151</v>
      </c>
      <c r="I102" s="62">
        <f t="shared" si="13"/>
        <v>87.337569460203056</v>
      </c>
      <c r="J102" s="62">
        <f t="shared" si="13"/>
        <v>97.541321128487766</v>
      </c>
      <c r="K102" s="62">
        <f t="shared" si="13"/>
        <v>88.977072591259656</v>
      </c>
      <c r="L102" s="62">
        <f t="shared" si="13"/>
        <v>92.062290080142844</v>
      </c>
      <c r="M102" s="62">
        <f t="shared" si="13"/>
        <v>88.852711545989109</v>
      </c>
      <c r="N102" s="62">
        <f t="shared" si="13"/>
        <v>92.1378884348767</v>
      </c>
      <c r="O102" s="62">
        <f t="shared" si="13"/>
        <v>92.379173241499799</v>
      </c>
      <c r="P102" s="62">
        <f t="shared" si="13"/>
        <v>88.859339034906398</v>
      </c>
      <c r="Q102" s="62">
        <f t="shared" si="13"/>
        <v>78.989032481626325</v>
      </c>
      <c r="R102" s="62">
        <f t="shared" si="13"/>
        <v>73.28616146688195</v>
      </c>
      <c r="S102" s="62">
        <f t="shared" si="13"/>
        <v>70.715429903768495</v>
      </c>
      <c r="T102" s="62">
        <f t="shared" si="13"/>
        <v>79.084785286087197</v>
      </c>
      <c r="U102" s="62">
        <f t="shared" si="13"/>
        <v>78.169840929059191</v>
      </c>
      <c r="V102" s="62">
        <f t="shared" si="13"/>
        <v>80.133974570863103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81.221384529683391</v>
      </c>
      <c r="E104" s="62">
        <f t="shared" si="15"/>
        <v>80.799462425885707</v>
      </c>
      <c r="F104" s="62">
        <f t="shared" si="15"/>
        <v>91.071303257824624</v>
      </c>
      <c r="G104" s="62">
        <f t="shared" si="15"/>
        <v>96.521748398885592</v>
      </c>
      <c r="H104" s="62">
        <f t="shared" si="15"/>
        <v>98.936611022344607</v>
      </c>
      <c r="I104" s="62">
        <f t="shared" si="15"/>
        <v>98.016765424179496</v>
      </c>
      <c r="J104" s="62">
        <f t="shared" si="15"/>
        <v>96.172104208736812</v>
      </c>
      <c r="K104" s="62">
        <f t="shared" si="15"/>
        <v>94.332536513255931</v>
      </c>
      <c r="L104" s="62">
        <f t="shared" si="15"/>
        <v>95.783207528557227</v>
      </c>
      <c r="M104" s="62">
        <f t="shared" si="15"/>
        <v>97.226087024915003</v>
      </c>
      <c r="N104" s="62">
        <f t="shared" si="15"/>
        <v>93.835023231146238</v>
      </c>
      <c r="O104" s="62">
        <f t="shared" si="15"/>
        <v>87.607444964707</v>
      </c>
      <c r="P104" s="62">
        <f t="shared" si="15"/>
        <v>95.322299278242255</v>
      </c>
      <c r="Q104" s="62">
        <f t="shared" si="15"/>
        <v>95.800770265974208</v>
      </c>
      <c r="R104" s="62">
        <f t="shared" si="15"/>
        <v>93.674959336265431</v>
      </c>
      <c r="S104" s="62">
        <f t="shared" si="15"/>
        <v>94.627525356311367</v>
      </c>
      <c r="T104" s="62">
        <f t="shared" si="15"/>
        <v>97.659300717245401</v>
      </c>
      <c r="U104" s="62">
        <f t="shared" si="15"/>
        <v>99.350192380035793</v>
      </c>
      <c r="V104" s="62">
        <f t="shared" si="15"/>
        <v>96.408242708529073</v>
      </c>
    </row>
    <row r="105" spans="3:22" x14ac:dyDescent="0.2">
      <c r="C105" s="87" t="s">
        <v>137</v>
      </c>
      <c r="D105" s="60">
        <f t="shared" ref="D105:V105" si="16">+IFERROR(IF(D66&gt;0,+((D66/D27)*100)," "),"")</f>
        <v>77.197482359018593</v>
      </c>
      <c r="E105" s="60">
        <f t="shared" si="16"/>
        <v>72.307226110187301</v>
      </c>
      <c r="F105" s="60">
        <f t="shared" si="16"/>
        <v>91.382125362293891</v>
      </c>
      <c r="G105" s="60">
        <f t="shared" si="16"/>
        <v>93.620031100640404</v>
      </c>
      <c r="H105" s="60">
        <f t="shared" si="16"/>
        <v>78.007634188021584</v>
      </c>
      <c r="I105" s="60">
        <f t="shared" si="16"/>
        <v>60.242253174319039</v>
      </c>
      <c r="J105" s="60">
        <f t="shared" si="16"/>
        <v>92.027071959411217</v>
      </c>
      <c r="K105" s="60">
        <f t="shared" si="16"/>
        <v>91.928866721067166</v>
      </c>
      <c r="L105" s="60">
        <f t="shared" si="16"/>
        <v>83.539501347200655</v>
      </c>
      <c r="M105" s="60">
        <f t="shared" si="16"/>
        <v>80.824852839235547</v>
      </c>
      <c r="N105" s="60">
        <f t="shared" si="16"/>
        <v>59.010484677242758</v>
      </c>
      <c r="O105" s="60">
        <f t="shared" si="16"/>
        <v>71.812116262770189</v>
      </c>
      <c r="P105" s="60">
        <f t="shared" si="16"/>
        <v>86.416558878098883</v>
      </c>
      <c r="Q105" s="60">
        <f t="shared" si="16"/>
        <v>81.765325440782078</v>
      </c>
      <c r="R105" s="60">
        <f t="shared" si="16"/>
        <v>93.910757115960521</v>
      </c>
      <c r="S105" s="60">
        <f t="shared" si="16"/>
        <v>90.121168348525799</v>
      </c>
      <c r="T105" s="60">
        <f t="shared" si="16"/>
        <v>89.573934381462948</v>
      </c>
      <c r="U105" s="60">
        <f t="shared" si="16"/>
        <v>96.475051182941186</v>
      </c>
      <c r="V105" s="60">
        <f t="shared" si="16"/>
        <v>78.928672612470365</v>
      </c>
    </row>
    <row r="106" spans="3:22" x14ac:dyDescent="0.2">
      <c r="C106" s="88" t="s">
        <v>138</v>
      </c>
      <c r="D106" s="62">
        <f t="shared" ref="D106:V106" si="17">+IFERROR(IF(D67&gt;0,+((D67/D28)*100)," "),"")</f>
        <v>91.061103181927237</v>
      </c>
      <c r="E106" s="62">
        <f t="shared" si="17"/>
        <v>86.490418225831249</v>
      </c>
      <c r="F106" s="62">
        <f t="shared" si="17"/>
        <v>94.081779150563932</v>
      </c>
      <c r="G106" s="62">
        <f t="shared" si="17"/>
        <v>95.270883404582719</v>
      </c>
      <c r="H106" s="62">
        <f t="shared" si="17"/>
        <v>95.224399978912416</v>
      </c>
      <c r="I106" s="62">
        <f t="shared" si="17"/>
        <v>82.729000982035288</v>
      </c>
      <c r="J106" s="62">
        <f t="shared" si="17"/>
        <v>89.400635385234963</v>
      </c>
      <c r="K106" s="62">
        <f t="shared" si="17"/>
        <v>87.637833078935216</v>
      </c>
      <c r="L106" s="62">
        <f t="shared" si="17"/>
        <v>92.224236496944471</v>
      </c>
      <c r="M106" s="62">
        <f t="shared" si="17"/>
        <v>65.154519215855501</v>
      </c>
      <c r="N106" s="62">
        <f t="shared" si="17"/>
        <v>70.034634037325532</v>
      </c>
      <c r="O106" s="62">
        <f t="shared" si="17"/>
        <v>64.114396174469661</v>
      </c>
      <c r="P106" s="62">
        <f t="shared" si="17"/>
        <v>91.586878730611531</v>
      </c>
      <c r="Q106" s="62">
        <f t="shared" si="17"/>
        <v>96.52485857515957</v>
      </c>
      <c r="R106" s="62">
        <f t="shared" si="17"/>
        <v>81.256331602629075</v>
      </c>
      <c r="S106" s="62" t="str">
        <f t="shared" si="17"/>
        <v xml:space="preserve"> </v>
      </c>
      <c r="T106" s="62" t="str">
        <f t="shared" si="17"/>
        <v xml:space="preserve"> </v>
      </c>
      <c r="U106" s="62" t="str">
        <f t="shared" si="17"/>
        <v xml:space="preserve"> </v>
      </c>
      <c r="V106" s="62" t="str">
        <f t="shared" si="17"/>
        <v xml:space="preserve"> </v>
      </c>
    </row>
    <row r="107" spans="3:22" x14ac:dyDescent="0.2">
      <c r="C107" s="87" t="s">
        <v>139</v>
      </c>
      <c r="D107" s="60">
        <f t="shared" ref="D107:V107" si="18">+IFERROR(IF(D68&gt;0,+((D68/D29)*100)," "),"")</f>
        <v>81.736419870672322</v>
      </c>
      <c r="E107" s="60">
        <f t="shared" si="18"/>
        <v>97.619084553887078</v>
      </c>
      <c r="F107" s="60">
        <f t="shared" si="18"/>
        <v>89.149764788111924</v>
      </c>
      <c r="G107" s="60">
        <f t="shared" si="18"/>
        <v>87.854617522381517</v>
      </c>
      <c r="H107" s="60">
        <f t="shared" si="18"/>
        <v>75.36445795853534</v>
      </c>
      <c r="I107" s="60">
        <f t="shared" si="18"/>
        <v>93.01313603316656</v>
      </c>
      <c r="J107" s="60">
        <f t="shared" si="18"/>
        <v>97.256539028126639</v>
      </c>
      <c r="K107" s="60">
        <f t="shared" si="18"/>
        <v>78.860234558220768</v>
      </c>
      <c r="L107" s="60">
        <f t="shared" si="18"/>
        <v>90.12399204042103</v>
      </c>
      <c r="M107" s="60">
        <f t="shared" si="18"/>
        <v>87.573221888784346</v>
      </c>
      <c r="N107" s="60">
        <f t="shared" si="18"/>
        <v>76.489817396335908</v>
      </c>
      <c r="O107" s="60">
        <f t="shared" si="18"/>
        <v>85.402076530047907</v>
      </c>
      <c r="P107" s="60">
        <f t="shared" si="18"/>
        <v>87.231071848415979</v>
      </c>
      <c r="Q107" s="60">
        <f t="shared" si="18"/>
        <v>87.993331847618279</v>
      </c>
      <c r="R107" s="60">
        <f t="shared" si="18"/>
        <v>82.263124017740552</v>
      </c>
      <c r="S107" s="60">
        <f t="shared" si="18"/>
        <v>93.762461491640309</v>
      </c>
      <c r="T107" s="60">
        <f t="shared" si="18"/>
        <v>96.588715410037025</v>
      </c>
      <c r="U107" s="60">
        <f t="shared" si="18"/>
        <v>95.323870532978034</v>
      </c>
      <c r="V107" s="60">
        <f t="shared" si="18"/>
        <v>93.176904177049607</v>
      </c>
    </row>
    <row r="108" spans="3:22" x14ac:dyDescent="0.2">
      <c r="C108" s="88" t="s">
        <v>140</v>
      </c>
      <c r="D108" s="62">
        <f t="shared" ref="D108:V108" si="19">+IFERROR(IF(D69&gt;0,+((D69/D30)*100)," "),"")</f>
        <v>60.920353004631309</v>
      </c>
      <c r="E108" s="62">
        <f t="shared" si="19"/>
        <v>82.756625146622611</v>
      </c>
      <c r="F108" s="62">
        <f t="shared" si="19"/>
        <v>65.30409125287396</v>
      </c>
      <c r="G108" s="62">
        <f t="shared" si="19"/>
        <v>87.845490014864453</v>
      </c>
      <c r="H108" s="62">
        <f t="shared" si="19"/>
        <v>99.606435008763455</v>
      </c>
      <c r="I108" s="62">
        <f t="shared" si="19"/>
        <v>98.935144896254883</v>
      </c>
      <c r="J108" s="62">
        <f t="shared" si="19"/>
        <v>97.895270437595244</v>
      </c>
      <c r="K108" s="62">
        <f t="shared" si="19"/>
        <v>79.50066010730967</v>
      </c>
      <c r="L108" s="62">
        <f t="shared" si="19"/>
        <v>94.275200388745276</v>
      </c>
      <c r="M108" s="62">
        <f t="shared" si="19"/>
        <v>75.969467105207428</v>
      </c>
      <c r="N108" s="62">
        <f t="shared" si="19"/>
        <v>94.594317181093686</v>
      </c>
      <c r="O108" s="62">
        <f t="shared" si="19"/>
        <v>93.307985398957669</v>
      </c>
      <c r="P108" s="62">
        <f t="shared" si="19"/>
        <v>84.917660023485382</v>
      </c>
      <c r="Q108" s="62">
        <f t="shared" si="19"/>
        <v>86.970006679863872</v>
      </c>
      <c r="R108" s="62">
        <f t="shared" si="19"/>
        <v>94.997462214526095</v>
      </c>
      <c r="S108" s="62">
        <f t="shared" si="19"/>
        <v>93.244969501418595</v>
      </c>
      <c r="T108" s="62">
        <f t="shared" si="19"/>
        <v>94.07125672110881</v>
      </c>
      <c r="U108" s="62">
        <f t="shared" si="19"/>
        <v>96.372451563778228</v>
      </c>
      <c r="V108" s="62">
        <f t="shared" si="19"/>
        <v>90.143793047267053</v>
      </c>
    </row>
    <row r="109" spans="3:22" x14ac:dyDescent="0.2">
      <c r="C109" s="87" t="s">
        <v>141</v>
      </c>
      <c r="D109" s="60">
        <f t="shared" ref="D109:V109" si="20">+IFERROR(IF(D70&gt;0,+((D70/D31)*100)," "),"")</f>
        <v>99.384158631498522</v>
      </c>
      <c r="E109" s="60">
        <f t="shared" si="20"/>
        <v>99.979838429871705</v>
      </c>
      <c r="F109" s="60">
        <f t="shared" si="20"/>
        <v>99.937331130946106</v>
      </c>
      <c r="G109" s="60">
        <f t="shared" si="20"/>
        <v>99.980985053861062</v>
      </c>
      <c r="H109" s="60">
        <f t="shared" si="20"/>
        <v>98.736464000824313</v>
      </c>
      <c r="I109" s="60">
        <f t="shared" si="20"/>
        <v>99.308429731495096</v>
      </c>
      <c r="J109" s="60">
        <f t="shared" si="20"/>
        <v>98.970916384061042</v>
      </c>
      <c r="K109" s="60">
        <f t="shared" si="20"/>
        <v>93.884568902494792</v>
      </c>
      <c r="L109" s="60">
        <f t="shared" si="20"/>
        <v>90.274789021697771</v>
      </c>
      <c r="M109" s="60">
        <f t="shared" si="20"/>
        <v>90.668980996987045</v>
      </c>
      <c r="N109" s="60">
        <f t="shared" si="20"/>
        <v>75.774407087137433</v>
      </c>
      <c r="O109" s="60">
        <f t="shared" si="20"/>
        <v>95.834747266960889</v>
      </c>
      <c r="P109" s="60">
        <f t="shared" si="20"/>
        <v>73.820806872920173</v>
      </c>
      <c r="Q109" s="60">
        <f t="shared" si="20"/>
        <v>69.271099808806241</v>
      </c>
      <c r="R109" s="60">
        <f t="shared" si="20"/>
        <v>92.513876794651679</v>
      </c>
      <c r="S109" s="60">
        <f t="shared" si="20"/>
        <v>90.975160899010106</v>
      </c>
      <c r="T109" s="60">
        <f t="shared" si="20"/>
        <v>69.51461294176579</v>
      </c>
      <c r="U109" s="60">
        <f t="shared" si="20"/>
        <v>76.103408447285716</v>
      </c>
      <c r="V109" s="60">
        <f t="shared" si="20"/>
        <v>83.206973923246125</v>
      </c>
    </row>
    <row r="110" spans="3:22" x14ac:dyDescent="0.2">
      <c r="C110" s="88" t="s">
        <v>142</v>
      </c>
      <c r="D110" s="62">
        <f t="shared" ref="D110:V110" si="21">+IFERROR(IF(D71&gt;0,+((D71/D32)*100)," "),"")</f>
        <v>90.603480334138766</v>
      </c>
      <c r="E110" s="62">
        <f t="shared" si="21"/>
        <v>95.791495940652752</v>
      </c>
      <c r="F110" s="62">
        <f t="shared" si="21"/>
        <v>88.496853690681348</v>
      </c>
      <c r="G110" s="62">
        <f t="shared" si="21"/>
        <v>81.847408136950278</v>
      </c>
      <c r="H110" s="62">
        <f t="shared" si="21"/>
        <v>90.989072600585118</v>
      </c>
      <c r="I110" s="62">
        <f t="shared" si="21"/>
        <v>93.186442470154844</v>
      </c>
      <c r="J110" s="62">
        <f t="shared" si="21"/>
        <v>73.826599139031984</v>
      </c>
      <c r="K110" s="62">
        <f t="shared" si="21"/>
        <v>74.945886430604219</v>
      </c>
      <c r="L110" s="62">
        <f t="shared" si="21"/>
        <v>84.564636690403887</v>
      </c>
      <c r="M110" s="62">
        <f t="shared" si="21"/>
        <v>76.411785242572989</v>
      </c>
      <c r="N110" s="62">
        <f t="shared" si="21"/>
        <v>89.657349038332214</v>
      </c>
      <c r="O110" s="62">
        <f t="shared" si="21"/>
        <v>88.338812965889474</v>
      </c>
      <c r="P110" s="62">
        <f t="shared" si="21"/>
        <v>89.509192347922479</v>
      </c>
      <c r="Q110" s="62">
        <f t="shared" si="21"/>
        <v>70.254845394901949</v>
      </c>
      <c r="R110" s="62">
        <f t="shared" si="21"/>
        <v>88.771008390498025</v>
      </c>
      <c r="S110" s="62">
        <f t="shared" si="21"/>
        <v>91.730857537776274</v>
      </c>
      <c r="T110" s="62">
        <f t="shared" si="21"/>
        <v>94.864605973376996</v>
      </c>
      <c r="U110" s="62">
        <f t="shared" si="21"/>
        <v>92.522316200210255</v>
      </c>
      <c r="V110" s="62">
        <f t="shared" si="21"/>
        <v>95.026132481440598</v>
      </c>
    </row>
    <row r="111" spans="3:22" x14ac:dyDescent="0.2">
      <c r="C111" s="87" t="s">
        <v>143</v>
      </c>
      <c r="D111" s="60">
        <f t="shared" ref="D111:V111" si="22">+IFERROR(IF(D72&gt;0,+((D72/D33)*100)," "),"")</f>
        <v>100</v>
      </c>
      <c r="E111" s="60" t="str">
        <f t="shared" si="22"/>
        <v xml:space="preserve"> </v>
      </c>
      <c r="F111" s="60" t="str">
        <f t="shared" si="22"/>
        <v xml:space="preserve"> </v>
      </c>
      <c r="G111" s="60" t="str">
        <f t="shared" si="22"/>
        <v xml:space="preserve"> </v>
      </c>
      <c r="H111" s="60">
        <f t="shared" si="22"/>
        <v>77.524996628189314</v>
      </c>
      <c r="I111" s="60">
        <f t="shared" si="22"/>
        <v>94.852102111364019</v>
      </c>
      <c r="J111" s="60" t="str">
        <f t="shared" si="22"/>
        <v xml:space="preserve"> </v>
      </c>
      <c r="K111" s="60" t="str">
        <f t="shared" si="22"/>
        <v xml:space="preserve"> </v>
      </c>
      <c r="L111" s="60" t="str">
        <f t="shared" si="22"/>
        <v xml:space="preserve"> </v>
      </c>
      <c r="M111" s="60" t="str">
        <f t="shared" si="22"/>
        <v xml:space="preserve"> </v>
      </c>
      <c r="N111" s="60" t="str">
        <f t="shared" si="22"/>
        <v xml:space="preserve"> </v>
      </c>
      <c r="O111" s="60" t="str">
        <f t="shared" si="22"/>
        <v xml:space="preserve"> </v>
      </c>
      <c r="P111" s="60">
        <f t="shared" si="22"/>
        <v>3.8274200654969039</v>
      </c>
      <c r="Q111" s="60">
        <f t="shared" si="22"/>
        <v>51.996364033455656</v>
      </c>
      <c r="R111" s="60">
        <f t="shared" si="22"/>
        <v>86.584385409221255</v>
      </c>
      <c r="S111" s="60">
        <f t="shared" si="22"/>
        <v>7.8725314294348747</v>
      </c>
      <c r="T111" s="60">
        <f t="shared" si="22"/>
        <v>99.390022218662807</v>
      </c>
      <c r="U111" s="60">
        <f t="shared" si="22"/>
        <v>98.890843258294211</v>
      </c>
      <c r="V111" s="60">
        <f t="shared" si="22"/>
        <v>36.679400332138471</v>
      </c>
    </row>
    <row r="112" spans="3:22" x14ac:dyDescent="0.2">
      <c r="C112" s="88" t="s">
        <v>144</v>
      </c>
      <c r="D112" s="62" t="str">
        <f t="shared" ref="D112:V112" si="23">+IFERROR(IF(D73&gt;0,+((D73/D34)*100)," "),"")</f>
        <v xml:space="preserve"> </v>
      </c>
      <c r="E112" s="62" t="str">
        <f t="shared" si="23"/>
        <v xml:space="preserve"> </v>
      </c>
      <c r="F112" s="62" t="str">
        <f t="shared" si="23"/>
        <v xml:space="preserve"> </v>
      </c>
      <c r="G112" s="62" t="str">
        <f t="shared" si="23"/>
        <v xml:space="preserve"> </v>
      </c>
      <c r="H112" s="62" t="str">
        <f t="shared" si="23"/>
        <v xml:space="preserve"> </v>
      </c>
      <c r="I112" s="62" t="str">
        <f t="shared" si="23"/>
        <v xml:space="preserve"> </v>
      </c>
      <c r="J112" s="62" t="str">
        <f t="shared" si="23"/>
        <v xml:space="preserve"> </v>
      </c>
      <c r="K112" s="62" t="str">
        <f t="shared" si="23"/>
        <v xml:space="preserve"> </v>
      </c>
      <c r="L112" s="62" t="str">
        <f t="shared" si="23"/>
        <v xml:space="preserve"> </v>
      </c>
      <c r="M112" s="62" t="str">
        <f t="shared" si="23"/>
        <v xml:space="preserve"> </v>
      </c>
      <c r="N112" s="62" t="str">
        <f t="shared" si="23"/>
        <v xml:space="preserve"> </v>
      </c>
      <c r="O112" s="62" t="str">
        <f t="shared" si="23"/>
        <v xml:space="preserve"> </v>
      </c>
      <c r="P112" s="62" t="str">
        <f t="shared" si="23"/>
        <v xml:space="preserve"> </v>
      </c>
      <c r="Q112" s="62" t="str">
        <f t="shared" si="23"/>
        <v xml:space="preserve"> </v>
      </c>
      <c r="R112" s="62" t="str">
        <f t="shared" si="23"/>
        <v xml:space="preserve"> </v>
      </c>
      <c r="S112" s="62" t="str">
        <f t="shared" si="23"/>
        <v xml:space="preserve"> </v>
      </c>
      <c r="T112" s="62" t="str">
        <f t="shared" si="23"/>
        <v xml:space="preserve"> </v>
      </c>
      <c r="U112" s="62" t="str">
        <f t="shared" si="23"/>
        <v xml:space="preserve"> </v>
      </c>
      <c r="V112" s="62" t="str">
        <f t="shared" si="23"/>
        <v xml:space="preserve"> </v>
      </c>
    </row>
    <row r="113" spans="2:22" x14ac:dyDescent="0.2">
      <c r="C113" s="87" t="s">
        <v>145</v>
      </c>
      <c r="D113" s="60">
        <f t="shared" ref="D113:V113" si="24">+IFERROR(IF(D74&gt;0,+((D74/D35)*100)," "),"")</f>
        <v>79.201183977330984</v>
      </c>
      <c r="E113" s="60">
        <f t="shared" si="24"/>
        <v>72.927731935155364</v>
      </c>
      <c r="F113" s="60">
        <f t="shared" si="24"/>
        <v>97.227545094660243</v>
      </c>
      <c r="G113" s="60">
        <f t="shared" si="24"/>
        <v>95.541337843621335</v>
      </c>
      <c r="H113" s="60">
        <f t="shared" si="24"/>
        <v>98.460564469750253</v>
      </c>
      <c r="I113" s="60">
        <f t="shared" si="24"/>
        <v>97.511334452534982</v>
      </c>
      <c r="J113" s="60">
        <f t="shared" si="24"/>
        <v>65.105072561999918</v>
      </c>
      <c r="K113" s="60">
        <f t="shared" si="24"/>
        <v>81.630143634875694</v>
      </c>
      <c r="L113" s="60">
        <f t="shared" si="24"/>
        <v>80.394668169141966</v>
      </c>
      <c r="M113" s="60">
        <f t="shared" si="24"/>
        <v>92.6119164826125</v>
      </c>
      <c r="N113" s="60">
        <f t="shared" si="24"/>
        <v>80.144836760024091</v>
      </c>
      <c r="O113" s="60">
        <f t="shared" si="24"/>
        <v>83.700337736478886</v>
      </c>
      <c r="P113" s="60">
        <f t="shared" si="24"/>
        <v>75.311942187456836</v>
      </c>
      <c r="Q113" s="60">
        <f t="shared" si="24"/>
        <v>71.764582196109714</v>
      </c>
      <c r="R113" s="60">
        <f t="shared" si="24"/>
        <v>87.085871571032527</v>
      </c>
      <c r="S113" s="60">
        <f t="shared" si="24"/>
        <v>86.106314676358323</v>
      </c>
      <c r="T113" s="60">
        <f t="shared" si="24"/>
        <v>96.870354331246531</v>
      </c>
      <c r="U113" s="60">
        <f t="shared" si="24"/>
        <v>96.7966567700621</v>
      </c>
      <c r="V113" s="60">
        <f t="shared" si="24"/>
        <v>94.891499511338566</v>
      </c>
    </row>
    <row r="114" spans="2:22" x14ac:dyDescent="0.2">
      <c r="C114" s="88" t="s">
        <v>146</v>
      </c>
      <c r="D114" s="62">
        <f t="shared" ref="D114:V114" si="25">+IFERROR(IF(D75&gt;0,+((D75/D36)*100)," "),"")</f>
        <v>94.913887531198839</v>
      </c>
      <c r="E114" s="62">
        <f t="shared" si="25"/>
        <v>91.643941293819466</v>
      </c>
      <c r="F114" s="62">
        <f t="shared" si="25"/>
        <v>88.291408065889172</v>
      </c>
      <c r="G114" s="62">
        <f t="shared" si="25"/>
        <v>99.129363899798832</v>
      </c>
      <c r="H114" s="62">
        <f t="shared" si="25"/>
        <v>78.630037603959551</v>
      </c>
      <c r="I114" s="62">
        <f t="shared" si="25"/>
        <v>91.111952987042983</v>
      </c>
      <c r="J114" s="62">
        <f t="shared" si="25"/>
        <v>93.238917332846043</v>
      </c>
      <c r="K114" s="62">
        <f t="shared" si="25"/>
        <v>91.828418651133688</v>
      </c>
      <c r="L114" s="62">
        <f t="shared" si="25"/>
        <v>84.171389976158068</v>
      </c>
      <c r="M114" s="62">
        <f t="shared" si="25"/>
        <v>95.453189607137062</v>
      </c>
      <c r="N114" s="62">
        <f t="shared" si="25"/>
        <v>98.535337043677032</v>
      </c>
      <c r="O114" s="62">
        <f t="shared" si="25"/>
        <v>95.297886882770953</v>
      </c>
      <c r="P114" s="62">
        <f t="shared" si="25"/>
        <v>97.305984539146536</v>
      </c>
      <c r="Q114" s="62">
        <f t="shared" si="25"/>
        <v>98.678369267773434</v>
      </c>
      <c r="R114" s="62">
        <f t="shared" si="25"/>
        <v>98.096883458124879</v>
      </c>
      <c r="S114" s="62">
        <f t="shared" si="25"/>
        <v>98.531161084100688</v>
      </c>
      <c r="T114" s="62">
        <f t="shared" si="25"/>
        <v>99.268222019160547</v>
      </c>
      <c r="U114" s="62">
        <f t="shared" si="25"/>
        <v>99.183695217410019</v>
      </c>
      <c r="V114" s="62">
        <f t="shared" si="25"/>
        <v>82.547362394017284</v>
      </c>
    </row>
    <row r="115" spans="2:22" x14ac:dyDescent="0.2">
      <c r="C115" s="90" t="s">
        <v>147</v>
      </c>
      <c r="D115" s="61">
        <f t="shared" ref="D115:V115" si="26">+IFERROR(IF(D76&gt;0,+((D76/D37)*100)," "),"")</f>
        <v>72.263971689592495</v>
      </c>
      <c r="E115" s="61">
        <f t="shared" si="26"/>
        <v>93.987685481331596</v>
      </c>
      <c r="F115" s="61">
        <f t="shared" si="26"/>
        <v>92.059889427413182</v>
      </c>
      <c r="G115" s="61">
        <f t="shared" si="26"/>
        <v>93.18496247279991</v>
      </c>
      <c r="H115" s="61">
        <f t="shared" si="26"/>
        <v>93.624135630000353</v>
      </c>
      <c r="I115" s="61">
        <f t="shared" si="26"/>
        <v>93.629478839954956</v>
      </c>
      <c r="J115" s="61">
        <f t="shared" si="26"/>
        <v>95.326470363461368</v>
      </c>
      <c r="K115" s="61">
        <f t="shared" si="26"/>
        <v>94.375688893452178</v>
      </c>
      <c r="L115" s="61">
        <f t="shared" si="26"/>
        <v>96.766790083635854</v>
      </c>
      <c r="M115" s="61">
        <f t="shared" si="26"/>
        <v>96.980258427375958</v>
      </c>
      <c r="N115" s="61">
        <f t="shared" si="26"/>
        <v>97.151608406289981</v>
      </c>
      <c r="O115" s="61">
        <f t="shared" si="26"/>
        <v>84.650999155263563</v>
      </c>
      <c r="P115" s="61">
        <f t="shared" si="26"/>
        <v>90.934622675310308</v>
      </c>
      <c r="Q115" s="61">
        <f t="shared" si="26"/>
        <v>94.111073887614722</v>
      </c>
      <c r="R115" s="61">
        <f t="shared" si="26"/>
        <v>93.368147529942249</v>
      </c>
      <c r="S115" s="61">
        <f t="shared" si="26"/>
        <v>96.102491347365628</v>
      </c>
      <c r="T115" s="61">
        <f t="shared" si="26"/>
        <v>97.079899832959441</v>
      </c>
      <c r="U115" s="61">
        <f t="shared" si="26"/>
        <v>96.65193137185129</v>
      </c>
      <c r="V115" s="61">
        <f t="shared" si="26"/>
        <v>93.826779958701906</v>
      </c>
    </row>
    <row r="116" spans="2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 t="str">
        <f t="shared" si="27"/>
        <v xml:space="preserve"> </v>
      </c>
      <c r="V116" s="63" t="str">
        <f t="shared" si="27"/>
        <v xml:space="preserve"> </v>
      </c>
    </row>
    <row r="117" spans="2:22" x14ac:dyDescent="0.2">
      <c r="C117" s="87" t="s">
        <v>149</v>
      </c>
      <c r="D117" s="60">
        <f t="shared" ref="D117:V117" si="28">+IFERROR(IF(D78&gt;0,+((D78/D39)*100)," "),"")</f>
        <v>55.624971948334803</v>
      </c>
      <c r="E117" s="60">
        <f t="shared" si="28"/>
        <v>61.753952839798508</v>
      </c>
      <c r="F117" s="60">
        <f t="shared" si="28"/>
        <v>65.858060336333949</v>
      </c>
      <c r="G117" s="60">
        <f t="shared" si="28"/>
        <v>66.282255369553241</v>
      </c>
      <c r="H117" s="60">
        <f t="shared" si="28"/>
        <v>69.478617459653663</v>
      </c>
      <c r="I117" s="60">
        <f t="shared" si="28"/>
        <v>55.97883974356197</v>
      </c>
      <c r="J117" s="60">
        <f t="shared" si="28"/>
        <v>67.739905151591998</v>
      </c>
      <c r="K117" s="60">
        <f t="shared" si="28"/>
        <v>77.689189026956655</v>
      </c>
      <c r="L117" s="60">
        <f t="shared" si="28"/>
        <v>80.359668216558347</v>
      </c>
      <c r="M117" s="60">
        <f t="shared" si="28"/>
        <v>77.145807686036889</v>
      </c>
      <c r="N117" s="60">
        <f t="shared" si="28"/>
        <v>83.476492668875281</v>
      </c>
      <c r="O117" s="60">
        <f t="shared" si="28"/>
        <v>86.035997059606544</v>
      </c>
      <c r="P117" s="60">
        <f t="shared" si="28"/>
        <v>98.239270369015571</v>
      </c>
      <c r="Q117" s="60">
        <f t="shared" si="28"/>
        <v>89.532133668403347</v>
      </c>
      <c r="R117" s="60">
        <f t="shared" si="28"/>
        <v>93.460578685081671</v>
      </c>
      <c r="S117" s="60">
        <f t="shared" si="28"/>
        <v>93.161491792308965</v>
      </c>
      <c r="T117" s="60">
        <f t="shared" si="28"/>
        <v>97.609348848660503</v>
      </c>
      <c r="U117" s="60">
        <f t="shared" si="28"/>
        <v>98.312465128029132</v>
      </c>
      <c r="V117" s="60">
        <f t="shared" si="28"/>
        <v>90.329515225802098</v>
      </c>
    </row>
    <row r="118" spans="2:22" x14ac:dyDescent="0.2">
      <c r="C118" s="89" t="s">
        <v>150</v>
      </c>
      <c r="D118" s="63">
        <f t="shared" ref="D118:V118" si="29">+IFERROR(IF(D79&gt;0,+((D79/D40)*100)," "),"")</f>
        <v>84.724174224364617</v>
      </c>
      <c r="E118" s="63">
        <f t="shared" si="29"/>
        <v>95.017891252436755</v>
      </c>
      <c r="F118" s="63">
        <f t="shared" si="29"/>
        <v>85.046270021087992</v>
      </c>
      <c r="G118" s="63">
        <f t="shared" si="29"/>
        <v>97.708799865054303</v>
      </c>
      <c r="H118" s="63">
        <f t="shared" si="29"/>
        <v>95.914406185702205</v>
      </c>
      <c r="I118" s="63">
        <f t="shared" si="29"/>
        <v>98.897500062559246</v>
      </c>
      <c r="J118" s="63">
        <f t="shared" si="29"/>
        <v>97.163896146655603</v>
      </c>
      <c r="K118" s="63">
        <f t="shared" si="29"/>
        <v>92.29727399211059</v>
      </c>
      <c r="L118" s="63">
        <f t="shared" si="29"/>
        <v>93.524981512196007</v>
      </c>
      <c r="M118" s="63">
        <f t="shared" si="29"/>
        <v>85.441324180196759</v>
      </c>
      <c r="N118" s="63">
        <f t="shared" si="29"/>
        <v>78.231746554408645</v>
      </c>
      <c r="O118" s="63">
        <f t="shared" si="29"/>
        <v>83.318565227976222</v>
      </c>
      <c r="P118" s="63">
        <f t="shared" si="29"/>
        <v>89.474799739367413</v>
      </c>
      <c r="Q118" s="63">
        <f t="shared" si="29"/>
        <v>94.25856069059661</v>
      </c>
      <c r="R118" s="63">
        <f t="shared" si="29"/>
        <v>96.691921206566136</v>
      </c>
      <c r="S118" s="63">
        <f t="shared" si="29"/>
        <v>97.066402361970688</v>
      </c>
      <c r="T118" s="63">
        <f t="shared" si="29"/>
        <v>98.087194171286299</v>
      </c>
      <c r="U118" s="63">
        <f t="shared" si="29"/>
        <v>96.081484399289423</v>
      </c>
      <c r="V118" s="63">
        <f t="shared" si="29"/>
        <v>97.263906043383273</v>
      </c>
    </row>
    <row r="119" spans="2:22" x14ac:dyDescent="0.2">
      <c r="C119" s="87" t="s">
        <v>151</v>
      </c>
      <c r="D119" s="60">
        <f t="shared" ref="D119:V119" si="30">+IFERROR(IF(D80&gt;0,+((D80/D41)*100)," "),"")</f>
        <v>73.144804402646614</v>
      </c>
      <c r="E119" s="60">
        <f t="shared" si="30"/>
        <v>58.759203244337989</v>
      </c>
      <c r="F119" s="60">
        <f t="shared" si="30"/>
        <v>44.817697235312053</v>
      </c>
      <c r="G119" s="60">
        <f t="shared" si="30"/>
        <v>76.720543223663583</v>
      </c>
      <c r="H119" s="60">
        <f t="shared" si="30"/>
        <v>62.418182660289212</v>
      </c>
      <c r="I119" s="60">
        <f t="shared" si="30"/>
        <v>99.260192237084865</v>
      </c>
      <c r="J119" s="60">
        <f t="shared" si="30"/>
        <v>54.112047074415479</v>
      </c>
      <c r="K119" s="60">
        <f t="shared" si="30"/>
        <v>56.292125523129734</v>
      </c>
      <c r="L119" s="60" t="str">
        <f t="shared" si="30"/>
        <v xml:space="preserve"> </v>
      </c>
      <c r="M119" s="60" t="str">
        <f t="shared" si="30"/>
        <v xml:space="preserve"> </v>
      </c>
      <c r="N119" s="60" t="str">
        <f t="shared" si="30"/>
        <v xml:space="preserve"> </v>
      </c>
      <c r="O119" s="60" t="str">
        <f t="shared" si="30"/>
        <v xml:space="preserve"> </v>
      </c>
      <c r="P119" s="60" t="str">
        <f t="shared" si="30"/>
        <v xml:space="preserve"> </v>
      </c>
      <c r="Q119" s="60" t="str">
        <f t="shared" si="30"/>
        <v xml:space="preserve"> </v>
      </c>
      <c r="R119" s="60" t="str">
        <f t="shared" si="30"/>
        <v xml:space="preserve"> </v>
      </c>
      <c r="S119" s="60" t="str">
        <f t="shared" si="30"/>
        <v xml:space="preserve"> </v>
      </c>
      <c r="T119" s="60" t="str">
        <f t="shared" si="30"/>
        <v xml:space="preserve"> </v>
      </c>
      <c r="U119" s="60" t="str">
        <f t="shared" si="30"/>
        <v xml:space="preserve"> </v>
      </c>
      <c r="V119" s="60" t="str">
        <f t="shared" si="30"/>
        <v xml:space="preserve"> </v>
      </c>
    </row>
    <row r="120" spans="2:22" x14ac:dyDescent="0.2">
      <c r="C120" s="79" t="s">
        <v>154</v>
      </c>
      <c r="D120" s="45">
        <f t="shared" ref="D120:V120" si="31">+IFERROR(IF(D81&gt;0,+((D81/D42)*100)," "),"")</f>
        <v>79.737084537782152</v>
      </c>
      <c r="E120" s="45">
        <f t="shared" si="31"/>
        <v>87.303415364166952</v>
      </c>
      <c r="F120" s="45">
        <f t="shared" si="31"/>
        <v>87.686020745727774</v>
      </c>
      <c r="G120" s="45">
        <f t="shared" si="31"/>
        <v>92.573118712304208</v>
      </c>
      <c r="H120" s="45">
        <f t="shared" si="31"/>
        <v>94.306340356579327</v>
      </c>
      <c r="I120" s="45">
        <f t="shared" si="31"/>
        <v>94.850072545909441</v>
      </c>
      <c r="J120" s="45">
        <f t="shared" si="31"/>
        <v>91.686559724848124</v>
      </c>
      <c r="K120" s="45">
        <f t="shared" si="31"/>
        <v>90.181200602322122</v>
      </c>
      <c r="L120" s="45">
        <f t="shared" si="31"/>
        <v>92.790878255042401</v>
      </c>
      <c r="M120" s="45">
        <f t="shared" si="31"/>
        <v>90.574457028377935</v>
      </c>
      <c r="N120" s="45">
        <f t="shared" si="31"/>
        <v>90.160913711123342</v>
      </c>
      <c r="O120" s="45">
        <f t="shared" si="31"/>
        <v>86.578622135647336</v>
      </c>
      <c r="P120" s="45">
        <f t="shared" si="31"/>
        <v>90.731666195735372</v>
      </c>
      <c r="Q120" s="45">
        <f t="shared" si="31"/>
        <v>90.818291149844967</v>
      </c>
      <c r="R120" s="45">
        <f t="shared" si="31"/>
        <v>91.716082576362837</v>
      </c>
      <c r="S120" s="45">
        <f t="shared" si="31"/>
        <v>92.496498726682475</v>
      </c>
      <c r="T120" s="45">
        <f t="shared" si="31"/>
        <v>96.130157533680872</v>
      </c>
      <c r="U120" s="45">
        <f t="shared" si="31"/>
        <v>96.957866742588735</v>
      </c>
      <c r="V120" s="45">
        <f t="shared" si="31"/>
        <v>93.74515266218576</v>
      </c>
    </row>
    <row r="121" spans="2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2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2:22" ht="18" customHeight="1" x14ac:dyDescent="0.2">
      <c r="C126" s="131"/>
      <c r="D126" s="164" t="s">
        <v>174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2:2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2">
      <c r="B128" s="5"/>
      <c r="C128" s="181" t="s">
        <v>120</v>
      </c>
      <c r="D128" s="155">
        <v>2000</v>
      </c>
      <c r="E128" s="155">
        <v>2001</v>
      </c>
      <c r="F128" s="155">
        <v>2002</v>
      </c>
      <c r="G128" s="155">
        <v>2003</v>
      </c>
      <c r="H128" s="155">
        <v>2004</v>
      </c>
      <c r="I128" s="155">
        <v>2005</v>
      </c>
      <c r="J128" s="155">
        <v>2006</v>
      </c>
      <c r="K128" s="155">
        <v>2007</v>
      </c>
      <c r="L128" s="155">
        <v>2008</v>
      </c>
      <c r="M128" s="155">
        <v>2009</v>
      </c>
      <c r="N128" s="155">
        <v>2010</v>
      </c>
      <c r="O128" s="155">
        <v>2011</v>
      </c>
      <c r="P128" s="155">
        <v>2012</v>
      </c>
      <c r="Q128" s="155">
        <v>2013</v>
      </c>
      <c r="R128" s="155">
        <v>2014</v>
      </c>
      <c r="S128" s="155">
        <v>2015</v>
      </c>
      <c r="T128" s="155">
        <v>2016</v>
      </c>
      <c r="U128" s="155">
        <v>2017</v>
      </c>
      <c r="V128" s="155">
        <v>2018</v>
      </c>
    </row>
    <row r="129" spans="2:22" ht="12" customHeight="1" thickBot="1" x14ac:dyDescent="0.25">
      <c r="B129" s="5"/>
      <c r="C129" s="162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</row>
    <row r="130" spans="2:22" x14ac:dyDescent="0.2">
      <c r="C130" s="87" t="s">
        <v>123</v>
      </c>
      <c r="D130" s="65">
        <f>36.0782964115*Deflactores!$A$5</f>
        <v>134.64115621954303</v>
      </c>
      <c r="E130" s="56">
        <f>27.4221110945*Deflactores!$B$5</f>
        <v>95.066062001664591</v>
      </c>
      <c r="F130" s="56">
        <f>32.078543537*Deflactores!$C$5</f>
        <v>103.94140953361773</v>
      </c>
      <c r="G130" s="56">
        <f>24.938279186*Deflactores!$D$5</f>
        <v>75.879779811631778</v>
      </c>
      <c r="H130" s="56">
        <f>26.277223574*Deflactores!$E$5</f>
        <v>75.787750448279823</v>
      </c>
      <c r="I130" s="56">
        <f>36.916069471*Deflactores!$F$5</f>
        <v>101.5418718684562</v>
      </c>
      <c r="J130" s="56">
        <f>44.272919982*Deflactores!$G$5</f>
        <v>116.55830982321775</v>
      </c>
      <c r="K130" s="56">
        <f>57.179207367*Deflactores!$H$5</f>
        <v>142.42655713725981</v>
      </c>
      <c r="L130" s="56">
        <f>57.796574213*Deflactores!$I$5</f>
        <v>133.70344508268826</v>
      </c>
      <c r="M130" s="56">
        <f>52.813152939*Deflactores!$J$5</f>
        <v>119.77735716765801</v>
      </c>
      <c r="N130" s="56">
        <f>68.065005406*Deflactores!$K$5</f>
        <v>149.62285543317276</v>
      </c>
      <c r="O130" s="56">
        <f>34.80725519603*Deflactores!$L$5</f>
        <v>73.765507285928933</v>
      </c>
      <c r="P130" s="56">
        <f>40.70644893371*Deflactores!$M$5</f>
        <v>84.212624839333927</v>
      </c>
      <c r="Q130" s="56">
        <f>55.56886178308*Deflactores!$N$5</f>
        <v>112.77188978128962</v>
      </c>
      <c r="R130" s="56">
        <f>91.28188839065*Deflactores!$O$5</f>
        <v>178.70749550164589</v>
      </c>
      <c r="S130" s="56">
        <f>59.5471569709599*Deflactores!$P$5</f>
        <v>109.18675046840788</v>
      </c>
      <c r="T130" s="56">
        <f>44.65430959024*Deflactores!$Q$5</f>
        <v>77.426907365748946</v>
      </c>
      <c r="U130" s="56">
        <f>48.99467717458*Deflactores!$R$5</f>
        <v>81.614706961754393</v>
      </c>
      <c r="V130" s="56">
        <f>57.8872975155799*Deflactores!$S$5</f>
        <v>93.456018856032898</v>
      </c>
    </row>
    <row r="131" spans="2:22" x14ac:dyDescent="0.2">
      <c r="C131" s="88" t="s">
        <v>124</v>
      </c>
      <c r="D131" s="57">
        <f>3.01430505282999*Deflactores!$A$5</f>
        <v>11.249131967940583</v>
      </c>
      <c r="E131" s="57">
        <f>0.843573121*Deflactores!$B$5</f>
        <v>2.9244712176812784</v>
      </c>
      <c r="F131" s="57">
        <f>3.90794659439*Deflactores!$C$5</f>
        <v>12.662591022391082</v>
      </c>
      <c r="G131" s="57">
        <f>3.73701674104*Deflactores!$D$5</f>
        <v>11.370632486209628</v>
      </c>
      <c r="H131" s="57">
        <f>5.99710552096*Deflactores!$E$5</f>
        <v>17.296619460369083</v>
      </c>
      <c r="I131" s="57">
        <f>6.67297877471999*Deflactores!$F$5</f>
        <v>18.354791434549497</v>
      </c>
      <c r="J131" s="57">
        <f>9.79567275493*Deflactores!$G$5</f>
        <v>25.789287455180077</v>
      </c>
      <c r="K131" s="57">
        <f>20.15385024482*Deflactores!$H$5</f>
        <v>50.200827111959242</v>
      </c>
      <c r="L131" s="57">
        <f>15.57408557358*Deflactores!$I$5</f>
        <v>36.028240835282482</v>
      </c>
      <c r="M131" s="57">
        <f>19.37375549537*Deflactores!$J$5</f>
        <v>43.938623288180992</v>
      </c>
      <c r="N131" s="57">
        <f>21.96021879805*Deflactores!$K$5</f>
        <v>48.273714560108388</v>
      </c>
      <c r="O131" s="57">
        <f>33.69185588369*Deflactores!$L$5</f>
        <v>71.401689868044159</v>
      </c>
      <c r="P131" s="57">
        <f>38.28457298398*Deflactores!$M$5</f>
        <v>79.202300035660855</v>
      </c>
      <c r="Q131" s="57">
        <f>52.0172820175*Deflactores!$N$5</f>
        <v>105.5642855759539</v>
      </c>
      <c r="R131" s="57">
        <f>57.39246795338*Deflactores!$O$5</f>
        <v>112.36034211642779</v>
      </c>
      <c r="S131" s="57">
        <f>55.2304452641*Deflactores!$P$5</f>
        <v>101.27154934115968</v>
      </c>
      <c r="T131" s="57">
        <f>75.09693070441*Deflactores!$Q$5</f>
        <v>130.2119134851273</v>
      </c>
      <c r="U131" s="57">
        <f>90.25037649969*Deflactores!$R$5</f>
        <v>150.33792354553557</v>
      </c>
      <c r="V131" s="57">
        <f>109.84327202329*Deflactores!$S$5</f>
        <v>177.33622646063344</v>
      </c>
    </row>
    <row r="132" spans="2:22" x14ac:dyDescent="0.2">
      <c r="C132" s="87" t="s">
        <v>125</v>
      </c>
      <c r="D132" s="56">
        <f>2.9726059746*Deflactores!$A$5</f>
        <v>11.093514528521091</v>
      </c>
      <c r="E132" s="56">
        <f>2.71827533403*Deflactores!$B$5</f>
        <v>9.4236264506390039</v>
      </c>
      <c r="F132" s="56">
        <f>9.12567162721*Deflactores!$C$5</f>
        <v>29.569147077363155</v>
      </c>
      <c r="G132" s="56">
        <f>3.68046191409*Deflactores!$D$5</f>
        <v>11.19855293796798</v>
      </c>
      <c r="H132" s="56">
        <f>2.93473955981999*Deflactores!$E$5</f>
        <v>8.4642621684888653</v>
      </c>
      <c r="I132" s="56">
        <f>11.75271450062*Deflactores!$F$5</f>
        <v>32.327185614004534</v>
      </c>
      <c r="J132" s="56">
        <f>1.812115571*Deflactores!$G$5</f>
        <v>4.7707973236454597</v>
      </c>
      <c r="K132" s="56">
        <f>39.993139754*Deflactores!$H$5</f>
        <v>99.61812110671012</v>
      </c>
      <c r="L132" s="56">
        <f>50.68640857765*Deflactores!$I$5</f>
        <v>117.25517537986202</v>
      </c>
      <c r="M132" s="56">
        <f>45.56367135178*Deflactores!$J$5</f>
        <v>103.33592739057697</v>
      </c>
      <c r="N132" s="56">
        <f>0*Deflactores!$K$5</f>
        <v>0</v>
      </c>
      <c r="O132" s="56">
        <f>0*Deflactores!$L$5</f>
        <v>0</v>
      </c>
      <c r="P132" s="56">
        <f>0*Deflactores!$M$5</f>
        <v>0</v>
      </c>
      <c r="Q132" s="56">
        <f>0*Deflactores!$N$5</f>
        <v>0</v>
      </c>
      <c r="R132" s="56">
        <f>0*Deflactores!$O$5</f>
        <v>0</v>
      </c>
      <c r="S132" s="56">
        <f>0*Deflactores!$P$5</f>
        <v>0</v>
      </c>
      <c r="T132" s="56">
        <f>0*Deflactores!$Q$5</f>
        <v>0</v>
      </c>
      <c r="U132" s="56">
        <f>0*Deflactores!$R$5</f>
        <v>0</v>
      </c>
      <c r="V132" s="56">
        <f>0*Deflactores!$S$5</f>
        <v>0</v>
      </c>
    </row>
    <row r="133" spans="2:22" x14ac:dyDescent="0.2">
      <c r="C133" s="88" t="s">
        <v>126</v>
      </c>
      <c r="D133" s="57">
        <f>35.54998987118*Deflactores!$A$5</f>
        <v>132.66956081449067</v>
      </c>
      <c r="E133" s="57">
        <f>34.008442604*Deflactores!$B$5</f>
        <v>117.89933685376843</v>
      </c>
      <c r="F133" s="57">
        <f>35.925501113*Deflactores!$C$5</f>
        <v>116.40638296373201</v>
      </c>
      <c r="G133" s="57">
        <f>35.98085837*Deflactores!$D$5</f>
        <v>109.47906991440755</v>
      </c>
      <c r="H133" s="57">
        <f>37.864586136*Deflactores!$E$5</f>
        <v>109.20757274151143</v>
      </c>
      <c r="I133" s="57">
        <f>44.839221325*Deflactores!$F$5</f>
        <v>123.33540736348503</v>
      </c>
      <c r="J133" s="57">
        <f>48.544131391*Deflactores!$G$5</f>
        <v>127.80322393624878</v>
      </c>
      <c r="K133" s="57">
        <f>56.85635927*Deflactores!$H$5</f>
        <v>141.62238119548971</v>
      </c>
      <c r="L133" s="57">
        <f>86.3571043233*Deflactores!$I$5</f>
        <v>199.77381899554291</v>
      </c>
      <c r="M133" s="57">
        <f>96.48951958085*Deflactores!$J$5</f>
        <v>218.83298016916382</v>
      </c>
      <c r="N133" s="57">
        <f>104.81890052757*Deflactores!$K$5</f>
        <v>230.41654234436044</v>
      </c>
      <c r="O133" s="57">
        <f>101.984471675269*Deflactores!$L$5</f>
        <v>216.13127050798624</v>
      </c>
      <c r="P133" s="57">
        <f>130.5168955956*Deflactores!$M$5</f>
        <v>270.0105426018805</v>
      </c>
      <c r="Q133" s="57">
        <f>188.02859389081*Deflactores!$N$5</f>
        <v>381.58672295212881</v>
      </c>
      <c r="R133" s="57">
        <f>212.51842263379*Deflactores!$O$5</f>
        <v>416.05882312942003</v>
      </c>
      <c r="S133" s="57">
        <f>246.53510463342*Deflactores!$P$5</f>
        <v>452.05125350383508</v>
      </c>
      <c r="T133" s="57">
        <f>255.549310463069*Deflactores!$Q$5</f>
        <v>443.10152749354637</v>
      </c>
      <c r="U133" s="57">
        <f>288.471607529229*Deflactores!$R$5</f>
        <v>480.53231642680117</v>
      </c>
      <c r="V133" s="57">
        <f>304.9645054727*Deflactores!$S$5</f>
        <v>492.3492682692027</v>
      </c>
    </row>
    <row r="134" spans="2:22" x14ac:dyDescent="0.2">
      <c r="C134" s="87" t="s">
        <v>127</v>
      </c>
      <c r="D134" s="56">
        <f>0*Deflactores!$A$5</f>
        <v>0</v>
      </c>
      <c r="E134" s="56">
        <f>0*Deflactores!$B$5</f>
        <v>0</v>
      </c>
      <c r="F134" s="56">
        <f>0*Deflactores!$C$5</f>
        <v>0</v>
      </c>
      <c r="G134" s="56">
        <f>0*Deflactores!$D$5</f>
        <v>0</v>
      </c>
      <c r="H134" s="56">
        <f>0*Deflactores!$E$5</f>
        <v>0</v>
      </c>
      <c r="I134" s="56">
        <f>0*Deflactores!$F$5</f>
        <v>0</v>
      </c>
      <c r="J134" s="56">
        <f>0*Deflactores!$G$5</f>
        <v>0</v>
      </c>
      <c r="K134" s="56">
        <f>0*Deflactores!$H$5</f>
        <v>0</v>
      </c>
      <c r="L134" s="56">
        <f>0*Deflactores!$I$5</f>
        <v>0</v>
      </c>
      <c r="M134" s="56">
        <f>0*Deflactores!$J$5</f>
        <v>0</v>
      </c>
      <c r="N134" s="56">
        <f>0*Deflactores!$K$5</f>
        <v>0</v>
      </c>
      <c r="O134" s="56">
        <f>0*Deflactores!$L$5</f>
        <v>0</v>
      </c>
      <c r="P134" s="56">
        <f>0*Deflactores!$M$5</f>
        <v>0</v>
      </c>
      <c r="Q134" s="56">
        <f>0*Deflactores!$N$5</f>
        <v>0</v>
      </c>
      <c r="R134" s="56">
        <f>0*Deflactores!$O$5</f>
        <v>0</v>
      </c>
      <c r="S134" s="56">
        <f>0*Deflactores!$P$5</f>
        <v>0</v>
      </c>
      <c r="T134" s="56">
        <f>0*Deflactores!$Q$5</f>
        <v>0</v>
      </c>
      <c r="U134" s="56">
        <f>0*Deflactores!$R$5</f>
        <v>0</v>
      </c>
      <c r="V134" s="56">
        <f>0*Deflactores!$S$5</f>
        <v>0</v>
      </c>
    </row>
    <row r="135" spans="2:22" x14ac:dyDescent="0.2">
      <c r="C135" s="88" t="s">
        <v>128</v>
      </c>
      <c r="D135" s="57">
        <f>0.658158847*Deflactores!$A$5</f>
        <v>2.4561932505204185</v>
      </c>
      <c r="E135" s="57">
        <f>0.676649763309999*Deflactores!$B$5</f>
        <v>2.3457868772598571</v>
      </c>
      <c r="F135" s="57">
        <f>0.663397225*Deflactores!$C$5</f>
        <v>2.149550292632743</v>
      </c>
      <c r="G135" s="57">
        <f>0.630729769*Deflactores!$D$5</f>
        <v>1.9191234341152579</v>
      </c>
      <c r="H135" s="57">
        <f>0.6419189876*Deflactores!$E$5</f>
        <v>1.8513978808772467</v>
      </c>
      <c r="I135" s="57">
        <f>0.673179717*Deflactores!$F$5</f>
        <v>1.8516578158938528</v>
      </c>
      <c r="J135" s="57">
        <f>1.264644912*Deflactores!$G$5</f>
        <v>3.3294590356629343</v>
      </c>
      <c r="K135" s="57">
        <f>4.288647367*Deflactores!$H$5</f>
        <v>10.682506935381324</v>
      </c>
      <c r="L135" s="57">
        <f>3.907885293*Deflactores!$I$5</f>
        <v>9.0402888713868954</v>
      </c>
      <c r="M135" s="57">
        <f>4.673120078*Deflactores!$J$5</f>
        <v>10.598382060553385</v>
      </c>
      <c r="N135" s="57">
        <f>6.840475001*Deflactores!$K$5</f>
        <v>15.036969380430453</v>
      </c>
      <c r="O135" s="57">
        <f>8.381727319*Deflactores!$L$5</f>
        <v>17.763031417912071</v>
      </c>
      <c r="P135" s="57">
        <f>10.16730904082*Deflactores!$M$5</f>
        <v>21.033909965334498</v>
      </c>
      <c r="Q135" s="57">
        <f>9.63012635866*Deflactores!$N$5</f>
        <v>19.543454975523229</v>
      </c>
      <c r="R135" s="57">
        <f>10.82690950786*Deflactores!$O$5</f>
        <v>21.196426983327008</v>
      </c>
      <c r="S135" s="57">
        <f>15.96355034472*Deflactores!$P$5</f>
        <v>29.271056365106457</v>
      </c>
      <c r="T135" s="57">
        <f>18.32975209895*Deflactores!$Q$5</f>
        <v>31.782285535834131</v>
      </c>
      <c r="U135" s="57">
        <f>12.39376019511*Deflactores!$R$5</f>
        <v>20.645367309470995</v>
      </c>
      <c r="V135" s="57">
        <f>13.3189786783*Deflactores!$S$5</f>
        <v>21.502795534154853</v>
      </c>
    </row>
    <row r="136" spans="2:22" x14ac:dyDescent="0.2">
      <c r="C136" s="87" t="s">
        <v>129</v>
      </c>
      <c r="D136" s="56">
        <f>556.59638037792*Deflactores!$A$5</f>
        <v>2077.1706997176361</v>
      </c>
      <c r="E136" s="56">
        <f>636.20256653244*Deflactores!$B$5</f>
        <v>2205.5658817501362</v>
      </c>
      <c r="F136" s="56">
        <f>690.91043785703*Deflactores!$C$5</f>
        <v>2238.6990447218041</v>
      </c>
      <c r="G136" s="56">
        <f>810.55008323114*Deflactores!$D$5</f>
        <v>2466.2632647246328</v>
      </c>
      <c r="H136" s="56">
        <f>842.52109419924*Deflactores!$E$5</f>
        <v>2429.9667068998415</v>
      </c>
      <c r="I136" s="56">
        <f>971.70204514726*Deflactores!$F$5</f>
        <v>2672.7776271027569</v>
      </c>
      <c r="J136" s="56">
        <f>821.252163059439*Deflactores!$G$5</f>
        <v>2162.1289967724779</v>
      </c>
      <c r="K136" s="56">
        <f>1059.34154081861*Deflactores!$H$5</f>
        <v>2638.6928997261944</v>
      </c>
      <c r="L136" s="56">
        <f>1098.22153261719*Deflactores!$I$5</f>
        <v>2540.5658445043418</v>
      </c>
      <c r="M136" s="56">
        <f>1312.45585907946*Deflactores!$J$5</f>
        <v>2976.5784743303852</v>
      </c>
      <c r="N136" s="56">
        <f>1558.80891274921*Deflactores!$K$5</f>
        <v>3426.627812765244</v>
      </c>
      <c r="O136" s="56">
        <f>1599.4350538138*Deflactores!$L$5</f>
        <v>3389.6133852269045</v>
      </c>
      <c r="P136" s="56">
        <f>1649.08043681589*Deflactores!$M$5</f>
        <v>3411.5820906317626</v>
      </c>
      <c r="Q136" s="56">
        <f>1745.41617854403*Deflactores!$N$5</f>
        <v>3542.1614658513736</v>
      </c>
      <c r="R136" s="56">
        <f>1777.41723996674*Deflactores!$O$5</f>
        <v>3479.7459716931062</v>
      </c>
      <c r="S136" s="56">
        <f>1910.77883003005*Deflactores!$P$5</f>
        <v>3503.638828912578</v>
      </c>
      <c r="T136" s="56">
        <f>2038.47910384387*Deflactores!$Q$5</f>
        <v>3534.5554368358553</v>
      </c>
      <c r="U136" s="56">
        <f>2091.98708053787*Deflactores!$R$5</f>
        <v>3484.8053378838899</v>
      </c>
      <c r="V136" s="56">
        <f>1901.49706848499*Deflactores!$S$5</f>
        <v>3069.8677173380956</v>
      </c>
    </row>
    <row r="137" spans="2:22" x14ac:dyDescent="0.2">
      <c r="C137" s="88" t="s">
        <v>130</v>
      </c>
      <c r="D137" s="57">
        <f>8.003812074*Deflactores!$A$5</f>
        <v>29.869550921029607</v>
      </c>
      <c r="E137" s="57">
        <f>11.5333761944*Deflactores!$B$5</f>
        <v>39.983524704094073</v>
      </c>
      <c r="F137" s="57">
        <f>9.08916651889*Deflactores!$C$5</f>
        <v>29.450862641862468</v>
      </c>
      <c r="G137" s="57">
        <f>10.15135930982*Deflactores!$D$5</f>
        <v>30.887572613684029</v>
      </c>
      <c r="H137" s="57">
        <f>9.15765030277*Deflactores!$E$5</f>
        <v>26.412140304109698</v>
      </c>
      <c r="I137" s="57">
        <f>11.08485742065*Deflactores!$F$5</f>
        <v>30.490168320112275</v>
      </c>
      <c r="J137" s="57">
        <f>20.21282159313*Deflactores!$G$5</f>
        <v>53.214748939336687</v>
      </c>
      <c r="K137" s="57">
        <f>16.35162070586*Deflactores!$H$5</f>
        <v>40.729928727449582</v>
      </c>
      <c r="L137" s="57">
        <f>16.6961400174*Deflactores!$I$5</f>
        <v>38.623940437757014</v>
      </c>
      <c r="M137" s="57">
        <f>11.46276526847*Deflactores!$J$5</f>
        <v>25.996927910673485</v>
      </c>
      <c r="N137" s="57">
        <f>3.07543908342*Deflactores!$K$5</f>
        <v>6.7605368519006506</v>
      </c>
      <c r="O137" s="57">
        <f>4.99140356097*Deflactores!$L$5</f>
        <v>10.578065224336882</v>
      </c>
      <c r="P137" s="57">
        <f>0*Deflactores!$M$5</f>
        <v>0</v>
      </c>
      <c r="Q137" s="57">
        <f>0*Deflactores!$N$5</f>
        <v>0</v>
      </c>
      <c r="R137" s="57">
        <f>0*Deflactores!$O$5</f>
        <v>0</v>
      </c>
      <c r="S137" s="57">
        <f>0*Deflactores!$P$5</f>
        <v>0</v>
      </c>
      <c r="T137" s="57">
        <f>0*Deflactores!$Q$5</f>
        <v>0</v>
      </c>
      <c r="U137" s="57">
        <f>0*Deflactores!$R$5</f>
        <v>0</v>
      </c>
      <c r="V137" s="57">
        <f>0*Deflactores!$S$5</f>
        <v>0</v>
      </c>
    </row>
    <row r="138" spans="2:22" x14ac:dyDescent="0.2">
      <c r="C138" s="87" t="s">
        <v>131</v>
      </c>
      <c r="D138" s="56">
        <f>133.77226962981*Deflactores!$A$5</f>
        <v>499.22681624537501</v>
      </c>
      <c r="E138" s="56">
        <f>143.69438863288*Deflactores!$B$5</f>
        <v>498.1549236668547</v>
      </c>
      <c r="F138" s="56">
        <f>183.447162367529*Deflactores!$C$5</f>
        <v>594.40842784617962</v>
      </c>
      <c r="G138" s="56">
        <f>177.02687958488*Deflactores!$D$5</f>
        <v>538.64023830408917</v>
      </c>
      <c r="H138" s="56">
        <f>171.16000064222*Deflactores!$E$5</f>
        <v>493.6530443891707</v>
      </c>
      <c r="I138" s="56">
        <f>133.167161664749*Deflactores!$F$5</f>
        <v>366.29151100363993</v>
      </c>
      <c r="J138" s="56">
        <f>126.47902064543*Deflactores!$G$5</f>
        <v>332.98415556328564</v>
      </c>
      <c r="K138" s="56">
        <f>55.01111400286*Deflactores!$H$5</f>
        <v>137.0260962420146</v>
      </c>
      <c r="L138" s="56">
        <f>40.8528410141999*Deflactores!$I$5</f>
        <v>94.50673607200207</v>
      </c>
      <c r="M138" s="56">
        <f>55.67070529862*Deflactores!$J$5</f>
        <v>126.25813043258344</v>
      </c>
      <c r="N138" s="56">
        <f>9.80864318278*Deflactores!$K$5</f>
        <v>21.561699616104008</v>
      </c>
      <c r="O138" s="56">
        <f>7.92043280209*Deflactores!$L$5</f>
        <v>16.785429942115016</v>
      </c>
      <c r="P138" s="56">
        <f>14.38062393685*Deflactores!$M$5</f>
        <v>29.750325078015116</v>
      </c>
      <c r="Q138" s="56">
        <f>19.9965977884399*Deflactores!$N$5</f>
        <v>40.58125449107829</v>
      </c>
      <c r="R138" s="56">
        <f>16.65115017989*Deflactores!$O$5</f>
        <v>32.598858309494851</v>
      </c>
      <c r="S138" s="56">
        <f>18.79913989039*Deflactores!$P$5</f>
        <v>34.470444948928971</v>
      </c>
      <c r="T138" s="56">
        <f>21.08310970104*Deflactores!$Q$5</f>
        <v>36.556381607591518</v>
      </c>
      <c r="U138" s="56">
        <f>22.08615610046*Deflactores!$R$5</f>
        <v>36.790836515314979</v>
      </c>
      <c r="V138" s="56">
        <f>21.15673730832*Deflactores!$S$5</f>
        <v>34.156447539917274</v>
      </c>
    </row>
    <row r="139" spans="2:22" x14ac:dyDescent="0.2">
      <c r="C139" s="88" t="s">
        <v>132</v>
      </c>
      <c r="D139" s="57">
        <f>30.3561566873599*Deflactores!$A$5</f>
        <v>113.28661387306953</v>
      </c>
      <c r="E139" s="57">
        <f>35.03780508942*Deflactores!$B$5</f>
        <v>121.46789645605054</v>
      </c>
      <c r="F139" s="57">
        <f>37.35196350889*Deflactores!$C$5</f>
        <v>121.02842922042981</v>
      </c>
      <c r="G139" s="57">
        <f>28.84549973715*Deflactores!$D$5</f>
        <v>87.768291961386836</v>
      </c>
      <c r="H139" s="57">
        <f>30.7254472171*Deflactores!$E$5</f>
        <v>88.617144788668398</v>
      </c>
      <c r="I139" s="57">
        <f>30.6495868000199*Deflactores!$F$5</f>
        <v>84.305194465884227</v>
      </c>
      <c r="J139" s="57">
        <f>44.48129129078*Deflactores!$G$5</f>
        <v>117.10689364323513</v>
      </c>
      <c r="K139" s="57">
        <f>49.41532151716*Deflactores!$H$5</f>
        <v>123.08764737410029</v>
      </c>
      <c r="L139" s="57">
        <f>57.58150618414*Deflactores!$I$5</f>
        <v>133.20591842514361</v>
      </c>
      <c r="M139" s="57">
        <f>85.53607856642*Deflactores!$J$5</f>
        <v>193.9911719530248</v>
      </c>
      <c r="N139" s="57">
        <f>90.14791020893*Deflactores!$K$5</f>
        <v>198.16626262405873</v>
      </c>
      <c r="O139" s="57">
        <f>87.8887203112599*Deflactores!$L$5</f>
        <v>186.25875559445606</v>
      </c>
      <c r="P139" s="57">
        <f>105.99637096183*Deflactores!$M$5</f>
        <v>219.28300935008426</v>
      </c>
      <c r="Q139" s="57">
        <f>133.40090977254*Deflactores!$N$5</f>
        <v>270.72486660457935</v>
      </c>
      <c r="R139" s="57">
        <f>137.529250540969*Deflactores!$O$5</f>
        <v>269.24846051840029</v>
      </c>
      <c r="S139" s="57">
        <f>162.9451881083*Deflactores!$P$5</f>
        <v>298.77926166458815</v>
      </c>
      <c r="T139" s="57">
        <f>225.25650061051*Deflactores!$Q$5</f>
        <v>390.57628180449473</v>
      </c>
      <c r="U139" s="57">
        <f>284.385186989959*Deflactores!$R$5</f>
        <v>473.72520932725581</v>
      </c>
      <c r="V139" s="57">
        <f>374.98032323102*Deflactores!$S$5</f>
        <v>605.38614968314346</v>
      </c>
    </row>
    <row r="140" spans="2:22" x14ac:dyDescent="0.2">
      <c r="C140" s="87" t="s">
        <v>133</v>
      </c>
      <c r="D140" s="56">
        <f>0.11853800175*Deflactores!$A$5</f>
        <v>0.44237381470392595</v>
      </c>
      <c r="E140" s="56">
        <f>0.119989148*Deflactores!$B$5</f>
        <v>0.41597438446607304</v>
      </c>
      <c r="F140" s="56">
        <f>0.242199602199999*Deflactores!$C$5</f>
        <v>0.78477902252989051</v>
      </c>
      <c r="G140" s="56">
        <f>0.04953657048*Deflactores!$D$5</f>
        <v>0.150725077404536</v>
      </c>
      <c r="H140" s="56">
        <f>0.64532104635*Deflactores!$E$5</f>
        <v>1.8612099669535893</v>
      </c>
      <c r="I140" s="56">
        <f>2.44357395459999*Deflactores!$F$5</f>
        <v>6.7213296798568312</v>
      </c>
      <c r="J140" s="56">
        <f>3.3276734991*Deflactores!$G$5</f>
        <v>8.7608406867291357</v>
      </c>
      <c r="K140" s="56">
        <f>1.55818601428*Deflactores!$H$5</f>
        <v>3.8812547359901135</v>
      </c>
      <c r="L140" s="56">
        <f>4.793698207*Deflactores!$I$5</f>
        <v>11.089480193074186</v>
      </c>
      <c r="M140" s="56">
        <f>4.27666605815*Deflactores!$J$5</f>
        <v>9.6992459156052782</v>
      </c>
      <c r="N140" s="56">
        <f>3.33058925028*Deflactores!$K$5</f>
        <v>7.3214167975074487</v>
      </c>
      <c r="O140" s="56">
        <f>4.382678886*Deflactores!$L$5</f>
        <v>9.2880214046292675</v>
      </c>
      <c r="P140" s="56">
        <f>4.74091562322999*Deflactores!$M$5</f>
        <v>9.8079041339167183</v>
      </c>
      <c r="Q140" s="56">
        <f>3.1378972714*Deflactores!$N$5</f>
        <v>6.3680736635688655</v>
      </c>
      <c r="R140" s="56">
        <f>3.82235758121*Deflactores!$O$5</f>
        <v>7.483236404208049</v>
      </c>
      <c r="S140" s="56">
        <f>3.52102841864*Deflactores!$P$5</f>
        <v>6.4562217726986999</v>
      </c>
      <c r="T140" s="56">
        <f>3.63299725733*Deflactores!$Q$5</f>
        <v>6.299319028432393</v>
      </c>
      <c r="U140" s="56">
        <f>6.697478326*Deflactores!$R$5</f>
        <v>11.156573784770062</v>
      </c>
      <c r="V140" s="56">
        <f>23.27386441725*Deflactores!$S$5</f>
        <v>37.574438696950104</v>
      </c>
    </row>
    <row r="141" spans="2:22" x14ac:dyDescent="0.2">
      <c r="C141" s="88" t="s">
        <v>134</v>
      </c>
      <c r="D141" s="57">
        <f>93.6636713916999*Deflactores!$A$5</f>
        <v>349.54491387586819</v>
      </c>
      <c r="E141" s="57">
        <f>107.1596920598*Deflactores!$B$5</f>
        <v>371.49765363905436</v>
      </c>
      <c r="F141" s="57">
        <f>113.26609364092*Deflactores!$C$5</f>
        <v>367.00660713678337</v>
      </c>
      <c r="G141" s="57">
        <f>103.72541785944*Deflactores!$D$5</f>
        <v>315.6056522321029</v>
      </c>
      <c r="H141" s="57">
        <f>114.48055405573*Deflactores!$E$5</f>
        <v>330.18037988386124</v>
      </c>
      <c r="I141" s="57">
        <f>111.316461314529*Deflactores!$F$5</f>
        <v>306.18866021284674</v>
      </c>
      <c r="J141" s="57">
        <f>112.310495271669*Deflactores!$G$5</f>
        <v>295.68236090134809</v>
      </c>
      <c r="K141" s="57">
        <f>136.8902239303*Deflactores!$H$5</f>
        <v>340.97715232396541</v>
      </c>
      <c r="L141" s="57">
        <f>142.72723488812*Deflactores!$I$5</f>
        <v>330.17740707848725</v>
      </c>
      <c r="M141" s="57">
        <f>148.78678932361*Deflactores!$J$5</f>
        <v>337.44034231826652</v>
      </c>
      <c r="N141" s="57">
        <f>157.132179459709*Deflactores!$K$5</f>
        <v>345.4134063600165</v>
      </c>
      <c r="O141" s="57">
        <f>166.11831411185*Deflactores!$L$5</f>
        <v>352.04734303041312</v>
      </c>
      <c r="P141" s="57">
        <f>164.35133285488*Deflactores!$M$5</f>
        <v>340.00649769503445</v>
      </c>
      <c r="Q141" s="57">
        <f>172.54753732197*Deflactores!$N$5</f>
        <v>350.16934370304165</v>
      </c>
      <c r="R141" s="57">
        <f>162.58637162415*Deflactores!$O$5</f>
        <v>318.30414321958591</v>
      </c>
      <c r="S141" s="57">
        <f>165.07668286391*Deflactores!$P$5</f>
        <v>302.68760923051832</v>
      </c>
      <c r="T141" s="57">
        <f>163.26882290659*Deflactores!$Q$5</f>
        <v>283.09473694486184</v>
      </c>
      <c r="U141" s="57">
        <f>178.65605136182*Deflactores!$R$5</f>
        <v>297.60296668316755</v>
      </c>
      <c r="V141" s="57">
        <f>197.88619846367*Deflactores!$S$5</f>
        <v>319.47693343245112</v>
      </c>
    </row>
    <row r="142" spans="2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>
        <f>0*Deflactores!$O$5</f>
        <v>0</v>
      </c>
      <c r="S142" s="56"/>
      <c r="T142" s="56"/>
      <c r="U142" s="56"/>
      <c r="V142" s="56"/>
    </row>
    <row r="143" spans="2:22" x14ac:dyDescent="0.2">
      <c r="C143" s="88" t="s">
        <v>136</v>
      </c>
      <c r="D143" s="57">
        <f>901.32341700808*Deflactores!$A$5</f>
        <v>3363.6628960960343</v>
      </c>
      <c r="E143" s="57">
        <f>891.986346202829*Deflactores!$B$5</f>
        <v>3092.3085753876953</v>
      </c>
      <c r="F143" s="57">
        <f>934.72685526918*Deflactores!$C$5</f>
        <v>3028.7168977463684</v>
      </c>
      <c r="G143" s="57">
        <f>979.46658026688*Deflactores!$D$5</f>
        <v>2980.2260167664649</v>
      </c>
      <c r="H143" s="57">
        <f>1092.98232639632*Deflactores!$E$5</f>
        <v>3152.3372918006985</v>
      </c>
      <c r="I143" s="57">
        <f>1179.46220864576*Deflactores!$F$5</f>
        <v>3244.2457222613375</v>
      </c>
      <c r="J143" s="57">
        <f>1431.29513193231*Deflactores!$G$5</f>
        <v>3768.2028089418359</v>
      </c>
      <c r="K143" s="57">
        <f>2078.75354845038*Deflactores!$H$5</f>
        <v>5177.9261146862491</v>
      </c>
      <c r="L143" s="57">
        <f>2714.01349685237*Deflactores!$I$5</f>
        <v>6278.4509198203605</v>
      </c>
      <c r="M143" s="57">
        <f>3498.63557385607*Deflactores!$J$5</f>
        <v>7934.7151118443981</v>
      </c>
      <c r="N143" s="57">
        <f>2889.20134620635*Deflactores!$K$5</f>
        <v>6351.1425990815242</v>
      </c>
      <c r="O143" s="57">
        <f>2807.98124158884*Deflactores!$L$5</f>
        <v>5950.8329389557312</v>
      </c>
      <c r="P143" s="57">
        <f>2997.57794489134*Deflactores!$M$5</f>
        <v>6201.3246920870397</v>
      </c>
      <c r="Q143" s="57">
        <f>3467.92659821965*Deflactores!$N$5</f>
        <v>7037.8378025930551</v>
      </c>
      <c r="R143" s="57">
        <f>1437.87025202444*Deflactores!$O$5</f>
        <v>2814.9964481007419</v>
      </c>
      <c r="S143" s="57">
        <f>1497.04875825498*Deflactores!$P$5</f>
        <v>2745.0158415848787</v>
      </c>
      <c r="T143" s="57">
        <f>2577.24542774426*Deflactores!$Q$5</f>
        <v>4468.7320176677786</v>
      </c>
      <c r="U143" s="57">
        <f>2787.17300009169*Deflactores!$R$5</f>
        <v>4642.8371564456002</v>
      </c>
      <c r="V143" s="57">
        <f>2796.67821903097*Deflactores!$S$5</f>
        <v>4515.0909368617549</v>
      </c>
    </row>
    <row r="144" spans="2:22" x14ac:dyDescent="0.2">
      <c r="C144" s="87" t="s">
        <v>137</v>
      </c>
      <c r="D144" s="56">
        <f>13.67201399619*Deflactores!$A$5</f>
        <v>51.022801944440886</v>
      </c>
      <c r="E144" s="56">
        <f>15.42458104093*Deflactores!$B$5</f>
        <v>53.473424147889745</v>
      </c>
      <c r="F144" s="56">
        <f>19.9267932076499*Deflactores!$C$5</f>
        <v>64.567113874701548</v>
      </c>
      <c r="G144" s="56">
        <f>18.67031775892*Deflactores!$D$5</f>
        <v>56.808234040276659</v>
      </c>
      <c r="H144" s="56">
        <f>18.4757552390599*Deflactores!$E$5</f>
        <v>53.28705764740053</v>
      </c>
      <c r="I144" s="56">
        <f>34.83812018793*Deflactores!$F$5</f>
        <v>95.826234671045526</v>
      </c>
      <c r="J144" s="56">
        <f>37.5877591474999*Deflactores!$G$5</f>
        <v>98.958136893975549</v>
      </c>
      <c r="K144" s="56">
        <f>33.93519668246*Deflactores!$H$5</f>
        <v>84.528510481731161</v>
      </c>
      <c r="L144" s="56">
        <f>45.4504154350999*Deflactores!$I$5</f>
        <v>105.14251418634072</v>
      </c>
      <c r="M144" s="56">
        <f>48.94740988965*Deflactores!$J$5</f>
        <v>111.01006227664494</v>
      </c>
      <c r="N144" s="56">
        <f>40.2304947892899*Deflactores!$K$5</f>
        <v>88.436068872071473</v>
      </c>
      <c r="O144" s="56">
        <f>40.95006622929*Deflactores!$L$5</f>
        <v>86.783700460830801</v>
      </c>
      <c r="P144" s="56">
        <f>43.3005003758099*Deflactores!$M$5</f>
        <v>89.579142593393925</v>
      </c>
      <c r="Q144" s="56">
        <f>44.31270973847*Deflactores!$N$5</f>
        <v>89.928565354538335</v>
      </c>
      <c r="R144" s="56">
        <f>56.4729049477499*Deflactores!$O$5</f>
        <v>110.56006382914212</v>
      </c>
      <c r="S144" s="56">
        <f>42.06114742019*Deflactores!$P$5</f>
        <v>77.12408520230268</v>
      </c>
      <c r="T144" s="56">
        <f>36.5221451364099*Deflactores!$Q$5</f>
        <v>63.326401734208275</v>
      </c>
      <c r="U144" s="56">
        <f>58.01645741084*Deflactores!$R$5</f>
        <v>96.643073158189466</v>
      </c>
      <c r="V144" s="56">
        <f>42.06935256679*Deflactores!$S$5</f>
        <v>67.918772778861452</v>
      </c>
    </row>
    <row r="145" spans="2:22" x14ac:dyDescent="0.2">
      <c r="C145" s="88" t="s">
        <v>138</v>
      </c>
      <c r="D145" s="57">
        <f>13.03954966675*Deflactores!$A$5</f>
        <v>48.66249846413919</v>
      </c>
      <c r="E145" s="57">
        <f>13.73692237782*Deflactores!$B$5</f>
        <v>47.622705268078896</v>
      </c>
      <c r="F145" s="57">
        <f>16.1450406656999*Deflactores!$C$5</f>
        <v>52.313418838197215</v>
      </c>
      <c r="G145" s="57">
        <f>12.38040221494*Deflactores!$D$5</f>
        <v>37.669888408999128</v>
      </c>
      <c r="H145" s="57">
        <f>30.58647834268*Deflactores!$E$5</f>
        <v>88.216336143684984</v>
      </c>
      <c r="I145" s="57">
        <f>15.5630341960399*Deflactores!$F$5</f>
        <v>42.807905794524387</v>
      </c>
      <c r="J145" s="57">
        <f>20.37365158718*Deflactores!$G$5</f>
        <v>53.638169673342212</v>
      </c>
      <c r="K145" s="57">
        <f>58.45875639672*Deflactores!$H$5</f>
        <v>145.6137605173563</v>
      </c>
      <c r="L145" s="57">
        <f>78.30200309656*Deflactores!$I$5</f>
        <v>181.13958679112477</v>
      </c>
      <c r="M145" s="57">
        <f>60.9409775589799*Deflactores!$J$5</f>
        <v>138.21082115015986</v>
      </c>
      <c r="N145" s="57">
        <f>52.52067671349*Deflactores!$K$5</f>
        <v>115.45277301134543</v>
      </c>
      <c r="O145" s="57">
        <f>45.22033941254*Deflactores!$L$5</f>
        <v>95.833505331622874</v>
      </c>
      <c r="P145" s="57">
        <f>25.71966475119*Deflactores!$M$5</f>
        <v>53.208288500246766</v>
      </c>
      <c r="Q145" s="57">
        <f>23.67323709319*Deflactores!$N$5</f>
        <v>48.042655519218158</v>
      </c>
      <c r="R145" s="57">
        <f>43.65698847451*Deflactores!$O$5</f>
        <v>85.469650211827172</v>
      </c>
      <c r="S145" s="57">
        <f>0*Deflactores!$P$5</f>
        <v>0</v>
      </c>
      <c r="T145" s="57">
        <f>0*Deflactores!$Q$5</f>
        <v>0</v>
      </c>
      <c r="U145" s="57">
        <f>0*Deflactores!$R$5</f>
        <v>0</v>
      </c>
      <c r="V145" s="57">
        <f>0*Deflactores!$S$5</f>
        <v>0</v>
      </c>
    </row>
    <row r="146" spans="2:22" x14ac:dyDescent="0.2">
      <c r="C146" s="87" t="s">
        <v>139</v>
      </c>
      <c r="D146" s="56">
        <f>166.45901459623*Deflactores!$A$5</f>
        <v>621.21098881094269</v>
      </c>
      <c r="E146" s="56">
        <f>160.44560606399*Deflactores!$B$5</f>
        <v>556.22748669533235</v>
      </c>
      <c r="F146" s="56">
        <f>163.31371043048*Deflactores!$C$5</f>
        <v>529.17169505310699</v>
      </c>
      <c r="G146" s="56">
        <f>150.312133346879*Deflactores!$D$5</f>
        <v>457.35519665610229</v>
      </c>
      <c r="H146" s="56">
        <f>160.07426432001*Deflactores!$E$5</f>
        <v>461.67999306747845</v>
      </c>
      <c r="I146" s="56">
        <f>196.713499057769*Deflactores!$F$5</f>
        <v>541.08298099858837</v>
      </c>
      <c r="J146" s="56">
        <f>241.24275470966*Deflactores!$G$5</f>
        <v>635.12521327907291</v>
      </c>
      <c r="K146" s="56">
        <f>281.160945892529*Deflactores!$H$5</f>
        <v>700.3382412754371</v>
      </c>
      <c r="L146" s="56">
        <f>415.75519276534*Deflactores!$I$5</f>
        <v>961.78540580766639</v>
      </c>
      <c r="M146" s="56">
        <f>598.30109317231*Deflactores!$J$5</f>
        <v>1356.9143242304012</v>
      </c>
      <c r="N146" s="56">
        <f>638.71870752993*Deflactores!$K$5</f>
        <v>1404.0536141761529</v>
      </c>
      <c r="O146" s="56">
        <f>667.320886219739*Deflactores!$L$5</f>
        <v>1414.2242304733406</v>
      </c>
      <c r="P146" s="56">
        <f>672.12269688958*Deflactores!$M$5</f>
        <v>1390.4729594894902</v>
      </c>
      <c r="Q146" s="56">
        <f>945.54476834288*Deflactores!$N$5</f>
        <v>1918.8960683608243</v>
      </c>
      <c r="R146" s="56">
        <f>831.260867221519*Deflactores!$O$5</f>
        <v>1627.4044096671</v>
      </c>
      <c r="S146" s="56">
        <f>874.1238693766*Deflactores!$P$5</f>
        <v>1602.8094313662655</v>
      </c>
      <c r="T146" s="56">
        <f>952.46332188079*Deflactores!$Q$5</f>
        <v>1651.493216875444</v>
      </c>
      <c r="U146" s="56">
        <f>967.04360617821*Deflactores!$R$5</f>
        <v>1610.8888779130814</v>
      </c>
      <c r="V146" s="56">
        <f>436.04519127923*Deflactores!$S$5</f>
        <v>703.97219022543538</v>
      </c>
    </row>
    <row r="147" spans="2:22" x14ac:dyDescent="0.2">
      <c r="C147" s="88" t="s">
        <v>140</v>
      </c>
      <c r="D147" s="57">
        <f>20.37296039788*Deflactores!$A$5</f>
        <v>76.030168173660712</v>
      </c>
      <c r="E147" s="57">
        <f>22.59223798817*Deflactores!$B$5</f>
        <v>78.322018678222861</v>
      </c>
      <c r="F147" s="57">
        <f>11.9988093355599*Deflactores!$C$5</f>
        <v>38.878733806125389</v>
      </c>
      <c r="G147" s="57">
        <f>10.49189812641*Deflactores!$D$5</f>
        <v>31.923731132378816</v>
      </c>
      <c r="H147" s="57">
        <f>2065.27263932761*Deflactores!$E$5</f>
        <v>5956.5793530748879</v>
      </c>
      <c r="I147" s="57">
        <f>2065.44412407837*Deflactores!$F$5</f>
        <v>5681.2403271528556</v>
      </c>
      <c r="J147" s="57">
        <f>228.36661570437*Deflactores!$G$5</f>
        <v>601.22591320770653</v>
      </c>
      <c r="K147" s="57">
        <f>153.05443534343*Deflactores!$H$5</f>
        <v>381.24026694943308</v>
      </c>
      <c r="L147" s="57">
        <f>256.403517510099*Deflactores!$I$5</f>
        <v>593.14992435500915</v>
      </c>
      <c r="M147" s="57">
        <f>292.80246057224*Deflactores!$J$5</f>
        <v>664.06004845114933</v>
      </c>
      <c r="N147" s="57">
        <f>1078.62094264524*Deflactores!$K$5</f>
        <v>2371.0619635736471</v>
      </c>
      <c r="O147" s="57">
        <f>1069.77878228189*Deflactores!$L$5</f>
        <v>2267.1358058634705</v>
      </c>
      <c r="P147" s="57">
        <f>525.87651132241*Deflactores!$M$5</f>
        <v>1087.9220005638467</v>
      </c>
      <c r="Q147" s="57">
        <f>614.974736035829*Deflactores!$N$5</f>
        <v>1248.0346173228065</v>
      </c>
      <c r="R147" s="57">
        <f>593.17825806511*Deflactores!$O$5</f>
        <v>1161.2971943698626</v>
      </c>
      <c r="S147" s="57">
        <f>763.086688728749*Deflactores!$P$5</f>
        <v>1399.2096366350913</v>
      </c>
      <c r="T147" s="57">
        <f>625.601415107889*Deflactores!$Q$5</f>
        <v>1084.7415010986319</v>
      </c>
      <c r="U147" s="57">
        <f>658.149499571629*Deflactores!$R$5</f>
        <v>1096.3370235743218</v>
      </c>
      <c r="V147" s="57">
        <f>606.75419577219*Deflactores!$S$5</f>
        <v>979.57296323603998</v>
      </c>
    </row>
    <row r="148" spans="2:22" x14ac:dyDescent="0.2">
      <c r="C148" s="87" t="s">
        <v>141</v>
      </c>
      <c r="D148" s="56">
        <f>3.68286305779999*Deflactores!$A$5</f>
        <v>13.744133998033647</v>
      </c>
      <c r="E148" s="56">
        <f>4.65984997451*Deflactores!$B$5</f>
        <v>16.154612789241934</v>
      </c>
      <c r="F148" s="56">
        <f>8.73294708119*Deflactores!$C$5</f>
        <v>28.296634725775682</v>
      </c>
      <c r="G148" s="56">
        <f>7.00293782235*Deflactores!$D$5</f>
        <v>21.307860740157896</v>
      </c>
      <c r="H148" s="56">
        <f>11.5302862065499*Deflactores!$E$5</f>
        <v>33.255204879555166</v>
      </c>
      <c r="I148" s="56">
        <f>7.84926038442999*Deflactores!$F$5</f>
        <v>21.590288555612823</v>
      </c>
      <c r="J148" s="56">
        <f>19.31458441802*Deflactores!$G$5</f>
        <v>50.849939773964955</v>
      </c>
      <c r="K148" s="56">
        <f>18.06589686218*Deflactores!$H$5</f>
        <v>44.999985312180492</v>
      </c>
      <c r="L148" s="56">
        <f>22.09185945905*Deflactores!$I$5</f>
        <v>51.106103747117587</v>
      </c>
      <c r="M148" s="56">
        <f>23.9101794073799*Deflactores!$J$5</f>
        <v>54.226985882254944</v>
      </c>
      <c r="N148" s="56">
        <f>22.76976506834*Deflactores!$K$5</f>
        <v>50.053287247182432</v>
      </c>
      <c r="O148" s="56">
        <f>18.68488726618*Deflactores!$L$5</f>
        <v>39.598071724063033</v>
      </c>
      <c r="P148" s="56">
        <f>15.38319837346*Deflactores!$M$5</f>
        <v>31.824429479537265</v>
      </c>
      <c r="Q148" s="56">
        <f>17.84824835976*Deflactores!$N$5</f>
        <v>36.221377084761585</v>
      </c>
      <c r="R148" s="56">
        <f>20.0610059437199*Deflactores!$O$5</f>
        <v>39.274517570267882</v>
      </c>
      <c r="S148" s="56">
        <f>25.75848466228*Deflactores!$P$5</f>
        <v>47.231226146300784</v>
      </c>
      <c r="T148" s="56">
        <f>30.65121074293*Deflactores!$Q$5</f>
        <v>53.14668341349973</v>
      </c>
      <c r="U148" s="56">
        <f>18.02254502016*Deflactores!$R$5</f>
        <v>30.021725120959399</v>
      </c>
      <c r="V148" s="56">
        <f>17.11967456132*Deflactores!$S$5</f>
        <v>27.638820557847918</v>
      </c>
    </row>
    <row r="149" spans="2:22" x14ac:dyDescent="0.2">
      <c r="C149" s="88" t="s">
        <v>142</v>
      </c>
      <c r="D149" s="57">
        <f>18.82872674717*Deflactores!$A$5</f>
        <v>70.267218564475556</v>
      </c>
      <c r="E149" s="57">
        <f>21.89360732676*Deflactores!$B$5</f>
        <v>75.900029155060736</v>
      </c>
      <c r="F149" s="57">
        <f>21.39256919966*Deflactores!$C$5</f>
        <v>69.316544673962667</v>
      </c>
      <c r="G149" s="57">
        <f>19.25445616625*Deflactores!$D$5</f>
        <v>58.585593793013764</v>
      </c>
      <c r="H149" s="57">
        <f>27.661259528*Deflactores!$E$5</f>
        <v>79.779533339566143</v>
      </c>
      <c r="I149" s="57">
        <f>23.46002513673*Deflactores!$F$5</f>
        <v>64.529482704976331</v>
      </c>
      <c r="J149" s="57">
        <f>33.00027547099*Deflactores!$G$5</f>
        <v>86.88056568581959</v>
      </c>
      <c r="K149" s="57">
        <f>40.48951647056*Deflactores!$H$5</f>
        <v>100.85453605609852</v>
      </c>
      <c r="L149" s="57">
        <f>45.09969238761*Deflactores!$I$5</f>
        <v>104.33117060139946</v>
      </c>
      <c r="M149" s="57">
        <f>45.3761708171899*Deflactores!$J$5</f>
        <v>102.91068638050767</v>
      </c>
      <c r="N149" s="57">
        <f>71.91968717427*Deflactores!$K$5</f>
        <v>158.09635057968026</v>
      </c>
      <c r="O149" s="57">
        <f>65.09025266524*Deflactores!$L$5</f>
        <v>137.94295126633111</v>
      </c>
      <c r="P149" s="57">
        <f>74.92590487371*Deflactores!$M$5</f>
        <v>155.00509828682547</v>
      </c>
      <c r="Q149" s="57">
        <f>81.94404748972*Deflactores!$N$5</f>
        <v>166.29790129257651</v>
      </c>
      <c r="R149" s="57">
        <f>107.251974855959*Deflactores!$O$5</f>
        <v>209.97299849985552</v>
      </c>
      <c r="S149" s="57">
        <f>114.719496404589*Deflactores!$P$5</f>
        <v>210.35175590159426</v>
      </c>
      <c r="T149" s="57">
        <f>106.63016156759*Deflactores!$Q$5</f>
        <v>184.88794738622812</v>
      </c>
      <c r="U149" s="57">
        <f>112.86249010434*Deflactores!$R$5</f>
        <v>188.00489334826557</v>
      </c>
      <c r="V149" s="57">
        <f>104.60219981059*Deflactores!$S$5</f>
        <v>168.87478907181608</v>
      </c>
    </row>
    <row r="150" spans="2:22" x14ac:dyDescent="0.2">
      <c r="C150" s="87" t="s">
        <v>143</v>
      </c>
      <c r="D150" s="56">
        <f>0.0585*Deflactores!$A$5</f>
        <v>0.21831706101102441</v>
      </c>
      <c r="E150" s="56">
        <f>0*Deflactores!$B$5</f>
        <v>0</v>
      </c>
      <c r="F150" s="56">
        <f>0*Deflactores!$C$5</f>
        <v>0</v>
      </c>
      <c r="G150" s="56">
        <f>0*Deflactores!$D$5</f>
        <v>0</v>
      </c>
      <c r="H150" s="56">
        <f>30.49931686711*Deflactores!$E$5</f>
        <v>87.96494839183211</v>
      </c>
      <c r="I150" s="56">
        <f>4.23428594992999*Deflactores!$F$5</f>
        <v>11.646887860582099</v>
      </c>
      <c r="J150" s="56">
        <f>0*Deflactores!$G$5</f>
        <v>0</v>
      </c>
      <c r="K150" s="56">
        <f>0*Deflactores!$H$5</f>
        <v>0</v>
      </c>
      <c r="L150" s="56">
        <f>0*Deflactores!$I$5</f>
        <v>0</v>
      </c>
      <c r="M150" s="56">
        <f>0*Deflactores!$J$5</f>
        <v>0</v>
      </c>
      <c r="N150" s="56">
        <f>0*Deflactores!$K$5</f>
        <v>0</v>
      </c>
      <c r="O150" s="56">
        <f>0*Deflactores!$L$5</f>
        <v>0</v>
      </c>
      <c r="P150" s="56">
        <f>0.117682621*Deflactores!$M$5</f>
        <v>0.24345927173656035</v>
      </c>
      <c r="Q150" s="56">
        <f>3.523321884*Deflactores!$N$5</f>
        <v>7.1502574358547681</v>
      </c>
      <c r="R150" s="56">
        <f>11.10531429688*Deflactores!$O$5</f>
        <v>21.741475113450097</v>
      </c>
      <c r="S150" s="56">
        <f>0.221295048*Deflactores!$P$5</f>
        <v>0.40577062642392758</v>
      </c>
      <c r="T150" s="56">
        <f>11.68452236617*Deflactores!$Q$5</f>
        <v>20.260002655067453</v>
      </c>
      <c r="U150" s="56">
        <f>19.22252670155*Deflactores!$R$5</f>
        <v>32.020639267023626</v>
      </c>
      <c r="V150" s="56">
        <f>55.42405192524*Deflactores!$S$5</f>
        <v>89.479237485717789</v>
      </c>
    </row>
    <row r="151" spans="2:22" x14ac:dyDescent="0.2">
      <c r="C151" s="88" t="s">
        <v>144</v>
      </c>
      <c r="D151" s="57">
        <f>0*Deflactores!$A$5</f>
        <v>0</v>
      </c>
      <c r="E151" s="57">
        <f>0*Deflactores!$B$5</f>
        <v>0</v>
      </c>
      <c r="F151" s="57">
        <f>0*Deflactores!$C$5</f>
        <v>0</v>
      </c>
      <c r="G151" s="57">
        <f>0*Deflactores!$D$5</f>
        <v>0</v>
      </c>
      <c r="H151" s="57">
        <f>0*Deflactores!$E$5</f>
        <v>0</v>
      </c>
      <c r="I151" s="57">
        <f>0*Deflactores!$F$5</f>
        <v>0</v>
      </c>
      <c r="J151" s="57">
        <f>0*Deflactores!$G$5</f>
        <v>0</v>
      </c>
      <c r="K151" s="57">
        <f>0*Deflactores!$H$5</f>
        <v>0</v>
      </c>
      <c r="L151" s="57">
        <f>0*Deflactores!$I$5</f>
        <v>0</v>
      </c>
      <c r="M151" s="57">
        <f>0*Deflactores!$J$5</f>
        <v>0</v>
      </c>
      <c r="N151" s="57">
        <f>0*Deflactores!$K$5</f>
        <v>0</v>
      </c>
      <c r="O151" s="57">
        <f>0*Deflactores!$L$5</f>
        <v>0</v>
      </c>
      <c r="P151" s="57">
        <f>0*Deflactores!$M$5</f>
        <v>0</v>
      </c>
      <c r="Q151" s="57">
        <f>0*Deflactores!$N$5</f>
        <v>0</v>
      </c>
      <c r="R151" s="57">
        <f>0*Deflactores!$O$5</f>
        <v>0</v>
      </c>
      <c r="S151" s="57">
        <f>0*Deflactores!$P$5</f>
        <v>0</v>
      </c>
      <c r="T151" s="57">
        <f>0*Deflactores!$Q$5</f>
        <v>0</v>
      </c>
      <c r="U151" s="57">
        <f>0*Deflactores!$R$5</f>
        <v>0</v>
      </c>
      <c r="V151" s="57">
        <f>0*Deflactores!$S$5</f>
        <v>0</v>
      </c>
    </row>
    <row r="152" spans="2:22" x14ac:dyDescent="0.2">
      <c r="C152" s="87" t="s">
        <v>145</v>
      </c>
      <c r="D152" s="56">
        <f>14.6897341561699*Deflactores!$A$5</f>
        <v>54.82084765826108</v>
      </c>
      <c r="E152" s="56">
        <f>9.45664079304*Deflactores!$B$5</f>
        <v>32.783967538477484</v>
      </c>
      <c r="F152" s="56">
        <f>25.488321384*Deflactores!$C$5</f>
        <v>82.587666370920687</v>
      </c>
      <c r="G152" s="56">
        <f>15.144749513*Deflactores!$D$5</f>
        <v>46.080976549251702</v>
      </c>
      <c r="H152" s="56">
        <f>8.6644369565*Deflactores!$E$5</f>
        <v>24.989633474207892</v>
      </c>
      <c r="I152" s="56">
        <f>9.976157833*Deflactores!$F$5</f>
        <v>27.440563281357946</v>
      </c>
      <c r="J152" s="56">
        <f>21.19432236332*Deflactores!$G$5</f>
        <v>55.798768039726845</v>
      </c>
      <c r="K152" s="56">
        <f>23.3919494700099*Deflactores!$H$5</f>
        <v>58.266544451349908</v>
      </c>
      <c r="L152" s="56">
        <f>20.775799047*Deflactores!$I$5</f>
        <v>48.061601310354668</v>
      </c>
      <c r="M152" s="56">
        <f>29.39676236142*Deflactores!$J$5</f>
        <v>66.670257483082949</v>
      </c>
      <c r="N152" s="56">
        <f>22.7979757*Deflactores!$K$5</f>
        <v>50.115300836065074</v>
      </c>
      <c r="O152" s="56">
        <f>23.61773152181*Deflactores!$L$5</f>
        <v>50.052034750729085</v>
      </c>
      <c r="P152" s="56">
        <f>32.07514104687*Deflactores!$M$5</f>
        <v>66.356360979744196</v>
      </c>
      <c r="Q152" s="56">
        <f>34.99694127865*Deflactores!$N$5</f>
        <v>71.023070797535979</v>
      </c>
      <c r="R152" s="56">
        <f>50.69225076328*Deflactores!$O$5</f>
        <v>99.242964129728591</v>
      </c>
      <c r="S152" s="56">
        <f>63.75810940135*Deflactores!$P$5</f>
        <v>116.90802946205599</v>
      </c>
      <c r="T152" s="56">
        <f>81.3113750532399*Deflactores!$Q$5</f>
        <v>140.9872498712848</v>
      </c>
      <c r="U152" s="56">
        <f>87.39763254785*Deflactores!$R$5</f>
        <v>145.58585913582993</v>
      </c>
      <c r="V152" s="56">
        <f>80.98064973459*Deflactores!$S$5</f>
        <v>130.73903003560906</v>
      </c>
    </row>
    <row r="153" spans="2:22" x14ac:dyDescent="0.2">
      <c r="C153" s="88" t="s">
        <v>146</v>
      </c>
      <c r="D153" s="57">
        <f>52.80543624187*Deflactores!$A$5</f>
        <v>197.06542984154004</v>
      </c>
      <c r="E153" s="57">
        <f>52.5174562643899*Deflactores!$B$5</f>
        <v>182.06576934193663</v>
      </c>
      <c r="F153" s="57">
        <f>49.98641337938*Deflactores!$C$5</f>
        <v>161.96677564834184</v>
      </c>
      <c r="G153" s="57">
        <f>35.11699548035*Deflactores!$D$5</f>
        <v>106.85059160741672</v>
      </c>
      <c r="H153" s="57">
        <f>37.9345570397699*Deflactores!$E$5</f>
        <v>109.40938011201311</v>
      </c>
      <c r="I153" s="57">
        <f>40.9034073972399*Deflactores!$F$5</f>
        <v>112.50950094176665</v>
      </c>
      <c r="J153" s="57">
        <f>43.29796159702*Deflactores!$G$5</f>
        <v>113.99151500716667</v>
      </c>
      <c r="K153" s="57">
        <f>49.6385735070799*Deflactores!$H$5</f>
        <v>123.6437413418646</v>
      </c>
      <c r="L153" s="57">
        <f>48.5847546822*Deflactores!$I$5</f>
        <v>112.39332379056987</v>
      </c>
      <c r="M153" s="57">
        <f>70.88672660622*Deflactores!$J$5</f>
        <v>160.76723881579539</v>
      </c>
      <c r="N153" s="57">
        <f>104.329960344739*Deflactores!$K$5</f>
        <v>229.34173707761846</v>
      </c>
      <c r="O153" s="57">
        <f>112.11168355651*Deflactores!$L$5</f>
        <v>237.59343170411046</v>
      </c>
      <c r="P153" s="57">
        <f>224.876160975518*Deflactores!$M$5</f>
        <v>465.21895855814699</v>
      </c>
      <c r="Q153" s="57">
        <f>216.127477756183*Deflactores!$N$5</f>
        <v>438.61082120724103</v>
      </c>
      <c r="R153" s="57">
        <f>177.067780833297*Deflactores!$O$5</f>
        <v>346.65518214667077</v>
      </c>
      <c r="S153" s="57">
        <f>234.319669805244*Deflactores!$P$5</f>
        <v>429.65280994594025</v>
      </c>
      <c r="T153" s="57">
        <f>306.150904110669*Deflactores!$Q$5</f>
        <v>530.84053722998465</v>
      </c>
      <c r="U153" s="57">
        <f>295.789435570549*Deflactores!$R$5</f>
        <v>492.72226083771591</v>
      </c>
      <c r="V153" s="57">
        <f>221.2623374725*Deflactores!$S$5</f>
        <v>357.21648911653676</v>
      </c>
    </row>
    <row r="154" spans="2:22" x14ac:dyDescent="0.2">
      <c r="C154" s="90" t="s">
        <v>147</v>
      </c>
      <c r="D154" s="58">
        <f>505.87651100788*Deflactores!$A$5</f>
        <v>1887.8884293632736</v>
      </c>
      <c r="E154" s="58">
        <f>627.570115876439*Deflactores!$B$5</f>
        <v>2175.6391891457038</v>
      </c>
      <c r="F154" s="58">
        <f>584.13617059439*Deflactores!$C$5</f>
        <v>1892.7273571856456</v>
      </c>
      <c r="G154" s="58">
        <f>570.14983301681*Deflactores!$D$5</f>
        <v>1734.7966740720958</v>
      </c>
      <c r="H154" s="58">
        <f>703.11075966658*Deflactores!$E$5</f>
        <v>2027.8848197583636</v>
      </c>
      <c r="I154" s="58">
        <f>748.778834744779*Deflactores!$F$5</f>
        <v>2059.6018369505655</v>
      </c>
      <c r="J154" s="58">
        <f>907.29235722222*Deflactores!$G$5</f>
        <v>2388.6489464968827</v>
      </c>
      <c r="K154" s="58">
        <f>1109.13814417736*Deflactores!$H$5</f>
        <v>2762.7302745011671</v>
      </c>
      <c r="L154" s="58">
        <f>1335.15928395929*Deflactores!$I$5</f>
        <v>3088.6847262192819</v>
      </c>
      <c r="M154" s="58">
        <f>1510.87871108286*Deflactores!$J$5</f>
        <v>3426.5907059819842</v>
      </c>
      <c r="N154" s="58">
        <f>1941.32541049065*Deflactores!$K$5</f>
        <v>4267.4888440834884</v>
      </c>
      <c r="O154" s="58">
        <f>1877.07059778376*Deflactores!$L$5</f>
        <v>3977.9943600038182</v>
      </c>
      <c r="P154" s="58">
        <f>2359.30304236864*Deflactores!$M$5</f>
        <v>4880.8753205872281</v>
      </c>
      <c r="Q154" s="58">
        <f>2499.79049544307*Deflactores!$N$5</f>
        <v>5073.0947005694834</v>
      </c>
      <c r="R154" s="58">
        <f>1236.91960060659*Deflactores!$O$5</f>
        <v>2421.5844770356616</v>
      </c>
      <c r="S154" s="58">
        <f>1788.9598716186*Deflactores!$P$5</f>
        <v>3280.2693703021691</v>
      </c>
      <c r="T154" s="58">
        <f>2045.78558848011*Deflactores!$Q$5</f>
        <v>3547.2242814398946</v>
      </c>
      <c r="U154" s="58">
        <f>2157.35286269986*Deflactores!$R$5</f>
        <v>3593.6908222696215</v>
      </c>
      <c r="V154" s="58">
        <f>1862.53577629238*Deflactores!$S$5</f>
        <v>3006.966745724626</v>
      </c>
    </row>
    <row r="155" spans="2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0*Deflactores!$R$5</f>
        <v>0</v>
      </c>
      <c r="V155" s="59">
        <f>0*Deflactores!$S$5</f>
        <v>0</v>
      </c>
    </row>
    <row r="156" spans="2:22" x14ac:dyDescent="0.2">
      <c r="C156" s="87" t="s">
        <v>149</v>
      </c>
      <c r="D156" s="56">
        <f>162.744166460379*Deflactores!$A$5</f>
        <v>607.34748920203208</v>
      </c>
      <c r="E156" s="56">
        <f>142.97264803984*Deflactores!$B$5</f>
        <v>495.6528174019283</v>
      </c>
      <c r="F156" s="56">
        <f>110.311292706939*Deflactores!$C$5</f>
        <v>357.43241391897129</v>
      </c>
      <c r="G156" s="56">
        <f>110.77473220121*Deflactores!$D$5</f>
        <v>337.05462295245519</v>
      </c>
      <c r="H156" s="56">
        <f>193.63342363922*Deflactores!$E$5</f>
        <v>558.47002054415952</v>
      </c>
      <c r="I156" s="56">
        <f>55.2194709734199*Deflactores!$F$5</f>
        <v>151.88747140677251</v>
      </c>
      <c r="J156" s="56">
        <f>257.14176034593*Deflactores!$G$5</f>
        <v>676.98288215627542</v>
      </c>
      <c r="K156" s="56">
        <f>390.095259084*Deflactores!$H$5</f>
        <v>971.68056825787619</v>
      </c>
      <c r="L156" s="56">
        <f>531.026338973*Deflactores!$I$5</f>
        <v>1228.4473935890769</v>
      </c>
      <c r="M156" s="56">
        <f>736.78384344888*Deflactores!$J$5</f>
        <v>1670.9856666589562</v>
      </c>
      <c r="N156" s="56">
        <f>873.36213722735*Deflactores!$K$5</f>
        <v>1919.8549389618568</v>
      </c>
      <c r="O156" s="56">
        <f>992.46887960147*Deflactores!$L$5</f>
        <v>2103.2962799563134</v>
      </c>
      <c r="P156" s="56">
        <f>1263.5330538589*Deflactores!$M$5</f>
        <v>2613.9699684931379</v>
      </c>
      <c r="Q156" s="56">
        <f>1264.70378100869*Deflactores!$N$5</f>
        <v>2566.5999054405515</v>
      </c>
      <c r="R156" s="56">
        <f>1792.88704701338*Deflactores!$O$5</f>
        <v>3510.0320505849832</v>
      </c>
      <c r="S156" s="56">
        <f>1395.70400485788*Deflactores!$P$5</f>
        <v>2559.1882578121063</v>
      </c>
      <c r="T156" s="56">
        <f>1151.81004911144*Deflactores!$Q$5</f>
        <v>1997.1440784515532</v>
      </c>
      <c r="U156" s="56">
        <f>1133.53981922845*Deflactores!$R$5</f>
        <v>1888.2361413702499</v>
      </c>
      <c r="V156" s="56">
        <f>1154.35771481728*Deflactores!$S$5</f>
        <v>1863.6502478550719</v>
      </c>
    </row>
    <row r="157" spans="2:22" x14ac:dyDescent="0.2">
      <c r="C157" s="88" t="s">
        <v>150</v>
      </c>
      <c r="D157" s="57">
        <f>430.9178647299*Deflactores!$A$5</f>
        <v>1608.1490899996229</v>
      </c>
      <c r="E157" s="57">
        <f>641.44979975068*Deflactores!$B$5</f>
        <v>2223.7568152177801</v>
      </c>
      <c r="F157" s="57">
        <f>540.11181696091*Deflactores!$C$5</f>
        <v>1750.0789428275446</v>
      </c>
      <c r="G157" s="57">
        <f>550.45207101995*Deflactores!$D$5</f>
        <v>1674.8622322465048</v>
      </c>
      <c r="H157" s="57">
        <f>501.64732944723*Deflactores!$E$5</f>
        <v>1446.8317975119071</v>
      </c>
      <c r="I157" s="57">
        <f>471.164968922989*Deflactores!$F$5</f>
        <v>1295.993143063811</v>
      </c>
      <c r="J157" s="57">
        <f>593.06808596589*Deflactores!$G$5</f>
        <v>1561.3836570612432</v>
      </c>
      <c r="K157" s="57">
        <f>716.683832383239*Deflactores!$H$5</f>
        <v>1785.1735884886093</v>
      </c>
      <c r="L157" s="57">
        <f>690.369946836379*Deflactores!$I$5</f>
        <v>1597.064212377044</v>
      </c>
      <c r="M157" s="57">
        <f>735.63740477629*Deflactores!$J$5</f>
        <v>1668.3856061301667</v>
      </c>
      <c r="N157" s="57">
        <f>806.51250116723*Deflactores!$K$5</f>
        <v>1772.903750574794</v>
      </c>
      <c r="O157" s="57">
        <f>576.328194459379*Deflactores!$L$5</f>
        <v>1221.3873627222551</v>
      </c>
      <c r="P157" s="57">
        <f>908.292986285011*Deflactores!$M$5</f>
        <v>1879.0569676755786</v>
      </c>
      <c r="Q157" s="57">
        <f>991.883205269099*Deflactores!$N$5</f>
        <v>2012.9356605712942</v>
      </c>
      <c r="R157" s="57">
        <f>1204.72184567593*Deflactores!$O$5</f>
        <v>2358.5491888105835</v>
      </c>
      <c r="S157" s="57">
        <f>1377.84162272005*Deflactores!$P$5</f>
        <v>2526.4354689223574</v>
      </c>
      <c r="T157" s="57">
        <f>1462.18578074831*Deflactores!$Q$5</f>
        <v>2535.3101198156096</v>
      </c>
      <c r="U157" s="57">
        <f>1794.54993780037*Deflactores!$R$5</f>
        <v>2989.3383475093242</v>
      </c>
      <c r="V157" s="57">
        <f>1660.52285063432*Deflactores!$S$5</f>
        <v>2680.8274267422398</v>
      </c>
    </row>
    <row r="158" spans="2:22" x14ac:dyDescent="0.2">
      <c r="C158" s="87" t="s">
        <v>151</v>
      </c>
      <c r="D158" s="56">
        <f>25.959703113*Deflactores!$A$5</f>
        <v>96.879420313656425</v>
      </c>
      <c r="E158" s="56">
        <f>17.53717020454*Deflactores!$B$5</f>
        <v>60.797277943087671</v>
      </c>
      <c r="F158" s="56">
        <f>6.47549838309*Deflactores!$C$5</f>
        <v>20.982013369612698</v>
      </c>
      <c r="G158" s="56">
        <f>6.86572750265999*Deflactores!$D$5</f>
        <v>20.89037047275378</v>
      </c>
      <c r="H158" s="56">
        <f>11.78665927104*Deflactores!$E$5</f>
        <v>33.994626142175214</v>
      </c>
      <c r="I158" s="56">
        <f>7.23139535564*Deflactores!$F$5</f>
        <v>19.890780117026779</v>
      </c>
      <c r="J158" s="56">
        <f>10.67626502224*Deflactores!$G$5</f>
        <v>28.107642475873977</v>
      </c>
      <c r="K158" s="56">
        <f>13.86999891267*Deflactores!$H$5</f>
        <v>34.548506067071266</v>
      </c>
      <c r="L158" s="56">
        <f>0*Deflactores!$I$5</f>
        <v>0</v>
      </c>
      <c r="M158" s="56">
        <f>0*Deflactores!$J$5</f>
        <v>0</v>
      </c>
      <c r="N158" s="56">
        <f>0*Deflactores!$K$5</f>
        <v>0</v>
      </c>
      <c r="O158" s="56">
        <f>0*Deflactores!$L$5</f>
        <v>0</v>
      </c>
      <c r="P158" s="56">
        <f>0*Deflactores!$M$5</f>
        <v>0</v>
      </c>
      <c r="Q158" s="56">
        <f>0*Deflactores!$N$5</f>
        <v>0</v>
      </c>
      <c r="R158" s="56">
        <f>0*Deflactores!$O$5</f>
        <v>0</v>
      </c>
      <c r="S158" s="56">
        <f>0*Deflactores!$P$5</f>
        <v>0</v>
      </c>
      <c r="T158" s="56">
        <f>0*Deflactores!$Q$5</f>
        <v>0</v>
      </c>
      <c r="U158" s="56">
        <f>0*Deflactores!$R$5</f>
        <v>0</v>
      </c>
      <c r="V158" s="56">
        <f>0*Deflactores!$S$5</f>
        <v>0</v>
      </c>
    </row>
    <row r="159" spans="2:22" x14ac:dyDescent="0.2">
      <c r="C159" s="79" t="s">
        <v>152</v>
      </c>
      <c r="D159" s="44">
        <f t="shared" ref="D159:V159" si="32">+SUM(D130:D158)</f>
        <v>12058.620254719821</v>
      </c>
      <c r="E159" s="44">
        <f t="shared" si="32"/>
        <v>12555.449826712103</v>
      </c>
      <c r="F159" s="44">
        <f t="shared" si="32"/>
        <v>11693.143439518601</v>
      </c>
      <c r="G159" s="44">
        <f t="shared" si="32"/>
        <v>11213.574892935505</v>
      </c>
      <c r="H159" s="44">
        <f t="shared" si="32"/>
        <v>17697.978224820061</v>
      </c>
      <c r="I159" s="44">
        <f t="shared" si="32"/>
        <v>17114.478530642311</v>
      </c>
      <c r="J159" s="44">
        <f t="shared" si="32"/>
        <v>13367.923232773257</v>
      </c>
      <c r="K159" s="44">
        <f t="shared" si="32"/>
        <v>16100.490011002938</v>
      </c>
      <c r="L159" s="44">
        <f t="shared" si="32"/>
        <v>17993.727178470916</v>
      </c>
      <c r="M159" s="44">
        <f t="shared" si="32"/>
        <v>21521.895078222173</v>
      </c>
      <c r="N159" s="44">
        <f t="shared" si="32"/>
        <v>23227.202444808332</v>
      </c>
      <c r="O159" s="44">
        <f t="shared" si="32"/>
        <v>21926.307172715344</v>
      </c>
      <c r="P159" s="44">
        <f t="shared" si="32"/>
        <v>23379.946850896973</v>
      </c>
      <c r="Q159" s="44">
        <f t="shared" si="32"/>
        <v>25544.144761148276</v>
      </c>
      <c r="R159" s="44">
        <f t="shared" si="32"/>
        <v>19642.48437794549</v>
      </c>
      <c r="S159" s="44">
        <f t="shared" si="32"/>
        <v>19832.414660115312</v>
      </c>
      <c r="T159" s="44">
        <f t="shared" si="32"/>
        <v>21211.698827740682</v>
      </c>
      <c r="U159" s="44">
        <f t="shared" si="32"/>
        <v>21843.538058388145</v>
      </c>
      <c r="V159" s="44">
        <f t="shared" si="32"/>
        <v>19443.053645502139</v>
      </c>
    </row>
    <row r="160" spans="2:22" x14ac:dyDescent="0.2">
      <c r="B160" s="9"/>
      <c r="C160" s="1" t="s">
        <v>52</v>
      </c>
    </row>
    <row r="161" spans="3:22" x14ac:dyDescent="0.2"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3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3:22" ht="18" customHeight="1" x14ac:dyDescent="0.2">
      <c r="D163" s="164" t="s">
        <v>175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spans="3:22" x14ac:dyDescent="0.2">
      <c r="H164" s="27"/>
      <c r="I164" s="27"/>
      <c r="J164" s="27"/>
      <c r="L164" s="179"/>
      <c r="M164" s="160"/>
      <c r="N164" s="160"/>
      <c r="O164" s="160"/>
      <c r="P164" s="160"/>
      <c r="Q164" s="160"/>
      <c r="R164" s="28"/>
      <c r="S164" s="28"/>
      <c r="T164" s="28"/>
      <c r="U164" s="28"/>
      <c r="V164" s="28"/>
    </row>
    <row r="165" spans="3:22" ht="0.75" customHeight="1" x14ac:dyDescent="0.2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3:22" x14ac:dyDescent="0.2">
      <c r="C166" s="181" t="s">
        <v>120</v>
      </c>
      <c r="D166" s="155">
        <v>2000</v>
      </c>
      <c r="E166" s="155">
        <v>2001</v>
      </c>
      <c r="F166" s="155">
        <v>2002</v>
      </c>
      <c r="G166" s="155">
        <v>2003</v>
      </c>
      <c r="H166" s="155">
        <v>2004</v>
      </c>
      <c r="I166" s="155">
        <v>2005</v>
      </c>
      <c r="J166" s="155">
        <v>2006</v>
      </c>
      <c r="K166" s="155">
        <v>2007</v>
      </c>
      <c r="L166" s="155">
        <v>2008</v>
      </c>
      <c r="M166" s="155">
        <v>2009</v>
      </c>
      <c r="N166" s="155">
        <v>2010</v>
      </c>
      <c r="O166" s="155">
        <v>2011</v>
      </c>
      <c r="P166" s="155">
        <v>2012</v>
      </c>
      <c r="Q166" s="155">
        <v>2013</v>
      </c>
      <c r="R166" s="155">
        <v>2014</v>
      </c>
      <c r="S166" s="155">
        <v>2015</v>
      </c>
      <c r="T166" s="155">
        <v>2016</v>
      </c>
      <c r="U166" s="155">
        <v>2017</v>
      </c>
      <c r="V166" s="155">
        <v>2018</v>
      </c>
    </row>
    <row r="167" spans="3:22" ht="12" customHeight="1" thickBot="1" x14ac:dyDescent="0.25">
      <c r="C167" s="162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</row>
    <row r="168" spans="3:22" x14ac:dyDescent="0.2">
      <c r="C168" s="87" t="s">
        <v>123</v>
      </c>
      <c r="D168" s="60">
        <f t="shared" ref="D168:V168" si="33">+IFERROR(IF(D130&gt;0,+((D130/D13)*100)," "),"")</f>
        <v>76.54681726224328</v>
      </c>
      <c r="E168" s="60">
        <f t="shared" si="33"/>
        <v>65.729853998818456</v>
      </c>
      <c r="F168" s="60">
        <f t="shared" si="33"/>
        <v>81.908291593020593</v>
      </c>
      <c r="G168" s="60">
        <f t="shared" si="33"/>
        <v>72.08875174382014</v>
      </c>
      <c r="H168" s="60">
        <f t="shared" si="33"/>
        <v>49.159482473307257</v>
      </c>
      <c r="I168" s="60">
        <f t="shared" si="33"/>
        <v>79.981777879607236</v>
      </c>
      <c r="J168" s="60">
        <f t="shared" si="33"/>
        <v>66.711238219189227</v>
      </c>
      <c r="K168" s="60">
        <f t="shared" si="33"/>
        <v>91.225170976974795</v>
      </c>
      <c r="L168" s="60">
        <f t="shared" si="33"/>
        <v>89.237489491006585</v>
      </c>
      <c r="M168" s="60">
        <f t="shared" si="33"/>
        <v>74.517804951660153</v>
      </c>
      <c r="N168" s="60">
        <f t="shared" si="33"/>
        <v>78.954102580818187</v>
      </c>
      <c r="O168" s="60">
        <f t="shared" si="33"/>
        <v>57.399126719149542</v>
      </c>
      <c r="P168" s="60">
        <f t="shared" si="33"/>
        <v>79.646052147475018</v>
      </c>
      <c r="Q168" s="60">
        <f t="shared" si="33"/>
        <v>74.673681443844657</v>
      </c>
      <c r="R168" s="60">
        <f t="shared" si="33"/>
        <v>88.784731691524016</v>
      </c>
      <c r="S168" s="60">
        <f t="shared" si="33"/>
        <v>73.11075375372576</v>
      </c>
      <c r="T168" s="60">
        <f t="shared" si="33"/>
        <v>91.129198717063133</v>
      </c>
      <c r="U168" s="60">
        <f t="shared" si="33"/>
        <v>92.068413217427775</v>
      </c>
      <c r="V168" s="60">
        <f t="shared" si="33"/>
        <v>83.883571174786951</v>
      </c>
    </row>
    <row r="169" spans="3:22" x14ac:dyDescent="0.2">
      <c r="C169" s="88" t="s">
        <v>124</v>
      </c>
      <c r="D169" s="62">
        <f t="shared" ref="D169:V169" si="34">+IFERROR(IF(D131&gt;0,+((D131/D14)*100)," "),"")</f>
        <v>52.805652345356577</v>
      </c>
      <c r="E169" s="62">
        <f t="shared" si="34"/>
        <v>27.388737694805194</v>
      </c>
      <c r="F169" s="62">
        <f t="shared" si="34"/>
        <v>44.795352984754693</v>
      </c>
      <c r="G169" s="62">
        <f t="shared" si="34"/>
        <v>34.200627380197304</v>
      </c>
      <c r="H169" s="62">
        <f t="shared" si="34"/>
        <v>39.993768103980628</v>
      </c>
      <c r="I169" s="62">
        <f t="shared" si="34"/>
        <v>55.892275523243072</v>
      </c>
      <c r="J169" s="62">
        <f t="shared" si="34"/>
        <v>67.003467295810566</v>
      </c>
      <c r="K169" s="62">
        <f t="shared" si="34"/>
        <v>83.229462059282071</v>
      </c>
      <c r="L169" s="62">
        <f t="shared" si="34"/>
        <v>69.936169444429481</v>
      </c>
      <c r="M169" s="62">
        <f t="shared" si="34"/>
        <v>77.414510890154233</v>
      </c>
      <c r="N169" s="62">
        <f t="shared" si="34"/>
        <v>73.970017508926162</v>
      </c>
      <c r="O169" s="62">
        <f t="shared" si="34"/>
        <v>78.309445620328205</v>
      </c>
      <c r="P169" s="62">
        <f t="shared" si="34"/>
        <v>85.609510250402494</v>
      </c>
      <c r="Q169" s="62">
        <f t="shared" si="34"/>
        <v>76.913496210829123</v>
      </c>
      <c r="R169" s="62">
        <f t="shared" si="34"/>
        <v>82.900509591331172</v>
      </c>
      <c r="S169" s="62">
        <f t="shared" si="34"/>
        <v>75.295467869562628</v>
      </c>
      <c r="T169" s="62">
        <f t="shared" si="34"/>
        <v>87.155843468026575</v>
      </c>
      <c r="U169" s="62">
        <f t="shared" si="34"/>
        <v>94.100157235439269</v>
      </c>
      <c r="V169" s="62">
        <f t="shared" si="34"/>
        <v>96.280864445867394</v>
      </c>
    </row>
    <row r="170" spans="3:22" x14ac:dyDescent="0.2">
      <c r="C170" s="87" t="s">
        <v>125</v>
      </c>
      <c r="D170" s="60">
        <f t="shared" ref="D170:V170" si="35">+IFERROR(IF(D132&gt;0,+((D132/D15)*100)," "),"")</f>
        <v>45.595400582183657</v>
      </c>
      <c r="E170" s="60">
        <f t="shared" si="35"/>
        <v>32.792224905276441</v>
      </c>
      <c r="F170" s="60">
        <f t="shared" si="35"/>
        <v>40.327333593281942</v>
      </c>
      <c r="G170" s="60">
        <f t="shared" si="35"/>
        <v>13.181369607600409</v>
      </c>
      <c r="H170" s="60">
        <f t="shared" si="35"/>
        <v>10.332093624802461</v>
      </c>
      <c r="I170" s="60">
        <f t="shared" si="35"/>
        <v>28.011295056740593</v>
      </c>
      <c r="J170" s="60">
        <f t="shared" si="35"/>
        <v>3.7902273335306345</v>
      </c>
      <c r="K170" s="60">
        <f t="shared" si="35"/>
        <v>69.770461270397689</v>
      </c>
      <c r="L170" s="60">
        <f t="shared" si="35"/>
        <v>79.336557471832336</v>
      </c>
      <c r="M170" s="60">
        <f t="shared" si="35"/>
        <v>91.058639659267442</v>
      </c>
      <c r="N170" s="60" t="str">
        <f t="shared" si="35"/>
        <v xml:space="preserve"> </v>
      </c>
      <c r="O170" s="60" t="str">
        <f t="shared" si="35"/>
        <v xml:space="preserve"> </v>
      </c>
      <c r="P170" s="60" t="str">
        <f t="shared" si="35"/>
        <v xml:space="preserve"> </v>
      </c>
      <c r="Q170" s="60" t="str">
        <f t="shared" si="35"/>
        <v xml:space="preserve"> </v>
      </c>
      <c r="R170" s="60" t="str">
        <f t="shared" si="35"/>
        <v xml:space="preserve"> </v>
      </c>
      <c r="S170" s="60" t="str">
        <f t="shared" si="35"/>
        <v xml:space="preserve"> </v>
      </c>
      <c r="T170" s="60" t="str">
        <f t="shared" si="35"/>
        <v xml:space="preserve"> </v>
      </c>
      <c r="U170" s="60" t="str">
        <f t="shared" si="35"/>
        <v xml:space="preserve"> </v>
      </c>
      <c r="V170" s="60" t="str">
        <f t="shared" si="35"/>
        <v xml:space="preserve"> </v>
      </c>
    </row>
    <row r="171" spans="3:22" x14ac:dyDescent="0.2">
      <c r="C171" s="88" t="s">
        <v>126</v>
      </c>
      <c r="D171" s="62">
        <f t="shared" ref="D171:V171" si="36">+IFERROR(IF(D133&gt;0,+((D133/D16)*100)," "),"")</f>
        <v>94.776764159428566</v>
      </c>
      <c r="E171" s="62">
        <f t="shared" si="36"/>
        <v>84.49404532934237</v>
      </c>
      <c r="F171" s="62">
        <f t="shared" si="36"/>
        <v>75.689729473616197</v>
      </c>
      <c r="G171" s="62">
        <f t="shared" si="36"/>
        <v>87.4350422852566</v>
      </c>
      <c r="H171" s="62">
        <f t="shared" si="36"/>
        <v>82.544545190171732</v>
      </c>
      <c r="I171" s="62">
        <f t="shared" si="36"/>
        <v>84.933866973146095</v>
      </c>
      <c r="J171" s="62">
        <f t="shared" si="36"/>
        <v>85.834061182771919</v>
      </c>
      <c r="K171" s="62">
        <f t="shared" si="36"/>
        <v>93.041698642440224</v>
      </c>
      <c r="L171" s="62">
        <f t="shared" si="36"/>
        <v>89.857508990972519</v>
      </c>
      <c r="M171" s="62">
        <f t="shared" si="36"/>
        <v>91.922746457223397</v>
      </c>
      <c r="N171" s="62">
        <f t="shared" si="36"/>
        <v>87.876767423598011</v>
      </c>
      <c r="O171" s="62">
        <f t="shared" si="36"/>
        <v>80.059505512305876</v>
      </c>
      <c r="P171" s="62">
        <f t="shared" si="36"/>
        <v>84.627264054003803</v>
      </c>
      <c r="Q171" s="62">
        <f t="shared" si="36"/>
        <v>91.753581951793777</v>
      </c>
      <c r="R171" s="62">
        <f t="shared" si="36"/>
        <v>93.984033195378004</v>
      </c>
      <c r="S171" s="62">
        <f t="shared" si="36"/>
        <v>94.743773611361021</v>
      </c>
      <c r="T171" s="62">
        <f t="shared" si="36"/>
        <v>95.220642793681861</v>
      </c>
      <c r="U171" s="62">
        <f t="shared" si="36"/>
        <v>94.452225927406303</v>
      </c>
      <c r="V171" s="62">
        <f t="shared" si="36"/>
        <v>95.07479895184467</v>
      </c>
    </row>
    <row r="172" spans="3:22" x14ac:dyDescent="0.2">
      <c r="C172" s="87" t="s">
        <v>127</v>
      </c>
      <c r="D172" s="60" t="str">
        <f t="shared" ref="D172:V172" si="37">+IFERROR(IF(D134&gt;0,+((D134/D17)*100)," "),"")</f>
        <v xml:space="preserve"> </v>
      </c>
      <c r="E172" s="60" t="str">
        <f t="shared" si="37"/>
        <v xml:space="preserve"> </v>
      </c>
      <c r="F172" s="60" t="str">
        <f t="shared" si="37"/>
        <v xml:space="preserve"> </v>
      </c>
      <c r="G172" s="60" t="str">
        <f t="shared" si="37"/>
        <v xml:space="preserve"> </v>
      </c>
      <c r="H172" s="60" t="str">
        <f t="shared" si="37"/>
        <v xml:space="preserve"> </v>
      </c>
      <c r="I172" s="60" t="str">
        <f t="shared" si="37"/>
        <v xml:space="preserve"> </v>
      </c>
      <c r="J172" s="60" t="str">
        <f t="shared" si="37"/>
        <v xml:space="preserve"> </v>
      </c>
      <c r="K172" s="60" t="str">
        <f t="shared" si="37"/>
        <v xml:space="preserve"> </v>
      </c>
      <c r="L172" s="60" t="str">
        <f t="shared" si="37"/>
        <v xml:space="preserve"> </v>
      </c>
      <c r="M172" s="60" t="str">
        <f t="shared" si="37"/>
        <v xml:space="preserve"> </v>
      </c>
      <c r="N172" s="60" t="str">
        <f t="shared" si="37"/>
        <v xml:space="preserve"> </v>
      </c>
      <c r="O172" s="60" t="str">
        <f t="shared" si="37"/>
        <v xml:space="preserve"> </v>
      </c>
      <c r="P172" s="60" t="str">
        <f t="shared" si="37"/>
        <v xml:space="preserve"> </v>
      </c>
      <c r="Q172" s="60" t="str">
        <f t="shared" si="37"/>
        <v xml:space="preserve"> </v>
      </c>
      <c r="R172" s="60" t="str">
        <f t="shared" si="37"/>
        <v xml:space="preserve"> </v>
      </c>
      <c r="S172" s="60" t="str">
        <f t="shared" si="37"/>
        <v xml:space="preserve"> </v>
      </c>
      <c r="T172" s="60" t="str">
        <f t="shared" si="37"/>
        <v xml:space="preserve"> </v>
      </c>
      <c r="U172" s="60" t="str">
        <f t="shared" si="37"/>
        <v xml:space="preserve"> </v>
      </c>
      <c r="V172" s="60" t="str">
        <f t="shared" si="37"/>
        <v xml:space="preserve"> </v>
      </c>
    </row>
    <row r="173" spans="3:22" x14ac:dyDescent="0.2">
      <c r="C173" s="88" t="s">
        <v>128</v>
      </c>
      <c r="D173" s="62">
        <f t="shared" ref="D173:V173" si="38">+IFERROR(IF(D135&gt;0,+((D135/D18)*100)," "),"")</f>
        <v>86.980122753860371</v>
      </c>
      <c r="E173" s="62">
        <f t="shared" si="38"/>
        <v>82.936437427160044</v>
      </c>
      <c r="F173" s="62">
        <f t="shared" si="38"/>
        <v>76.506146972867214</v>
      </c>
      <c r="G173" s="62">
        <f t="shared" si="38"/>
        <v>58.474197341268422</v>
      </c>
      <c r="H173" s="62">
        <f t="shared" si="38"/>
        <v>50.917583069526017</v>
      </c>
      <c r="I173" s="62">
        <f t="shared" si="38"/>
        <v>61.992870082068265</v>
      </c>
      <c r="J173" s="62">
        <f t="shared" si="38"/>
        <v>13.913047759488146</v>
      </c>
      <c r="K173" s="62">
        <f t="shared" si="38"/>
        <v>53.033683525394103</v>
      </c>
      <c r="L173" s="62">
        <f t="shared" si="38"/>
        <v>76.843135812306215</v>
      </c>
      <c r="M173" s="62">
        <f t="shared" si="38"/>
        <v>32.500349977281616</v>
      </c>
      <c r="N173" s="62">
        <f t="shared" si="38"/>
        <v>78.932204678323544</v>
      </c>
      <c r="O173" s="62">
        <f t="shared" si="38"/>
        <v>79.599611298103483</v>
      </c>
      <c r="P173" s="62">
        <f t="shared" si="38"/>
        <v>93.249270588717721</v>
      </c>
      <c r="Q173" s="62">
        <f t="shared" si="38"/>
        <v>87.052403001709877</v>
      </c>
      <c r="R173" s="62">
        <f t="shared" si="38"/>
        <v>93.892491355914373</v>
      </c>
      <c r="S173" s="62">
        <f t="shared" si="38"/>
        <v>92.189311435525525</v>
      </c>
      <c r="T173" s="62">
        <f t="shared" si="38"/>
        <v>93.842882903310198</v>
      </c>
      <c r="U173" s="62">
        <f t="shared" si="38"/>
        <v>97.416771765538044</v>
      </c>
      <c r="V173" s="62">
        <f t="shared" si="38"/>
        <v>95.280080977138851</v>
      </c>
    </row>
    <row r="174" spans="3:22" x14ac:dyDescent="0.2">
      <c r="C174" s="87" t="s">
        <v>129</v>
      </c>
      <c r="D174" s="60">
        <f t="shared" ref="D174:V174" si="39">+IFERROR(IF(D136&gt;0,+((D136/D19)*100)," "),"")</f>
        <v>81.313926568971254</v>
      </c>
      <c r="E174" s="60">
        <f t="shared" si="39"/>
        <v>78.647084860725556</v>
      </c>
      <c r="F174" s="60">
        <f t="shared" si="39"/>
        <v>77.003953604184545</v>
      </c>
      <c r="G174" s="60">
        <f t="shared" si="39"/>
        <v>79.862400762921354</v>
      </c>
      <c r="H174" s="60">
        <f t="shared" si="39"/>
        <v>83.733525684291607</v>
      </c>
      <c r="I174" s="60">
        <f t="shared" si="39"/>
        <v>82.120903376261452</v>
      </c>
      <c r="J174" s="60">
        <f t="shared" si="39"/>
        <v>73.820352580039795</v>
      </c>
      <c r="K174" s="60">
        <f t="shared" si="39"/>
        <v>91.278710368239061</v>
      </c>
      <c r="L174" s="60">
        <f t="shared" si="39"/>
        <v>90.28509135938387</v>
      </c>
      <c r="M174" s="60">
        <f t="shared" si="39"/>
        <v>87.197085042037941</v>
      </c>
      <c r="N174" s="60">
        <f t="shared" si="39"/>
        <v>89.173190641728993</v>
      </c>
      <c r="O174" s="60">
        <f t="shared" si="39"/>
        <v>82.516141978766512</v>
      </c>
      <c r="P174" s="60">
        <f t="shared" si="39"/>
        <v>80.131153002448571</v>
      </c>
      <c r="Q174" s="60">
        <f t="shared" si="39"/>
        <v>82.483990568456733</v>
      </c>
      <c r="R174" s="60">
        <f t="shared" si="39"/>
        <v>89.82202365494598</v>
      </c>
      <c r="S174" s="60">
        <f t="shared" si="39"/>
        <v>86.136902256494182</v>
      </c>
      <c r="T174" s="60">
        <f t="shared" si="39"/>
        <v>90.812003307821897</v>
      </c>
      <c r="U174" s="60">
        <f t="shared" si="39"/>
        <v>95.083003954696395</v>
      </c>
      <c r="V174" s="60">
        <f t="shared" si="39"/>
        <v>92.113904547022841</v>
      </c>
    </row>
    <row r="175" spans="3:22" x14ac:dyDescent="0.2">
      <c r="C175" s="88" t="s">
        <v>130</v>
      </c>
      <c r="D175" s="62">
        <f t="shared" ref="D175:V175" si="40">+IFERROR(IF(D137&gt;0,+((D137/D20)*100)," "),"")</f>
        <v>88.35591084454073</v>
      </c>
      <c r="E175" s="62">
        <f t="shared" si="40"/>
        <v>83.787633967574308</v>
      </c>
      <c r="F175" s="62">
        <f t="shared" si="40"/>
        <v>54.120044364052191</v>
      </c>
      <c r="G175" s="62">
        <f t="shared" si="40"/>
        <v>73.242615530182121</v>
      </c>
      <c r="H175" s="62">
        <f t="shared" si="40"/>
        <v>60.525216289007709</v>
      </c>
      <c r="I175" s="62">
        <f t="shared" si="40"/>
        <v>80.934230483058656</v>
      </c>
      <c r="J175" s="62">
        <f t="shared" si="40"/>
        <v>86.937988847727055</v>
      </c>
      <c r="K175" s="62">
        <f t="shared" si="40"/>
        <v>87.953497306294437</v>
      </c>
      <c r="L175" s="62">
        <f t="shared" si="40"/>
        <v>87.545800096558835</v>
      </c>
      <c r="M175" s="62">
        <f t="shared" si="40"/>
        <v>61.030383411965985</v>
      </c>
      <c r="N175" s="62">
        <f t="shared" si="40"/>
        <v>82.512764042288566</v>
      </c>
      <c r="O175" s="62">
        <f t="shared" si="40"/>
        <v>77.647243219417476</v>
      </c>
      <c r="P175" s="62" t="str">
        <f t="shared" si="40"/>
        <v xml:space="preserve"> </v>
      </c>
      <c r="Q175" s="62" t="str">
        <f t="shared" si="40"/>
        <v xml:space="preserve"> </v>
      </c>
      <c r="R175" s="62" t="str">
        <f t="shared" si="40"/>
        <v xml:space="preserve"> </v>
      </c>
      <c r="S175" s="62" t="str">
        <f t="shared" si="40"/>
        <v xml:space="preserve"> </v>
      </c>
      <c r="T175" s="62" t="str">
        <f t="shared" si="40"/>
        <v xml:space="preserve"> </v>
      </c>
      <c r="U175" s="62" t="str">
        <f t="shared" si="40"/>
        <v xml:space="preserve"> </v>
      </c>
      <c r="V175" s="62" t="str">
        <f t="shared" si="40"/>
        <v xml:space="preserve"> </v>
      </c>
    </row>
    <row r="176" spans="3:22" x14ac:dyDescent="0.2">
      <c r="C176" s="87" t="s">
        <v>131</v>
      </c>
      <c r="D176" s="60">
        <f t="shared" ref="D176:V176" si="41">+IFERROR(IF(D138&gt;0,+((D138/D21)*100)," "),"")</f>
        <v>89.968525222766488</v>
      </c>
      <c r="E176" s="60">
        <f t="shared" si="41"/>
        <v>88.524041895215831</v>
      </c>
      <c r="F176" s="60">
        <f t="shared" si="41"/>
        <v>86.230178822009606</v>
      </c>
      <c r="G176" s="60">
        <f t="shared" si="41"/>
        <v>82.943907222361432</v>
      </c>
      <c r="H176" s="60">
        <f t="shared" si="41"/>
        <v>73.957931194677741</v>
      </c>
      <c r="I176" s="60">
        <f t="shared" si="41"/>
        <v>64.870429861059137</v>
      </c>
      <c r="J176" s="60">
        <f t="shared" si="41"/>
        <v>49.480113466853005</v>
      </c>
      <c r="K176" s="60">
        <f t="shared" si="41"/>
        <v>79.880638398994037</v>
      </c>
      <c r="L176" s="60">
        <f t="shared" si="41"/>
        <v>82.019088006723507</v>
      </c>
      <c r="M176" s="60">
        <f t="shared" si="41"/>
        <v>87.806515777351564</v>
      </c>
      <c r="N176" s="60">
        <f t="shared" si="41"/>
        <v>74.94272337776539</v>
      </c>
      <c r="O176" s="60">
        <f t="shared" si="41"/>
        <v>67.955512911322685</v>
      </c>
      <c r="P176" s="60">
        <f t="shared" si="41"/>
        <v>84.360419858793591</v>
      </c>
      <c r="Q176" s="60">
        <f t="shared" si="41"/>
        <v>72.145900579164262</v>
      </c>
      <c r="R176" s="60">
        <f t="shared" si="41"/>
        <v>82.288977188711087</v>
      </c>
      <c r="S176" s="60">
        <f t="shared" si="41"/>
        <v>85.815163232089603</v>
      </c>
      <c r="T176" s="60">
        <f t="shared" si="41"/>
        <v>81.441296834082124</v>
      </c>
      <c r="U176" s="60">
        <f t="shared" si="41"/>
        <v>76.198244257419447</v>
      </c>
      <c r="V176" s="60">
        <f t="shared" si="41"/>
        <v>87.269850300096635</v>
      </c>
    </row>
    <row r="177" spans="3:22" x14ac:dyDescent="0.2">
      <c r="C177" s="88" t="s">
        <v>132</v>
      </c>
      <c r="D177" s="62">
        <f t="shared" ref="D177:V177" si="42">+IFERROR(IF(D139&gt;0,+((D139/D22)*100)," "),"")</f>
        <v>86.361039478620242</v>
      </c>
      <c r="E177" s="62">
        <f t="shared" si="42"/>
        <v>75.518038008458532</v>
      </c>
      <c r="F177" s="62">
        <f t="shared" si="42"/>
        <v>77.542054421446039</v>
      </c>
      <c r="G177" s="62">
        <f t="shared" si="42"/>
        <v>85.207130974338284</v>
      </c>
      <c r="H177" s="62">
        <f t="shared" si="42"/>
        <v>75.472824448221232</v>
      </c>
      <c r="I177" s="62">
        <f t="shared" si="42"/>
        <v>87.997963721889633</v>
      </c>
      <c r="J177" s="62">
        <f t="shared" si="42"/>
        <v>70.309328022108858</v>
      </c>
      <c r="K177" s="62">
        <f t="shared" si="42"/>
        <v>45.021531378507184</v>
      </c>
      <c r="L177" s="62">
        <f t="shared" si="42"/>
        <v>56.653587275795445</v>
      </c>
      <c r="M177" s="62">
        <f t="shared" si="42"/>
        <v>56.576309725498128</v>
      </c>
      <c r="N177" s="62">
        <f t="shared" si="42"/>
        <v>64.09003141865702</v>
      </c>
      <c r="O177" s="62">
        <f t="shared" si="42"/>
        <v>59.174585735854293</v>
      </c>
      <c r="P177" s="62">
        <f t="shared" si="42"/>
        <v>67.468494133655469</v>
      </c>
      <c r="Q177" s="62">
        <f t="shared" si="42"/>
        <v>67.788228180114146</v>
      </c>
      <c r="R177" s="62">
        <f t="shared" si="42"/>
        <v>66.194138889767402</v>
      </c>
      <c r="S177" s="62">
        <f t="shared" si="42"/>
        <v>70.188225034317938</v>
      </c>
      <c r="T177" s="62">
        <f t="shared" si="42"/>
        <v>87.497150844965404</v>
      </c>
      <c r="U177" s="62">
        <f t="shared" si="42"/>
        <v>87.716538257088757</v>
      </c>
      <c r="V177" s="62">
        <f t="shared" si="42"/>
        <v>90.552219750911661</v>
      </c>
    </row>
    <row r="178" spans="3:22" x14ac:dyDescent="0.2">
      <c r="C178" s="87" t="s">
        <v>133</v>
      </c>
      <c r="D178" s="60">
        <f t="shared" ref="D178:V178" si="43">+IFERROR(IF(D140&gt;0,+((D140/D23)*100)," "),"")</f>
        <v>52.553481328482718</v>
      </c>
      <c r="E178" s="60">
        <f t="shared" si="43"/>
        <v>35.800962077352047</v>
      </c>
      <c r="F178" s="60">
        <f t="shared" si="43"/>
        <v>80.564981052894552</v>
      </c>
      <c r="G178" s="60">
        <f t="shared" si="43"/>
        <v>22.884744871018395</v>
      </c>
      <c r="H178" s="60">
        <f t="shared" si="43"/>
        <v>48.84364355112362</v>
      </c>
      <c r="I178" s="60">
        <f t="shared" si="43"/>
        <v>86.087517775362642</v>
      </c>
      <c r="J178" s="60">
        <f t="shared" si="43"/>
        <v>54.196636793159612</v>
      </c>
      <c r="K178" s="60">
        <f t="shared" si="43"/>
        <v>77.420664833145494</v>
      </c>
      <c r="L178" s="60">
        <f t="shared" si="43"/>
        <v>91.152276231222658</v>
      </c>
      <c r="M178" s="60">
        <f t="shared" si="43"/>
        <v>89.260221023435705</v>
      </c>
      <c r="N178" s="60">
        <f t="shared" si="43"/>
        <v>79.718697144821988</v>
      </c>
      <c r="O178" s="60">
        <f t="shared" si="43"/>
        <v>66.458407584809549</v>
      </c>
      <c r="P178" s="60">
        <f t="shared" si="43"/>
        <v>76.300217875777946</v>
      </c>
      <c r="Q178" s="60">
        <f t="shared" si="43"/>
        <v>50.570463680902492</v>
      </c>
      <c r="R178" s="60">
        <f t="shared" si="43"/>
        <v>80.91627052825423</v>
      </c>
      <c r="S178" s="60">
        <f t="shared" si="43"/>
        <v>43.623928022171164</v>
      </c>
      <c r="T178" s="60">
        <f t="shared" si="43"/>
        <v>35.733116605761992</v>
      </c>
      <c r="U178" s="60">
        <f t="shared" si="43"/>
        <v>74.619952577628297</v>
      </c>
      <c r="V178" s="60">
        <f t="shared" si="43"/>
        <v>75.61850808125935</v>
      </c>
    </row>
    <row r="179" spans="3:22" x14ac:dyDescent="0.2">
      <c r="C179" s="88" t="s">
        <v>134</v>
      </c>
      <c r="D179" s="62">
        <f t="shared" ref="D179:V179" si="44">+IFERROR(IF(D141&gt;0,+((D141/D24)*100)," "),"")</f>
        <v>70.727147919464699</v>
      </c>
      <c r="E179" s="62">
        <f t="shared" si="44"/>
        <v>86.829810345978032</v>
      </c>
      <c r="F179" s="62">
        <f t="shared" si="44"/>
        <v>84.459364733187741</v>
      </c>
      <c r="G179" s="62">
        <f t="shared" si="44"/>
        <v>86.157490926866672</v>
      </c>
      <c r="H179" s="62">
        <f t="shared" si="44"/>
        <v>86.478310809965379</v>
      </c>
      <c r="I179" s="62">
        <f t="shared" si="44"/>
        <v>79.052801947778093</v>
      </c>
      <c r="J179" s="62">
        <f t="shared" si="44"/>
        <v>87.735998537691813</v>
      </c>
      <c r="K179" s="62">
        <f t="shared" si="44"/>
        <v>83.899703924042015</v>
      </c>
      <c r="L179" s="62">
        <f t="shared" si="44"/>
        <v>88.160880745647404</v>
      </c>
      <c r="M179" s="62">
        <f t="shared" si="44"/>
        <v>86.181901926810923</v>
      </c>
      <c r="N179" s="62">
        <f t="shared" si="44"/>
        <v>88.534874536846942</v>
      </c>
      <c r="O179" s="62">
        <f t="shared" si="44"/>
        <v>89.66416585208664</v>
      </c>
      <c r="P179" s="62">
        <f t="shared" si="44"/>
        <v>88.316027820535368</v>
      </c>
      <c r="Q179" s="62">
        <f t="shared" si="44"/>
        <v>78.702185762368913</v>
      </c>
      <c r="R179" s="62">
        <f t="shared" si="44"/>
        <v>72.357870648530067</v>
      </c>
      <c r="S179" s="62">
        <f t="shared" si="44"/>
        <v>70.552654421857113</v>
      </c>
      <c r="T179" s="62">
        <f t="shared" si="44"/>
        <v>76.049025178539935</v>
      </c>
      <c r="U179" s="62">
        <f t="shared" si="44"/>
        <v>76.947263702723205</v>
      </c>
      <c r="V179" s="62">
        <f t="shared" si="44"/>
        <v>78.552886277073313</v>
      </c>
    </row>
    <row r="180" spans="3:22" x14ac:dyDescent="0.2">
      <c r="C180" s="87" t="s">
        <v>135</v>
      </c>
      <c r="D180" s="60" t="str">
        <f t="shared" ref="D180:V180" si="45">+IFERROR(IF(D142&gt;0,+((D142/D25)*100)," "),"")</f>
        <v xml:space="preserve"> </v>
      </c>
      <c r="E180" s="60" t="str">
        <f t="shared" si="45"/>
        <v xml:space="preserve"> </v>
      </c>
      <c r="F180" s="60" t="str">
        <f t="shared" si="45"/>
        <v xml:space="preserve"> </v>
      </c>
      <c r="G180" s="60" t="str">
        <f t="shared" si="45"/>
        <v xml:space="preserve"> </v>
      </c>
      <c r="H180" s="60" t="str">
        <f t="shared" si="45"/>
        <v xml:space="preserve"> </v>
      </c>
      <c r="I180" s="60" t="str">
        <f t="shared" si="45"/>
        <v xml:space="preserve"> </v>
      </c>
      <c r="J180" s="60" t="str">
        <f t="shared" si="45"/>
        <v xml:space="preserve"> </v>
      </c>
      <c r="K180" s="60" t="str">
        <f t="shared" si="45"/>
        <v xml:space="preserve"> </v>
      </c>
      <c r="L180" s="60" t="str">
        <f t="shared" si="45"/>
        <v xml:space="preserve"> </v>
      </c>
      <c r="M180" s="60" t="str">
        <f t="shared" si="45"/>
        <v xml:space="preserve"> </v>
      </c>
      <c r="N180" s="60" t="str">
        <f t="shared" si="45"/>
        <v xml:space="preserve"> </v>
      </c>
      <c r="O180" s="60" t="str">
        <f t="shared" si="45"/>
        <v xml:space="preserve"> </v>
      </c>
      <c r="P180" s="60" t="str">
        <f t="shared" si="45"/>
        <v xml:space="preserve"> </v>
      </c>
      <c r="Q180" s="60" t="str">
        <f t="shared" si="45"/>
        <v xml:space="preserve"> </v>
      </c>
      <c r="R180" s="60" t="str">
        <f t="shared" si="45"/>
        <v xml:space="preserve"> </v>
      </c>
      <c r="S180" s="60" t="str">
        <f t="shared" si="45"/>
        <v xml:space="preserve"> </v>
      </c>
      <c r="T180" s="60" t="str">
        <f t="shared" si="45"/>
        <v xml:space="preserve"> </v>
      </c>
      <c r="U180" s="60" t="str">
        <f t="shared" si="45"/>
        <v xml:space="preserve"> </v>
      </c>
      <c r="V180" s="60" t="str">
        <f t="shared" si="45"/>
        <v xml:space="preserve"> </v>
      </c>
    </row>
    <row r="181" spans="3:22" x14ac:dyDescent="0.2">
      <c r="C181" s="88" t="s">
        <v>136</v>
      </c>
      <c r="D181" s="62">
        <f t="shared" ref="D181:V181" si="46">+IFERROR(IF(D143&gt;0,+((D143/D26)*100)," "),"")</f>
        <v>81.205094898589479</v>
      </c>
      <c r="E181" s="62">
        <f t="shared" si="46"/>
        <v>77.291588332212285</v>
      </c>
      <c r="F181" s="62">
        <f t="shared" si="46"/>
        <v>81.999967347989667</v>
      </c>
      <c r="G181" s="62">
        <f t="shared" si="46"/>
        <v>84.415919348367993</v>
      </c>
      <c r="H181" s="62">
        <f t="shared" si="46"/>
        <v>90.769744518475861</v>
      </c>
      <c r="I181" s="62">
        <f t="shared" si="46"/>
        <v>89.792574096764866</v>
      </c>
      <c r="J181" s="62">
        <f t="shared" si="46"/>
        <v>83.157991746368211</v>
      </c>
      <c r="K181" s="62">
        <f t="shared" si="46"/>
        <v>88.750264323742925</v>
      </c>
      <c r="L181" s="62">
        <f t="shared" si="46"/>
        <v>93.880453229062553</v>
      </c>
      <c r="M181" s="62">
        <f t="shared" si="46"/>
        <v>94.462353824745151</v>
      </c>
      <c r="N181" s="62">
        <f t="shared" si="46"/>
        <v>92.143236303380789</v>
      </c>
      <c r="O181" s="62">
        <f t="shared" si="46"/>
        <v>81.898989894215191</v>
      </c>
      <c r="P181" s="62">
        <f t="shared" si="46"/>
        <v>91.840733176487902</v>
      </c>
      <c r="Q181" s="62">
        <f t="shared" si="46"/>
        <v>92.624895269548972</v>
      </c>
      <c r="R181" s="62">
        <f t="shared" si="46"/>
        <v>92.012663585482173</v>
      </c>
      <c r="S181" s="62">
        <f t="shared" si="46"/>
        <v>89.939857939514695</v>
      </c>
      <c r="T181" s="62">
        <f t="shared" si="46"/>
        <v>95.589315715390271</v>
      </c>
      <c r="U181" s="62">
        <f t="shared" si="46"/>
        <v>96.689770377712094</v>
      </c>
      <c r="V181" s="62">
        <f t="shared" si="46"/>
        <v>93.62258738370609</v>
      </c>
    </row>
    <row r="182" spans="3:22" x14ac:dyDescent="0.2">
      <c r="C182" s="87" t="s">
        <v>137</v>
      </c>
      <c r="D182" s="60">
        <f t="shared" ref="D182:V182" si="47">+IFERROR(IF(D144&gt;0,+((D144/D27)*100)," "),"")</f>
        <v>77.197482359018593</v>
      </c>
      <c r="E182" s="60">
        <f t="shared" si="47"/>
        <v>68.38047529846375</v>
      </c>
      <c r="F182" s="60">
        <f t="shared" si="47"/>
        <v>79.26508502443896</v>
      </c>
      <c r="G182" s="60">
        <f t="shared" si="47"/>
        <v>64.34145146799878</v>
      </c>
      <c r="H182" s="60">
        <f t="shared" si="47"/>
        <v>53.565779421491122</v>
      </c>
      <c r="I182" s="60">
        <f t="shared" si="47"/>
        <v>42.149564407414367</v>
      </c>
      <c r="J182" s="60">
        <f t="shared" si="47"/>
        <v>66.912099557642122</v>
      </c>
      <c r="K182" s="60">
        <f t="shared" si="47"/>
        <v>91.571882216177514</v>
      </c>
      <c r="L182" s="60">
        <f t="shared" si="47"/>
        <v>74.833874245985982</v>
      </c>
      <c r="M182" s="60">
        <f t="shared" si="47"/>
        <v>78.182809971611121</v>
      </c>
      <c r="N182" s="60">
        <f t="shared" si="47"/>
        <v>56.849146488660132</v>
      </c>
      <c r="O182" s="60">
        <f t="shared" si="47"/>
        <v>67.159746126752282</v>
      </c>
      <c r="P182" s="60">
        <f t="shared" si="47"/>
        <v>74.657415862976436</v>
      </c>
      <c r="Q182" s="60">
        <f t="shared" si="47"/>
        <v>72.465118361400755</v>
      </c>
      <c r="R182" s="60">
        <f t="shared" si="47"/>
        <v>86.321681019946411</v>
      </c>
      <c r="S182" s="60">
        <f t="shared" si="47"/>
        <v>82.958915640436487</v>
      </c>
      <c r="T182" s="60">
        <f t="shared" si="47"/>
        <v>83.780861586809991</v>
      </c>
      <c r="U182" s="60">
        <f t="shared" si="47"/>
        <v>82.530469256481766</v>
      </c>
      <c r="V182" s="60">
        <f t="shared" si="47"/>
        <v>73.953536768442149</v>
      </c>
    </row>
    <row r="183" spans="3:22" x14ac:dyDescent="0.2">
      <c r="C183" s="88" t="s">
        <v>138</v>
      </c>
      <c r="D183" s="62">
        <f t="shared" ref="D183:V183" si="48">+IFERROR(IF(D145&gt;0,+((D145/D28)*100)," "),"")</f>
        <v>87.891156093353601</v>
      </c>
      <c r="E183" s="62">
        <f t="shared" si="48"/>
        <v>78.421866915792748</v>
      </c>
      <c r="F183" s="62">
        <f t="shared" si="48"/>
        <v>81.158114181792115</v>
      </c>
      <c r="G183" s="62">
        <f t="shared" si="48"/>
        <v>39.547368579605561</v>
      </c>
      <c r="H183" s="62">
        <f t="shared" si="48"/>
        <v>51.756929298003008</v>
      </c>
      <c r="I183" s="62">
        <f t="shared" si="48"/>
        <v>39.714991210778258</v>
      </c>
      <c r="J183" s="62">
        <f t="shared" si="48"/>
        <v>30.216043342981401</v>
      </c>
      <c r="K183" s="62">
        <f t="shared" si="48"/>
        <v>78.463916563835483</v>
      </c>
      <c r="L183" s="62">
        <f t="shared" si="48"/>
        <v>76.428603334127189</v>
      </c>
      <c r="M183" s="62">
        <f t="shared" si="48"/>
        <v>54.12402517945565</v>
      </c>
      <c r="N183" s="62">
        <f t="shared" si="48"/>
        <v>47.460293053205163</v>
      </c>
      <c r="O183" s="62">
        <f t="shared" si="48"/>
        <v>53.305786102248533</v>
      </c>
      <c r="P183" s="62">
        <f t="shared" si="48"/>
        <v>84.751262351215843</v>
      </c>
      <c r="Q183" s="62">
        <f t="shared" si="48"/>
        <v>93.339668785257075</v>
      </c>
      <c r="R183" s="62">
        <f t="shared" si="48"/>
        <v>81.171713396320442</v>
      </c>
      <c r="S183" s="62" t="str">
        <f t="shared" si="48"/>
        <v xml:space="preserve"> </v>
      </c>
      <c r="T183" s="62" t="str">
        <f t="shared" si="48"/>
        <v xml:space="preserve"> </v>
      </c>
      <c r="U183" s="62" t="str">
        <f t="shared" si="48"/>
        <v xml:space="preserve"> </v>
      </c>
      <c r="V183" s="62" t="str">
        <f t="shared" si="48"/>
        <v xml:space="preserve"> </v>
      </c>
    </row>
    <row r="184" spans="3:22" x14ac:dyDescent="0.2">
      <c r="C184" s="87" t="s">
        <v>139</v>
      </c>
      <c r="D184" s="60">
        <f t="shared" ref="D184:V184" si="49">+IFERROR(IF(D146&gt;0,+((D146/D29)*100)," "),"")</f>
        <v>81.513672390714561</v>
      </c>
      <c r="E184" s="60">
        <f t="shared" si="49"/>
        <v>68.010691780678016</v>
      </c>
      <c r="F184" s="60">
        <f t="shared" si="49"/>
        <v>82.321951321188308</v>
      </c>
      <c r="G184" s="60">
        <f t="shared" si="49"/>
        <v>73.76014062459204</v>
      </c>
      <c r="H184" s="60">
        <f t="shared" si="49"/>
        <v>55.55829008744815</v>
      </c>
      <c r="I184" s="60">
        <f t="shared" si="49"/>
        <v>82.822231216585422</v>
      </c>
      <c r="J184" s="60">
        <f t="shared" si="49"/>
        <v>75.5567199836306</v>
      </c>
      <c r="K184" s="60">
        <f t="shared" si="49"/>
        <v>73.100402114202353</v>
      </c>
      <c r="L184" s="60">
        <f t="shared" si="49"/>
        <v>86.18263620529379</v>
      </c>
      <c r="M184" s="60">
        <f t="shared" si="49"/>
        <v>73.6722943042232</v>
      </c>
      <c r="N184" s="60">
        <f t="shared" si="49"/>
        <v>71.092967533130633</v>
      </c>
      <c r="O184" s="60">
        <f t="shared" si="49"/>
        <v>77.026096276740205</v>
      </c>
      <c r="P184" s="60">
        <f t="shared" si="49"/>
        <v>78.816737405659566</v>
      </c>
      <c r="Q184" s="60">
        <f t="shared" si="49"/>
        <v>86.019007374230469</v>
      </c>
      <c r="R184" s="60">
        <f t="shared" si="49"/>
        <v>80.79622285152594</v>
      </c>
      <c r="S184" s="60">
        <f t="shared" si="49"/>
        <v>90.860831575307614</v>
      </c>
      <c r="T184" s="60">
        <f t="shared" si="49"/>
        <v>92.877853567874112</v>
      </c>
      <c r="U184" s="60">
        <f t="shared" si="49"/>
        <v>92.526254212335289</v>
      </c>
      <c r="V184" s="60">
        <f t="shared" si="49"/>
        <v>86.65890901189367</v>
      </c>
    </row>
    <row r="185" spans="3:22" x14ac:dyDescent="0.2">
      <c r="C185" s="88" t="s">
        <v>140</v>
      </c>
      <c r="D185" s="62">
        <f t="shared" ref="D185:V185" si="50">+IFERROR(IF(D147&gt;0,+((D147/D30)*100)," "),"")</f>
        <v>60.831065405883514</v>
      </c>
      <c r="E185" s="62">
        <f t="shared" si="50"/>
        <v>50.49572047156272</v>
      </c>
      <c r="F185" s="62">
        <f t="shared" si="50"/>
        <v>47.111630631219228</v>
      </c>
      <c r="G185" s="62">
        <f t="shared" si="50"/>
        <v>60.17554553847765</v>
      </c>
      <c r="H185" s="62">
        <f t="shared" si="50"/>
        <v>89.187741252839189</v>
      </c>
      <c r="I185" s="62">
        <f t="shared" si="50"/>
        <v>90.65540023948661</v>
      </c>
      <c r="J185" s="62">
        <f t="shared" si="50"/>
        <v>63.263225985114779</v>
      </c>
      <c r="K185" s="62">
        <f t="shared" si="50"/>
        <v>70.171164146557956</v>
      </c>
      <c r="L185" s="62">
        <f t="shared" si="50"/>
        <v>79.395861341454633</v>
      </c>
      <c r="M185" s="62">
        <f t="shared" si="50"/>
        <v>70.2159575911015</v>
      </c>
      <c r="N185" s="62">
        <f t="shared" si="50"/>
        <v>86.191481887099002</v>
      </c>
      <c r="O185" s="62">
        <f t="shared" si="50"/>
        <v>87.790831960754971</v>
      </c>
      <c r="P185" s="62">
        <f t="shared" si="50"/>
        <v>75.939061036264661</v>
      </c>
      <c r="Q185" s="62">
        <f t="shared" si="50"/>
        <v>82.91312842971827</v>
      </c>
      <c r="R185" s="62">
        <f t="shared" si="50"/>
        <v>89.985205094672182</v>
      </c>
      <c r="S185" s="62">
        <f t="shared" si="50"/>
        <v>89.083903803079494</v>
      </c>
      <c r="T185" s="62">
        <f t="shared" si="50"/>
        <v>90.65523129789149</v>
      </c>
      <c r="U185" s="62">
        <f t="shared" si="50"/>
        <v>90.886765129851341</v>
      </c>
      <c r="V185" s="62">
        <f t="shared" si="50"/>
        <v>85.322623864322409</v>
      </c>
    </row>
    <row r="186" spans="3:22" x14ac:dyDescent="0.2">
      <c r="C186" s="87" t="s">
        <v>141</v>
      </c>
      <c r="D186" s="60">
        <f t="shared" ref="D186:V186" si="51">+IFERROR(IF(D148&gt;0,+((D148/D31)*100)," "),"")</f>
        <v>40.099885857587793</v>
      </c>
      <c r="E186" s="60">
        <f t="shared" si="51"/>
        <v>55.590019595145314</v>
      </c>
      <c r="F186" s="60">
        <f t="shared" si="51"/>
        <v>80.521333040894561</v>
      </c>
      <c r="G186" s="60">
        <f t="shared" si="51"/>
        <v>58.697548511446954</v>
      </c>
      <c r="H186" s="60">
        <f t="shared" si="51"/>
        <v>80.762605960055865</v>
      </c>
      <c r="I186" s="60">
        <f t="shared" si="51"/>
        <v>53.898699668523797</v>
      </c>
      <c r="J186" s="60">
        <f t="shared" si="51"/>
        <v>77.526295531689428</v>
      </c>
      <c r="K186" s="60">
        <f t="shared" si="51"/>
        <v>83.636831592162508</v>
      </c>
      <c r="L186" s="60">
        <f t="shared" si="51"/>
        <v>76.4503562966744</v>
      </c>
      <c r="M186" s="60">
        <f t="shared" si="51"/>
        <v>80.738393319210118</v>
      </c>
      <c r="N186" s="60">
        <f t="shared" si="51"/>
        <v>64.14485497714864</v>
      </c>
      <c r="O186" s="60">
        <f t="shared" si="51"/>
        <v>60.478906278820233</v>
      </c>
      <c r="P186" s="60">
        <f t="shared" si="51"/>
        <v>49.299034330424973</v>
      </c>
      <c r="Q186" s="60">
        <f t="shared" si="51"/>
        <v>53.790567974925409</v>
      </c>
      <c r="R186" s="60">
        <f t="shared" si="51"/>
        <v>60.3411115434034</v>
      </c>
      <c r="S186" s="60">
        <f t="shared" si="51"/>
        <v>82.172875174356491</v>
      </c>
      <c r="T186" s="60">
        <f t="shared" si="51"/>
        <v>67.005843732003711</v>
      </c>
      <c r="U186" s="60">
        <f t="shared" si="51"/>
        <v>74.166999276867912</v>
      </c>
      <c r="V186" s="60">
        <f t="shared" si="51"/>
        <v>78.447851172249457</v>
      </c>
    </row>
    <row r="187" spans="3:22" x14ac:dyDescent="0.2">
      <c r="C187" s="88" t="s">
        <v>142</v>
      </c>
      <c r="D187" s="62">
        <f t="shared" ref="D187:V187" si="52">+IFERROR(IF(D149&gt;0,+((D149/D32)*100)," "),"")</f>
        <v>90.171024853995547</v>
      </c>
      <c r="E187" s="62">
        <f t="shared" si="52"/>
        <v>90.202373222730643</v>
      </c>
      <c r="F187" s="62">
        <f t="shared" si="52"/>
        <v>77.376910338737304</v>
      </c>
      <c r="G187" s="62">
        <f t="shared" si="52"/>
        <v>66.563498351339476</v>
      </c>
      <c r="H187" s="62">
        <f t="shared" si="52"/>
        <v>71.769827006675442</v>
      </c>
      <c r="I187" s="62">
        <f t="shared" si="52"/>
        <v>72.114098765990363</v>
      </c>
      <c r="J187" s="62">
        <f t="shared" si="52"/>
        <v>65.345448194293255</v>
      </c>
      <c r="K187" s="62">
        <f t="shared" si="52"/>
        <v>73.964869718152627</v>
      </c>
      <c r="L187" s="62">
        <f t="shared" si="52"/>
        <v>82.364414432599105</v>
      </c>
      <c r="M187" s="62">
        <f t="shared" si="52"/>
        <v>74.843415858407397</v>
      </c>
      <c r="N187" s="62">
        <f t="shared" si="52"/>
        <v>88.389455962045432</v>
      </c>
      <c r="O187" s="62">
        <f t="shared" si="52"/>
        <v>84.141460754973323</v>
      </c>
      <c r="P187" s="62">
        <f t="shared" si="52"/>
        <v>88.488641461792682</v>
      </c>
      <c r="Q187" s="62">
        <f t="shared" si="52"/>
        <v>67.937078258736477</v>
      </c>
      <c r="R187" s="62">
        <f t="shared" si="52"/>
        <v>86.555652731362827</v>
      </c>
      <c r="S187" s="62">
        <f t="shared" si="52"/>
        <v>90.346033762244446</v>
      </c>
      <c r="T187" s="62">
        <f t="shared" si="52"/>
        <v>90.168724879848867</v>
      </c>
      <c r="U187" s="62">
        <f t="shared" si="52"/>
        <v>90.412472376312337</v>
      </c>
      <c r="V187" s="62">
        <f t="shared" si="52"/>
        <v>92.649242200131951</v>
      </c>
    </row>
    <row r="188" spans="3:22" x14ac:dyDescent="0.2">
      <c r="C188" s="87" t="s">
        <v>143</v>
      </c>
      <c r="D188" s="60">
        <f t="shared" ref="D188:V188" si="53">+IFERROR(IF(D150&gt;0,+((D150/D33)*100)," "),"")</f>
        <v>100</v>
      </c>
      <c r="E188" s="60" t="str">
        <f t="shared" si="53"/>
        <v xml:space="preserve"> </v>
      </c>
      <c r="F188" s="60" t="str">
        <f t="shared" si="53"/>
        <v xml:space="preserve"> </v>
      </c>
      <c r="G188" s="60" t="str">
        <f t="shared" si="53"/>
        <v xml:space="preserve"> </v>
      </c>
      <c r="H188" s="60">
        <f t="shared" si="53"/>
        <v>45.800545401914924</v>
      </c>
      <c r="I188" s="60">
        <f t="shared" si="53"/>
        <v>47.748295316648296</v>
      </c>
      <c r="J188" s="60" t="str">
        <f t="shared" si="53"/>
        <v xml:space="preserve"> </v>
      </c>
      <c r="K188" s="60" t="str">
        <f t="shared" si="53"/>
        <v xml:space="preserve"> </v>
      </c>
      <c r="L188" s="60" t="str">
        <f t="shared" si="53"/>
        <v xml:space="preserve"> </v>
      </c>
      <c r="M188" s="60" t="str">
        <f t="shared" si="53"/>
        <v xml:space="preserve"> </v>
      </c>
      <c r="N188" s="60" t="str">
        <f t="shared" si="53"/>
        <v xml:space="preserve"> </v>
      </c>
      <c r="O188" s="60" t="str">
        <f t="shared" si="53"/>
        <v xml:space="preserve"> </v>
      </c>
      <c r="P188" s="60">
        <f t="shared" si="53"/>
        <v>0.24506109648653229</v>
      </c>
      <c r="Q188" s="60">
        <f t="shared" si="53"/>
        <v>51.38679410756307</v>
      </c>
      <c r="R188" s="60">
        <f t="shared" si="53"/>
        <v>86.584385409221255</v>
      </c>
      <c r="S188" s="60">
        <f t="shared" si="53"/>
        <v>6.6876714415231184</v>
      </c>
      <c r="T188" s="60">
        <f t="shared" si="53"/>
        <v>98.348445300374493</v>
      </c>
      <c r="U188" s="60">
        <f t="shared" si="53"/>
        <v>93.554999847112668</v>
      </c>
      <c r="V188" s="60">
        <f t="shared" si="53"/>
        <v>36.25714181415178</v>
      </c>
    </row>
    <row r="189" spans="3:22" x14ac:dyDescent="0.2">
      <c r="C189" s="88" t="s">
        <v>144</v>
      </c>
      <c r="D189" s="62" t="str">
        <f t="shared" ref="D189:V189" si="54">+IFERROR(IF(D151&gt;0,+((D151/D34)*100)," "),"")</f>
        <v xml:space="preserve"> </v>
      </c>
      <c r="E189" s="62" t="str">
        <f t="shared" si="54"/>
        <v xml:space="preserve"> </v>
      </c>
      <c r="F189" s="62" t="str">
        <f t="shared" si="54"/>
        <v xml:space="preserve"> </v>
      </c>
      <c r="G189" s="62" t="str">
        <f t="shared" si="54"/>
        <v xml:space="preserve"> </v>
      </c>
      <c r="H189" s="62" t="str">
        <f t="shared" si="54"/>
        <v xml:space="preserve"> </v>
      </c>
      <c r="I189" s="62" t="str">
        <f t="shared" si="54"/>
        <v xml:space="preserve"> </v>
      </c>
      <c r="J189" s="62" t="str">
        <f t="shared" si="54"/>
        <v xml:space="preserve"> </v>
      </c>
      <c r="K189" s="62" t="str">
        <f t="shared" si="54"/>
        <v xml:space="preserve"> </v>
      </c>
      <c r="L189" s="62" t="str">
        <f t="shared" si="54"/>
        <v xml:space="preserve"> </v>
      </c>
      <c r="M189" s="62" t="str">
        <f t="shared" si="54"/>
        <v xml:space="preserve"> </v>
      </c>
      <c r="N189" s="62" t="str">
        <f t="shared" si="54"/>
        <v xml:space="preserve"> </v>
      </c>
      <c r="O189" s="62" t="str">
        <f t="shared" si="54"/>
        <v xml:space="preserve"> </v>
      </c>
      <c r="P189" s="62" t="str">
        <f t="shared" si="54"/>
        <v xml:space="preserve"> </v>
      </c>
      <c r="Q189" s="62" t="str">
        <f t="shared" si="54"/>
        <v xml:space="preserve"> </v>
      </c>
      <c r="R189" s="62" t="str">
        <f t="shared" si="54"/>
        <v xml:space="preserve"> </v>
      </c>
      <c r="S189" s="62" t="str">
        <f t="shared" si="54"/>
        <v xml:space="preserve"> </v>
      </c>
      <c r="T189" s="62" t="str">
        <f t="shared" si="54"/>
        <v xml:space="preserve"> </v>
      </c>
      <c r="U189" s="62" t="str">
        <f t="shared" si="54"/>
        <v xml:space="preserve"> </v>
      </c>
      <c r="V189" s="62" t="str">
        <f t="shared" si="54"/>
        <v xml:space="preserve"> </v>
      </c>
    </row>
    <row r="190" spans="3:22" x14ac:dyDescent="0.2">
      <c r="C190" s="87" t="s">
        <v>145</v>
      </c>
      <c r="D190" s="60">
        <f t="shared" ref="D190:V190" si="55">+IFERROR(IF(D152&gt;0,+((D152/D35)*100)," "),"")</f>
        <v>76.715174852135178</v>
      </c>
      <c r="E190" s="60">
        <f t="shared" si="55"/>
        <v>48.270022872007459</v>
      </c>
      <c r="F190" s="60">
        <f t="shared" si="55"/>
        <v>75.92944434660555</v>
      </c>
      <c r="G190" s="60">
        <f t="shared" si="55"/>
        <v>60.416429043814148</v>
      </c>
      <c r="H190" s="60">
        <f t="shared" si="55"/>
        <v>30.248479157857645</v>
      </c>
      <c r="I190" s="60">
        <f t="shared" si="55"/>
        <v>75.626311995973069</v>
      </c>
      <c r="J190" s="60">
        <f t="shared" si="55"/>
        <v>55.084540254114103</v>
      </c>
      <c r="K190" s="60">
        <f t="shared" si="55"/>
        <v>63.336274025875618</v>
      </c>
      <c r="L190" s="60">
        <f t="shared" si="55"/>
        <v>67.370773224593023</v>
      </c>
      <c r="M190" s="60">
        <f t="shared" si="55"/>
        <v>78.172867587151828</v>
      </c>
      <c r="N190" s="60">
        <f t="shared" si="55"/>
        <v>50.771280707125356</v>
      </c>
      <c r="O190" s="60">
        <f t="shared" si="55"/>
        <v>48.081746637986733</v>
      </c>
      <c r="P190" s="60">
        <f t="shared" si="55"/>
        <v>58.947648449335603</v>
      </c>
      <c r="Q190" s="60">
        <f t="shared" si="55"/>
        <v>65.708381890407608</v>
      </c>
      <c r="R190" s="60">
        <f t="shared" si="55"/>
        <v>81.639310752974637</v>
      </c>
      <c r="S190" s="60">
        <f t="shared" si="55"/>
        <v>80.676574003238699</v>
      </c>
      <c r="T190" s="60">
        <f t="shared" si="55"/>
        <v>90.670507932825913</v>
      </c>
      <c r="U190" s="60">
        <f t="shared" si="55"/>
        <v>94.974449089689344</v>
      </c>
      <c r="V190" s="60">
        <f t="shared" si="55"/>
        <v>81.488823693121262</v>
      </c>
    </row>
    <row r="191" spans="3:22" x14ac:dyDescent="0.2">
      <c r="C191" s="88" t="s">
        <v>146</v>
      </c>
      <c r="D191" s="62">
        <f t="shared" ref="D191:V191" si="56">+IFERROR(IF(D153&gt;0,+((D153/D36)*100)," "),"")</f>
        <v>94.913887531198839</v>
      </c>
      <c r="E191" s="62">
        <f t="shared" si="56"/>
        <v>86.654814939135278</v>
      </c>
      <c r="F191" s="62">
        <f t="shared" si="56"/>
        <v>84.391943518981122</v>
      </c>
      <c r="G191" s="62">
        <f t="shared" si="56"/>
        <v>88.861093253864226</v>
      </c>
      <c r="H191" s="62">
        <f t="shared" si="56"/>
        <v>77.519971710199968</v>
      </c>
      <c r="I191" s="62">
        <f t="shared" si="56"/>
        <v>86.382684054474794</v>
      </c>
      <c r="J191" s="62">
        <f t="shared" si="56"/>
        <v>73.086633294692106</v>
      </c>
      <c r="K191" s="62">
        <f t="shared" si="56"/>
        <v>86.111097966189035</v>
      </c>
      <c r="L191" s="62">
        <f t="shared" si="56"/>
        <v>81.173466129016077</v>
      </c>
      <c r="M191" s="62">
        <f t="shared" si="56"/>
        <v>93.162224205498745</v>
      </c>
      <c r="N191" s="62">
        <f t="shared" si="56"/>
        <v>87.889822144656691</v>
      </c>
      <c r="O191" s="62">
        <f t="shared" si="56"/>
        <v>94.471255044551071</v>
      </c>
      <c r="P191" s="62">
        <f t="shared" si="56"/>
        <v>96.486067350672073</v>
      </c>
      <c r="Q191" s="62">
        <f t="shared" si="56"/>
        <v>97.224211534149205</v>
      </c>
      <c r="R191" s="62">
        <f t="shared" si="56"/>
        <v>97.885928563566068</v>
      </c>
      <c r="S191" s="62">
        <f t="shared" si="56"/>
        <v>98.471946616625402</v>
      </c>
      <c r="T191" s="62">
        <f t="shared" si="56"/>
        <v>99.070835955329898</v>
      </c>
      <c r="U191" s="62">
        <f t="shared" si="56"/>
        <v>95.715623460389907</v>
      </c>
      <c r="V191" s="62">
        <f t="shared" si="56"/>
        <v>82.378909744742003</v>
      </c>
    </row>
    <row r="192" spans="3:22" x14ac:dyDescent="0.2">
      <c r="C192" s="90" t="s">
        <v>147</v>
      </c>
      <c r="D192" s="61">
        <f t="shared" ref="D192:V192" si="57">+IFERROR(IF(D154&gt;0,+((D154/D37)*100)," "),"")</f>
        <v>72.205228217425784</v>
      </c>
      <c r="E192" s="61">
        <f t="shared" si="57"/>
        <v>80.155379077793128</v>
      </c>
      <c r="F192" s="61">
        <f t="shared" si="57"/>
        <v>77.623420979904438</v>
      </c>
      <c r="G192" s="61">
        <f t="shared" si="57"/>
        <v>72.395669644465031</v>
      </c>
      <c r="H192" s="61">
        <f t="shared" si="57"/>
        <v>72.65568699846969</v>
      </c>
      <c r="I192" s="61">
        <f t="shared" si="57"/>
        <v>75.106096690290968</v>
      </c>
      <c r="J192" s="61">
        <f t="shared" si="57"/>
        <v>75.593976971552479</v>
      </c>
      <c r="K192" s="61">
        <f t="shared" si="57"/>
        <v>85.4181259893804</v>
      </c>
      <c r="L192" s="61">
        <f t="shared" si="57"/>
        <v>91.831336486410677</v>
      </c>
      <c r="M192" s="61">
        <f t="shared" si="57"/>
        <v>88.182259000063212</v>
      </c>
      <c r="N192" s="61">
        <f t="shared" si="57"/>
        <v>88.250518385671612</v>
      </c>
      <c r="O192" s="61">
        <f t="shared" si="57"/>
        <v>79.011294732924355</v>
      </c>
      <c r="P192" s="61">
        <f t="shared" si="57"/>
        <v>86.96501426578736</v>
      </c>
      <c r="Q192" s="61">
        <f t="shared" si="57"/>
        <v>90.13665930694485</v>
      </c>
      <c r="R192" s="61">
        <f t="shared" si="57"/>
        <v>88.367233039030154</v>
      </c>
      <c r="S192" s="61">
        <f t="shared" si="57"/>
        <v>91.526425502668175</v>
      </c>
      <c r="T192" s="61">
        <f t="shared" si="57"/>
        <v>90.894955055026116</v>
      </c>
      <c r="U192" s="61">
        <f t="shared" si="57"/>
        <v>91.34393459935626</v>
      </c>
      <c r="V192" s="61">
        <f t="shared" si="57"/>
        <v>86.595850686917188</v>
      </c>
    </row>
    <row r="193" spans="3:22" ht="22.5" customHeight="1" x14ac:dyDescent="0.2">
      <c r="C193" s="89" t="s">
        <v>148</v>
      </c>
      <c r="D193" s="63" t="str">
        <f t="shared" ref="D193:V193" si="58">+IFERROR(IF(D155&gt;0,+((D155/D38)*100)," "),"")</f>
        <v xml:space="preserve"> </v>
      </c>
      <c r="E193" s="63" t="str">
        <f t="shared" si="58"/>
        <v xml:space="preserve"> </v>
      </c>
      <c r="F193" s="63" t="str">
        <f t="shared" si="58"/>
        <v xml:space="preserve"> </v>
      </c>
      <c r="G193" s="63" t="str">
        <f t="shared" si="58"/>
        <v xml:space="preserve"> </v>
      </c>
      <c r="H193" s="63" t="str">
        <f t="shared" si="58"/>
        <v xml:space="preserve"> </v>
      </c>
      <c r="I193" s="63" t="str">
        <f t="shared" si="58"/>
        <v xml:space="preserve"> </v>
      </c>
      <c r="J193" s="63" t="str">
        <f t="shared" si="58"/>
        <v xml:space="preserve"> </v>
      </c>
      <c r="K193" s="63" t="str">
        <f t="shared" si="58"/>
        <v xml:space="preserve"> </v>
      </c>
      <c r="L193" s="63" t="str">
        <f t="shared" si="58"/>
        <v xml:space="preserve"> </v>
      </c>
      <c r="M193" s="63" t="str">
        <f t="shared" si="58"/>
        <v xml:space="preserve"> </v>
      </c>
      <c r="N193" s="63" t="str">
        <f t="shared" si="58"/>
        <v xml:space="preserve"> </v>
      </c>
      <c r="O193" s="63" t="str">
        <f t="shared" si="58"/>
        <v xml:space="preserve"> </v>
      </c>
      <c r="P193" s="63" t="str">
        <f t="shared" si="58"/>
        <v xml:space="preserve"> </v>
      </c>
      <c r="Q193" s="63" t="str">
        <f t="shared" si="58"/>
        <v xml:space="preserve"> </v>
      </c>
      <c r="R193" s="63" t="str">
        <f t="shared" si="58"/>
        <v xml:space="preserve"> </v>
      </c>
      <c r="S193" s="63" t="str">
        <f t="shared" si="58"/>
        <v xml:space="preserve"> </v>
      </c>
      <c r="T193" s="63" t="str">
        <f t="shared" si="58"/>
        <v xml:space="preserve"> </v>
      </c>
      <c r="U193" s="63" t="str">
        <f t="shared" si="58"/>
        <v xml:space="preserve"> </v>
      </c>
      <c r="V193" s="63" t="str">
        <f t="shared" si="58"/>
        <v xml:space="preserve"> </v>
      </c>
    </row>
    <row r="194" spans="3:22" x14ac:dyDescent="0.2">
      <c r="C194" s="87" t="s">
        <v>149</v>
      </c>
      <c r="D194" s="60">
        <f t="shared" ref="D194:V194" si="59">+IFERROR(IF(D156&gt;0,+((D156/D39)*100)," "),"")</f>
        <v>55.445767529798708</v>
      </c>
      <c r="E194" s="60">
        <f t="shared" si="59"/>
        <v>47.698272086654995</v>
      </c>
      <c r="F194" s="60">
        <f t="shared" si="59"/>
        <v>36.072430334624187</v>
      </c>
      <c r="G194" s="60">
        <f t="shared" si="59"/>
        <v>44.117407708246162</v>
      </c>
      <c r="H194" s="60">
        <f t="shared" si="59"/>
        <v>67.430168381822824</v>
      </c>
      <c r="I194" s="60">
        <f t="shared" si="59"/>
        <v>22.389638328630291</v>
      </c>
      <c r="J194" s="60">
        <f t="shared" si="59"/>
        <v>65.890010265894801</v>
      </c>
      <c r="K194" s="60">
        <f t="shared" si="59"/>
        <v>77.689189026956655</v>
      </c>
      <c r="L194" s="60">
        <f t="shared" si="59"/>
        <v>80.015531988851649</v>
      </c>
      <c r="M194" s="60">
        <f t="shared" si="59"/>
        <v>77.127520274604493</v>
      </c>
      <c r="N194" s="60">
        <f t="shared" si="59"/>
        <v>83.476492668875281</v>
      </c>
      <c r="O194" s="60">
        <f t="shared" si="59"/>
        <v>86.035997059606544</v>
      </c>
      <c r="P194" s="60">
        <f t="shared" si="59"/>
        <v>98.239270369015571</v>
      </c>
      <c r="Q194" s="60">
        <f t="shared" si="59"/>
        <v>88.207269262457515</v>
      </c>
      <c r="R194" s="60">
        <f t="shared" si="59"/>
        <v>93.447957862653539</v>
      </c>
      <c r="S194" s="60">
        <f t="shared" si="59"/>
        <v>89.720153075907703</v>
      </c>
      <c r="T194" s="60">
        <f t="shared" si="59"/>
        <v>96.280802966573759</v>
      </c>
      <c r="U194" s="60">
        <f t="shared" si="59"/>
        <v>90.351578721737894</v>
      </c>
      <c r="V194" s="60">
        <f t="shared" si="59"/>
        <v>88.566198421927282</v>
      </c>
    </row>
    <row r="195" spans="3:22" x14ac:dyDescent="0.2">
      <c r="C195" s="89" t="s">
        <v>150</v>
      </c>
      <c r="D195" s="63">
        <f t="shared" ref="D195:V195" si="60">+IFERROR(IF(D157&gt;0,+((D157/D40)*100)," "),"")</f>
        <v>83.316255829677246</v>
      </c>
      <c r="E195" s="63">
        <f t="shared" si="60"/>
        <v>82.128947474508252</v>
      </c>
      <c r="F195" s="63">
        <f t="shared" si="60"/>
        <v>53.963038032080298</v>
      </c>
      <c r="G195" s="63">
        <f t="shared" si="60"/>
        <v>70.706433900557357</v>
      </c>
      <c r="H195" s="63">
        <f t="shared" si="60"/>
        <v>66.361466419378729</v>
      </c>
      <c r="I195" s="63">
        <f t="shared" si="60"/>
        <v>75.210564533580566</v>
      </c>
      <c r="J195" s="63">
        <f t="shared" si="60"/>
        <v>69.412376569369087</v>
      </c>
      <c r="K195" s="63">
        <f t="shared" si="60"/>
        <v>84.274916640716711</v>
      </c>
      <c r="L195" s="63">
        <f t="shared" si="60"/>
        <v>81.16020322986472</v>
      </c>
      <c r="M195" s="63">
        <f t="shared" si="60"/>
        <v>70.014011845351007</v>
      </c>
      <c r="N195" s="63">
        <f t="shared" si="60"/>
        <v>62.93535641534033</v>
      </c>
      <c r="O195" s="63">
        <f t="shared" si="60"/>
        <v>64.856500714075381</v>
      </c>
      <c r="P195" s="63">
        <f t="shared" si="60"/>
        <v>74.903892219122753</v>
      </c>
      <c r="Q195" s="63">
        <f t="shared" si="60"/>
        <v>85.122479125427859</v>
      </c>
      <c r="R195" s="63">
        <f t="shared" si="60"/>
        <v>82.167033387100574</v>
      </c>
      <c r="S195" s="63">
        <f t="shared" si="60"/>
        <v>86.770532115755529</v>
      </c>
      <c r="T195" s="63">
        <f t="shared" si="60"/>
        <v>85.836727246052476</v>
      </c>
      <c r="U195" s="63">
        <f t="shared" si="60"/>
        <v>73.41925640579376</v>
      </c>
      <c r="V195" s="63">
        <f t="shared" si="60"/>
        <v>80.145309552977395</v>
      </c>
    </row>
    <row r="196" spans="3:22" x14ac:dyDescent="0.2">
      <c r="C196" s="87" t="s">
        <v>151</v>
      </c>
      <c r="D196" s="60">
        <f t="shared" ref="D196:V196" si="61">+IFERROR(IF(D158&gt;0,+((D158/D41)*100)," "),"")</f>
        <v>70.698558812525633</v>
      </c>
      <c r="E196" s="60">
        <f t="shared" si="61"/>
        <v>28.204403039503156</v>
      </c>
      <c r="F196" s="60">
        <f t="shared" si="61"/>
        <v>28.011622795795539</v>
      </c>
      <c r="G196" s="60">
        <f t="shared" si="61"/>
        <v>46.777545768732807</v>
      </c>
      <c r="H196" s="60">
        <f t="shared" si="61"/>
        <v>32.086861268811113</v>
      </c>
      <c r="I196" s="60">
        <f t="shared" si="61"/>
        <v>8.1388805353292071</v>
      </c>
      <c r="J196" s="60">
        <f t="shared" si="61"/>
        <v>24.499039710681693</v>
      </c>
      <c r="K196" s="60">
        <f t="shared" si="61"/>
        <v>56.292125523129734</v>
      </c>
      <c r="L196" s="60" t="str">
        <f t="shared" si="61"/>
        <v xml:space="preserve"> </v>
      </c>
      <c r="M196" s="60" t="str">
        <f t="shared" si="61"/>
        <v xml:space="preserve"> </v>
      </c>
      <c r="N196" s="60" t="str">
        <f t="shared" si="61"/>
        <v xml:space="preserve"> </v>
      </c>
      <c r="O196" s="60" t="str">
        <f t="shared" si="61"/>
        <v xml:space="preserve"> </v>
      </c>
      <c r="P196" s="60" t="str">
        <f t="shared" si="61"/>
        <v xml:space="preserve"> </v>
      </c>
      <c r="Q196" s="60" t="str">
        <f t="shared" si="61"/>
        <v xml:space="preserve"> </v>
      </c>
      <c r="R196" s="60" t="str">
        <f t="shared" si="61"/>
        <v xml:space="preserve"> </v>
      </c>
      <c r="S196" s="60" t="str">
        <f t="shared" si="61"/>
        <v xml:space="preserve"> </v>
      </c>
      <c r="T196" s="60" t="str">
        <f t="shared" si="61"/>
        <v xml:space="preserve"> </v>
      </c>
      <c r="U196" s="60" t="str">
        <f t="shared" si="61"/>
        <v xml:space="preserve"> </v>
      </c>
      <c r="V196" s="60" t="str">
        <f t="shared" si="61"/>
        <v xml:space="preserve"> </v>
      </c>
    </row>
    <row r="197" spans="3:22" x14ac:dyDescent="0.2">
      <c r="C197" s="79" t="s">
        <v>154</v>
      </c>
      <c r="D197" s="45">
        <f t="shared" ref="D197:V197" si="62">+IFERROR(IF(D159&gt;0,+((D159/D42)*100)," "),"")</f>
        <v>78.033103359019236</v>
      </c>
      <c r="E197" s="45">
        <f t="shared" si="62"/>
        <v>76.039861273506418</v>
      </c>
      <c r="F197" s="45">
        <f t="shared" si="62"/>
        <v>71.451547506130908</v>
      </c>
      <c r="G197" s="45">
        <f t="shared" si="62"/>
        <v>75.343731880636867</v>
      </c>
      <c r="H197" s="45">
        <f t="shared" si="62"/>
        <v>79.514390464521014</v>
      </c>
      <c r="I197" s="45">
        <f t="shared" si="62"/>
        <v>80.167753837145312</v>
      </c>
      <c r="J197" s="45">
        <f t="shared" si="62"/>
        <v>72.85083261876261</v>
      </c>
      <c r="K197" s="45">
        <f t="shared" si="62"/>
        <v>84.610112868582917</v>
      </c>
      <c r="L197" s="45">
        <f t="shared" si="62"/>
        <v>88.306715395704941</v>
      </c>
      <c r="M197" s="45">
        <f t="shared" si="62"/>
        <v>84.63353654016143</v>
      </c>
      <c r="N197" s="45">
        <f t="shared" si="62"/>
        <v>83.820447920694292</v>
      </c>
      <c r="O197" s="45">
        <f t="shared" si="62"/>
        <v>80.255531137895048</v>
      </c>
      <c r="P197" s="45">
        <f t="shared" si="62"/>
        <v>85.318849208071185</v>
      </c>
      <c r="Q197" s="45">
        <f t="shared" si="62"/>
        <v>87.384563756244191</v>
      </c>
      <c r="R197" s="45">
        <f t="shared" si="62"/>
        <v>87.907247530988485</v>
      </c>
      <c r="S197" s="45">
        <f t="shared" si="62"/>
        <v>88.241165729087015</v>
      </c>
      <c r="T197" s="45">
        <f t="shared" si="62"/>
        <v>91.592124421130663</v>
      </c>
      <c r="U197" s="45">
        <f t="shared" si="62"/>
        <v>89.721166351659349</v>
      </c>
      <c r="V197" s="45">
        <f t="shared" si="62"/>
        <v>87.629926270817023</v>
      </c>
    </row>
    <row r="198" spans="3:22" x14ac:dyDescent="0.2">
      <c r="C198" s="1" t="s">
        <v>52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202" spans="3:22" ht="18" customHeight="1" x14ac:dyDescent="0.2">
      <c r="D202" s="164" t="s">
        <v>176</v>
      </c>
      <c r="E202" s="160"/>
      <c r="F202" s="160"/>
      <c r="G202" s="160"/>
      <c r="H202" s="160"/>
      <c r="I202" s="160"/>
      <c r="J202" s="160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</row>
    <row r="203" spans="3:22" ht="15.75" customHeight="1" x14ac:dyDescent="0.2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3:22" x14ac:dyDescent="0.2">
      <c r="C204" s="181" t="s">
        <v>120</v>
      </c>
      <c r="D204" s="155">
        <v>2000</v>
      </c>
      <c r="E204" s="155">
        <v>2001</v>
      </c>
      <c r="F204" s="155">
        <v>2002</v>
      </c>
      <c r="G204" s="155">
        <v>2003</v>
      </c>
      <c r="H204" s="155">
        <v>2004</v>
      </c>
      <c r="I204" s="155">
        <v>2005</v>
      </c>
      <c r="J204" s="155">
        <v>2006</v>
      </c>
      <c r="K204" s="155">
        <v>2007</v>
      </c>
      <c r="L204" s="155">
        <v>2008</v>
      </c>
      <c r="M204" s="155">
        <v>2009</v>
      </c>
      <c r="N204" s="155">
        <v>2010</v>
      </c>
      <c r="O204" s="155">
        <v>2011</v>
      </c>
      <c r="P204" s="155">
        <v>2012</v>
      </c>
      <c r="Q204" s="155">
        <v>2013</v>
      </c>
      <c r="R204" s="155">
        <v>2014</v>
      </c>
      <c r="S204" s="155">
        <v>2015</v>
      </c>
      <c r="T204" s="155">
        <v>2016</v>
      </c>
      <c r="U204" s="155">
        <v>2017</v>
      </c>
      <c r="V204" s="155">
        <v>2018</v>
      </c>
    </row>
    <row r="205" spans="3:22" ht="12" customHeight="1" thickBot="1" x14ac:dyDescent="0.25">
      <c r="C205" s="162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</row>
    <row r="206" spans="3:22" x14ac:dyDescent="0.2">
      <c r="C206" s="87" t="s">
        <v>123</v>
      </c>
      <c r="D206" s="65">
        <f>26.5417502175*Deflactores!$A$5</f>
        <v>99.05157096706526</v>
      </c>
      <c r="E206" s="56">
        <f>21.8089510445*Deflactores!$B$5</f>
        <v>75.606545573493094</v>
      </c>
      <c r="F206" s="56">
        <f>30.566076962*Deflactores!$C$5</f>
        <v>99.040691161019026</v>
      </c>
      <c r="G206" s="56">
        <f>23.152252428*Deflactores!$D$5</f>
        <v>70.445430628036007</v>
      </c>
      <c r="H206" s="56">
        <f>24.461808906*Deflactores!$E$5</f>
        <v>70.551801778471898</v>
      </c>
      <c r="I206" s="56">
        <f>36.371327869*Deflactores!$F$5</f>
        <v>100.04349777976415</v>
      </c>
      <c r="J206" s="56">
        <f>43.98609435*Deflactores!$G$5</f>
        <v>115.80317754611727</v>
      </c>
      <c r="K206" s="56">
        <f>52.980566153*Deflactores!$H$5</f>
        <v>131.96824474886967</v>
      </c>
      <c r="L206" s="56">
        <f>54.587411471*Deflactores!$I$5</f>
        <v>126.27954288296421</v>
      </c>
      <c r="M206" s="56">
        <f>47.872926379*Deflactores!$J$5</f>
        <v>108.57319213987176</v>
      </c>
      <c r="N206" s="56">
        <f>67.648790708*Deflactores!$K$5</f>
        <v>148.7079178493652</v>
      </c>
      <c r="O206" s="56">
        <f>32.6527201950299*Deflactores!$L$5</f>
        <v>69.199494642329597</v>
      </c>
      <c r="P206" s="56">
        <f>37.97311301071*Deflactores!$M$5</f>
        <v>78.55795835102586</v>
      </c>
      <c r="Q206" s="56">
        <f>47.04786065128*Deflactores!$N$5</f>
        <v>95.47930235683053</v>
      </c>
      <c r="R206" s="56">
        <f>76.11790334125*Deflactores!$O$5</f>
        <v>149.02014089297137</v>
      </c>
      <c r="S206" s="56">
        <f>52.61255820533*Deflactores!$P$5</f>
        <v>96.471343998362329</v>
      </c>
      <c r="T206" s="56">
        <f>42.9481269291999*Deflactores!$Q$5</f>
        <v>74.468526684071747</v>
      </c>
      <c r="U206" s="56">
        <f>47.11873027415*Deflactores!$R$5</f>
        <v>78.489778594355315</v>
      </c>
      <c r="V206" s="56">
        <f>57.8073773985799*Deflactores!$S$5</f>
        <v>93.326992000714284</v>
      </c>
    </row>
    <row r="207" spans="3:22" x14ac:dyDescent="0.2">
      <c r="C207" s="88" t="s">
        <v>124</v>
      </c>
      <c r="D207" s="57">
        <f>2.496799572*Deflactores!$A$5</f>
        <v>9.3178452050021132</v>
      </c>
      <c r="E207" s="57">
        <f>0.824271081*Deflactores!$B$5</f>
        <v>2.8575555478747097</v>
      </c>
      <c r="F207" s="57">
        <f>3.76695074439*Deflactores!$C$5</f>
        <v>12.205734015448519</v>
      </c>
      <c r="G207" s="57">
        <f>3.68292848904*Deflactores!$D$5</f>
        <v>11.206057993256637</v>
      </c>
      <c r="H207" s="57">
        <f>3.39710552096*Deflactores!$E$5</f>
        <v>9.7978001649966124</v>
      </c>
      <c r="I207" s="57">
        <f>6.66559877471999*Deflactores!$F$5</f>
        <v>18.334491900359438</v>
      </c>
      <c r="J207" s="57">
        <f>9.69118850493*Deflactores!$G$5</f>
        <v>25.514209425809124</v>
      </c>
      <c r="K207" s="57">
        <f>18.90471837582*Deflactores!$H$5</f>
        <v>47.089389236120866</v>
      </c>
      <c r="L207" s="57">
        <f>15.05275683358*Deflactores!$I$5</f>
        <v>34.822227338673912</v>
      </c>
      <c r="M207" s="57">
        <f>18.53989221336*Deflactores!$J$5</f>
        <v>42.047466737204616</v>
      </c>
      <c r="N207" s="57">
        <f>21.74077173705*Deflactores!$K$5</f>
        <v>47.791318420015763</v>
      </c>
      <c r="O207" s="57">
        <f>31.90379283769*Deflactores!$L$5</f>
        <v>67.612325354680934</v>
      </c>
      <c r="P207" s="57">
        <f>35.84622923058*Deflactores!$M$5</f>
        <v>74.157906994430462</v>
      </c>
      <c r="Q207" s="57">
        <f>50.2976202265*Deflactores!$N$5</f>
        <v>102.07439026888831</v>
      </c>
      <c r="R207" s="57">
        <f>55.70219535876*Deflactores!$O$5</f>
        <v>109.05120393551184</v>
      </c>
      <c r="S207" s="57">
        <f>52.41911868011*Deflactores!$P$5</f>
        <v>96.116649765332483</v>
      </c>
      <c r="T207" s="57">
        <f>72.37366471483*Deflactores!$Q$5</f>
        <v>125.48999379938232</v>
      </c>
      <c r="U207" s="57">
        <f>84.59594920765*Deflactores!$R$5</f>
        <v>140.91885084031068</v>
      </c>
      <c r="V207" s="57">
        <f>108.44225832334*Deflactores!$S$5</f>
        <v>175.07436300561815</v>
      </c>
    </row>
    <row r="208" spans="3:22" x14ac:dyDescent="0.2">
      <c r="C208" s="87" t="s">
        <v>125</v>
      </c>
      <c r="D208" s="56">
        <f>2.9726059746*Deflactores!$A$5</f>
        <v>11.093514528521091</v>
      </c>
      <c r="E208" s="56">
        <f>2.71827533403*Deflactores!$B$5</f>
        <v>9.4236264506390039</v>
      </c>
      <c r="F208" s="56">
        <f>9.12567162721*Deflactores!$C$5</f>
        <v>29.569147077363155</v>
      </c>
      <c r="G208" s="56">
        <f>3.68046191409*Deflactores!$D$5</f>
        <v>11.19855293796798</v>
      </c>
      <c r="H208" s="56">
        <f>2.93473955981999*Deflactores!$E$5</f>
        <v>8.4642621684888653</v>
      </c>
      <c r="I208" s="56">
        <f>11.75271450062*Deflactores!$F$5</f>
        <v>32.327185614004534</v>
      </c>
      <c r="J208" s="56">
        <f>1.812115571*Deflactores!$G$5</f>
        <v>4.7707973236454597</v>
      </c>
      <c r="K208" s="56">
        <f>19.095008462*Deflactores!$H$5</f>
        <v>47.563379049551045</v>
      </c>
      <c r="L208" s="56">
        <f>18.33635359665*Deflactores!$I$5</f>
        <v>42.418321146359716</v>
      </c>
      <c r="M208" s="56">
        <f>45.39422668678*Deflactores!$J$5</f>
        <v>102.95163611027222</v>
      </c>
      <c r="N208" s="56">
        <f>0*Deflactores!$K$5</f>
        <v>0</v>
      </c>
      <c r="O208" s="56">
        <f>0*Deflactores!$L$5</f>
        <v>0</v>
      </c>
      <c r="P208" s="56">
        <f>0*Deflactores!$M$5</f>
        <v>0</v>
      </c>
      <c r="Q208" s="56">
        <f>0*Deflactores!$N$5</f>
        <v>0</v>
      </c>
      <c r="R208" s="56">
        <f>0*Deflactores!$O$5</f>
        <v>0</v>
      </c>
      <c r="S208" s="56">
        <f>0*Deflactores!$P$5</f>
        <v>0</v>
      </c>
      <c r="T208" s="56">
        <f>0*Deflactores!$Q$5</f>
        <v>0</v>
      </c>
      <c r="U208" s="56">
        <f>0*Deflactores!$R$5</f>
        <v>0</v>
      </c>
      <c r="V208" s="56">
        <f>0*Deflactores!$S$5</f>
        <v>0</v>
      </c>
    </row>
    <row r="209" spans="3:22" x14ac:dyDescent="0.2">
      <c r="C209" s="88" t="s">
        <v>126</v>
      </c>
      <c r="D209" s="57">
        <f>35.27666782818*Deflactores!$A$5</f>
        <v>131.64954602581906</v>
      </c>
      <c r="E209" s="57">
        <f>33.423653107*Deflactores!$B$5</f>
        <v>115.87200809019724</v>
      </c>
      <c r="F209" s="57">
        <f>35.925501113*Deflactores!$C$5</f>
        <v>116.40638296373201</v>
      </c>
      <c r="G209" s="57">
        <f>35.98085837*Deflactores!$D$5</f>
        <v>109.47906991440755</v>
      </c>
      <c r="H209" s="57">
        <f>37.316498723*Deflactores!$E$5</f>
        <v>107.62680025375944</v>
      </c>
      <c r="I209" s="57">
        <f>44.5862929*Deflactores!$F$5</f>
        <v>122.63969879831896</v>
      </c>
      <c r="J209" s="57">
        <f>48.157774769*Deflactores!$G$5</f>
        <v>126.78605418851954</v>
      </c>
      <c r="K209" s="57">
        <f>53.745801518*Deflactores!$H$5</f>
        <v>133.87435439003841</v>
      </c>
      <c r="L209" s="57">
        <f>83.7837122791*Deflactores!$I$5</f>
        <v>193.82067408093425</v>
      </c>
      <c r="M209" s="57">
        <f>95.10758455885*Deflactores!$J$5</f>
        <v>215.69882673386763</v>
      </c>
      <c r="N209" s="57">
        <f>104.30704912357*Deflactores!$K$5</f>
        <v>229.29137283666498</v>
      </c>
      <c r="O209" s="57">
        <f>99.0974358172699*Deflactores!$L$5</f>
        <v>210.01290054693681</v>
      </c>
      <c r="P209" s="57">
        <f>125.66452410204*Deflactores!$M$5</f>
        <v>259.97206096390471</v>
      </c>
      <c r="Q209" s="57">
        <f>163.48519836455*Deflactores!$N$5</f>
        <v>331.77816099254687</v>
      </c>
      <c r="R209" s="57">
        <f>197.99990567696*Deflactores!$O$5</f>
        <v>387.63513635543967</v>
      </c>
      <c r="S209" s="57">
        <f>234.183598707919*Deflactores!$P$5</f>
        <v>429.40330750610366</v>
      </c>
      <c r="T209" s="57">
        <f>249.332282452799*Deflactores!$Q$5</f>
        <v>432.32171125053247</v>
      </c>
      <c r="U209" s="57">
        <f>278.80207893522*Deflactores!$R$5</f>
        <v>464.42493929588704</v>
      </c>
      <c r="V209" s="57">
        <f>291.53230449295*Deflactores!$S$5</f>
        <v>470.663681242037</v>
      </c>
    </row>
    <row r="210" spans="3:22" x14ac:dyDescent="0.2">
      <c r="C210" s="87" t="s">
        <v>127</v>
      </c>
      <c r="D210" s="56">
        <f>0*Deflactores!$A$5</f>
        <v>0</v>
      </c>
      <c r="E210" s="56">
        <f>0*Deflactores!$B$5</f>
        <v>0</v>
      </c>
      <c r="F210" s="56">
        <f>0*Deflactores!$C$5</f>
        <v>0</v>
      </c>
      <c r="G210" s="56">
        <f>0*Deflactores!$D$5</f>
        <v>0</v>
      </c>
      <c r="H210" s="56">
        <f>0*Deflactores!$E$5</f>
        <v>0</v>
      </c>
      <c r="I210" s="56">
        <f>0*Deflactores!$F$5</f>
        <v>0</v>
      </c>
      <c r="J210" s="56">
        <f>0*Deflactores!$G$5</f>
        <v>0</v>
      </c>
      <c r="K210" s="56">
        <f>0*Deflactores!$H$5</f>
        <v>0</v>
      </c>
      <c r="L210" s="56">
        <f>0*Deflactores!$I$5</f>
        <v>0</v>
      </c>
      <c r="M210" s="56">
        <f>0*Deflactores!$J$5</f>
        <v>0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128</v>
      </c>
      <c r="D211" s="57">
        <f>0.606578914*Deflactores!$A$5</f>
        <v>2.2637012953117766</v>
      </c>
      <c r="E211" s="57">
        <f>0.67063176331*Deflactores!$B$5</f>
        <v>2.3249238751680643</v>
      </c>
      <c r="F211" s="57">
        <f>0.643309068*Deflactores!$C$5</f>
        <v>2.0844603252187213</v>
      </c>
      <c r="G211" s="57">
        <f>0.578077358*Deflactores!$D$5</f>
        <v>1.7589177790484714</v>
      </c>
      <c r="H211" s="57">
        <f>0.6419189876*Deflactores!$E$5</f>
        <v>1.8513978808772467</v>
      </c>
      <c r="I211" s="57">
        <f>0.670604068*Deflactores!$F$5</f>
        <v>1.8445731986937046</v>
      </c>
      <c r="J211" s="57">
        <f>1.225627086*Deflactores!$G$5</f>
        <v>3.226735929678838</v>
      </c>
      <c r="K211" s="57">
        <f>3.702571179*Deflactores!$H$5</f>
        <v>9.2226613460361246</v>
      </c>
      <c r="L211" s="57">
        <f>3.418602436*Deflactores!$I$5</f>
        <v>7.908408574127237</v>
      </c>
      <c r="M211" s="57">
        <f>4.663935495*Deflactores!$J$5</f>
        <v>10.577551926065908</v>
      </c>
      <c r="N211" s="57">
        <f>6.837317664*Deflactores!$K$5</f>
        <v>15.030028812738042</v>
      </c>
      <c r="O211" s="57">
        <f>7.808238517*Deflactores!$L$5</f>
        <v>16.54766145656118</v>
      </c>
      <c r="P211" s="57">
        <f>9.86270865781999*Deflactores!$M$5</f>
        <v>20.403759253311694</v>
      </c>
      <c r="Q211" s="57">
        <f>9.39435965266*Deflactores!$N$5</f>
        <v>19.06498814841925</v>
      </c>
      <c r="R211" s="57">
        <f>10.50459942286*Deflactores!$O$5</f>
        <v>20.565423077943599</v>
      </c>
      <c r="S211" s="57">
        <f>12.94254961476*Deflactores!$P$5</f>
        <v>23.731694460257096</v>
      </c>
      <c r="T211" s="57">
        <f>17.9064206837*Deflactores!$Q$5</f>
        <v>31.048263611089439</v>
      </c>
      <c r="U211" s="57">
        <f>11.77709436549*Deflactores!$R$5</f>
        <v>19.618133253036071</v>
      </c>
      <c r="V211" s="57">
        <f>12.80762192809*Deflactores!$S$5</f>
        <v>20.677236764946059</v>
      </c>
    </row>
    <row r="212" spans="3:22" x14ac:dyDescent="0.2">
      <c r="C212" s="87" t="s">
        <v>129</v>
      </c>
      <c r="D212" s="56">
        <f>474.13553687572*Deflactores!$A$5</f>
        <v>1769.4337937024166</v>
      </c>
      <c r="E212" s="56">
        <f>612.42476479783*Deflactores!$B$5</f>
        <v>2123.1337901370621</v>
      </c>
      <c r="F212" s="56">
        <f>650.66571754359*Deflactores!$C$5</f>
        <v>2108.2974586634991</v>
      </c>
      <c r="G212" s="56">
        <f>770.45510413814*Deflactores!$D$5</f>
        <v>2344.2661468626761</v>
      </c>
      <c r="H212" s="56">
        <f>797.96288426067*Deflactores!$E$5</f>
        <v>2301.4536436480698</v>
      </c>
      <c r="I212" s="56">
        <f>915.9816753378*Deflactores!$F$5</f>
        <v>2519.5123761501909</v>
      </c>
      <c r="J212" s="56">
        <f>727.516768819469*Deflactores!$G$5</f>
        <v>1915.3497211415524</v>
      </c>
      <c r="K212" s="56">
        <f>960.773261736769*Deflactores!$H$5</f>
        <v>2393.1711221600117</v>
      </c>
      <c r="L212" s="56">
        <f>1054.56385621871*Deflactores!$I$5</f>
        <v>2439.5705551076044</v>
      </c>
      <c r="M212" s="56">
        <f>1255.19747850532*Deflactores!$J$5</f>
        <v>2846.7195827623732</v>
      </c>
      <c r="N212" s="56">
        <f>1497.12646454799*Deflactores!$K$5</f>
        <v>3291.0353159318893</v>
      </c>
      <c r="O212" s="56">
        <f>1462.63450759003*Deflactores!$L$5</f>
        <v>3099.6979169615543</v>
      </c>
      <c r="P212" s="56">
        <f>1503.62954120483*Deflactores!$M$5</f>
        <v>3110.6764104387703</v>
      </c>
      <c r="Q212" s="56">
        <f>1577.46920908695*Deflactores!$N$5</f>
        <v>3201.3285511400936</v>
      </c>
      <c r="R212" s="56">
        <f>1590.72970267568*Deflactores!$O$5</f>
        <v>3114.2576714524557</v>
      </c>
      <c r="S212" s="56">
        <f>1764.51633401715*Deflactores!$P$5</f>
        <v>3235.4492550117579</v>
      </c>
      <c r="T212" s="56">
        <f>1897.06790907714*Deflactores!$Q$5</f>
        <v>3289.3600328948974</v>
      </c>
      <c r="U212" s="56">
        <f>1929.24143888866*Deflactores!$R$5</f>
        <v>3213.7057283247864</v>
      </c>
      <c r="V212" s="56">
        <f>1724.91811802751*Deflactores!$S$5</f>
        <v>2784.7902231073231</v>
      </c>
    </row>
    <row r="213" spans="3:22" x14ac:dyDescent="0.2">
      <c r="C213" s="88" t="s">
        <v>130</v>
      </c>
      <c r="D213" s="57">
        <f>6.651560146*Deflactores!$A$5</f>
        <v>24.823060892526158</v>
      </c>
      <c r="E213" s="57">
        <f>10.2798768604*Deflactores!$B$5</f>
        <v>35.637934935515311</v>
      </c>
      <c r="F213" s="57">
        <f>7.90660320089*Deflactores!$C$5</f>
        <v>25.619102075990874</v>
      </c>
      <c r="G213" s="57">
        <f>8.90864600082*Deflactores!$D$5</f>
        <v>27.106364954863636</v>
      </c>
      <c r="H213" s="57">
        <f>7.10627039429999*Deflactores!$E$5</f>
        <v>20.495629827273422</v>
      </c>
      <c r="I213" s="57">
        <f>10.94648306691*Deflactores!$F$5</f>
        <v>30.109553831660698</v>
      </c>
      <c r="J213" s="57">
        <f>19.35543581436*Deflactores!$G$5</f>
        <v>50.957490161724436</v>
      </c>
      <c r="K213" s="57">
        <f>16.10721487436*Deflactores!$H$5</f>
        <v>40.121143073927144</v>
      </c>
      <c r="L213" s="57">
        <f>15.7935125775*Deflactores!$I$5</f>
        <v>36.535851308182757</v>
      </c>
      <c r="M213" s="57">
        <f>10.7932819684699*Deflactores!$J$5</f>
        <v>24.478576214562601</v>
      </c>
      <c r="N213" s="57">
        <f>3.07297644742*Deflactores!$K$5</f>
        <v>6.7551234000392322</v>
      </c>
      <c r="O213" s="57">
        <f>4.22354117697*Deflactores!$L$5</f>
        <v>8.9507677553884228</v>
      </c>
      <c r="P213" s="57">
        <f>0*Deflactores!$M$5</f>
        <v>0</v>
      </c>
      <c r="Q213" s="57">
        <f>0*Deflactores!$N$5</f>
        <v>0</v>
      </c>
      <c r="R213" s="57">
        <f>0*Deflactores!$O$5</f>
        <v>0</v>
      </c>
      <c r="S213" s="57">
        <f>0*Deflactores!$P$5</f>
        <v>0</v>
      </c>
      <c r="T213" s="57">
        <f>0*Deflactores!$Q$5</f>
        <v>0</v>
      </c>
      <c r="U213" s="57">
        <f>0*Deflactores!$R$5</f>
        <v>0</v>
      </c>
      <c r="V213" s="57">
        <f>0*Deflactores!$S$5</f>
        <v>0</v>
      </c>
    </row>
    <row r="214" spans="3:22" x14ac:dyDescent="0.2">
      <c r="C214" s="87" t="s">
        <v>131</v>
      </c>
      <c r="D214" s="56">
        <f>125.23487688117*Deflactores!$A$5</f>
        <v>467.36598729529095</v>
      </c>
      <c r="E214" s="56">
        <f>142.45769166615*Deflactores!$B$5</f>
        <v>493.86758378586342</v>
      </c>
      <c r="F214" s="56">
        <f>179.376252121989*Deflactores!$C$5</f>
        <v>581.21779939641169</v>
      </c>
      <c r="G214" s="56">
        <f>174.68369662049*Deflactores!$D$5</f>
        <v>531.51062819465972</v>
      </c>
      <c r="H214" s="56">
        <f>169.13690492471*Deflactores!$E$5</f>
        <v>487.81811008038244</v>
      </c>
      <c r="I214" s="56">
        <f>132.92345545075*Deflactores!$F$5</f>
        <v>365.62116918475067</v>
      </c>
      <c r="J214" s="56">
        <f>126.0610760988*Deflactores!$G$5</f>
        <v>331.88382357761969</v>
      </c>
      <c r="K214" s="56">
        <f>54.45756218086*Deflactores!$H$5</f>
        <v>135.64726495289781</v>
      </c>
      <c r="L214" s="56">
        <f>39.7915147972999*Deflactores!$I$5</f>
        <v>92.051521840218243</v>
      </c>
      <c r="M214" s="56">
        <f>53.53261497243*Deflactores!$J$5</f>
        <v>121.40905791171789</v>
      </c>
      <c r="N214" s="56">
        <f>9.31569659978*Deflactores!$K$5</f>
        <v>20.478087341565296</v>
      </c>
      <c r="O214" s="56">
        <f>7.21347123324*Deflactores!$L$5</f>
        <v>15.287196931089648</v>
      </c>
      <c r="P214" s="56">
        <f>13.55299791315*Deflactores!$M$5</f>
        <v>28.038150185171531</v>
      </c>
      <c r="Q214" s="56">
        <f>18.8256400759899*Deflactores!$N$5</f>
        <v>38.204903602293832</v>
      </c>
      <c r="R214" s="56">
        <f>15.86661356069*Deflactores!$O$5</f>
        <v>31.062928490136279</v>
      </c>
      <c r="S214" s="56">
        <f>17.20630463105*Deflactores!$P$5</f>
        <v>31.549793236141841</v>
      </c>
      <c r="T214" s="56">
        <f>20.16150673267*Deflactores!$Q$5</f>
        <v>34.958397710521488</v>
      </c>
      <c r="U214" s="56">
        <f>20.2361165518199*Deflactores!$R$5</f>
        <v>33.709064283366146</v>
      </c>
      <c r="V214" s="56">
        <f>20.70710732584*Deflactores!$S$5</f>
        <v>33.430543413721381</v>
      </c>
    </row>
    <row r="215" spans="3:22" x14ac:dyDescent="0.2">
      <c r="C215" s="88" t="s">
        <v>132</v>
      </c>
      <c r="D215" s="57">
        <f>30.31686555799*Deflactores!$A$5</f>
        <v>113.13998269549961</v>
      </c>
      <c r="E215" s="57">
        <f>29.35750162059*Deflactores!$B$5</f>
        <v>101.77560945833757</v>
      </c>
      <c r="F215" s="57">
        <f>36.3688841541899*Deflactores!$C$5</f>
        <v>117.84303978112847</v>
      </c>
      <c r="G215" s="57">
        <f>28.80124668546*Deflactores!$D$5</f>
        <v>87.633643063073322</v>
      </c>
      <c r="H215" s="57">
        <f>30.13894684916*Deflactores!$E$5</f>
        <v>86.925583144110121</v>
      </c>
      <c r="I215" s="57">
        <f>30.48914991601*Deflactores!$F$5</f>
        <v>83.863894464216784</v>
      </c>
      <c r="J215" s="57">
        <f>43.90485019714*Deflactores!$G$5</f>
        <v>115.58928424194326</v>
      </c>
      <c r="K215" s="57">
        <f>48.30506859716*Deflactores!$H$5</f>
        <v>120.32214032654279</v>
      </c>
      <c r="L215" s="57">
        <f>56.85998669214*Deflactores!$I$5</f>
        <v>131.5367945525212</v>
      </c>
      <c r="M215" s="57">
        <f>85.14839223142*Deflactores!$J$5</f>
        <v>193.11192044024446</v>
      </c>
      <c r="N215" s="57">
        <f>85.56029830393*Deflactores!$K$5</f>
        <v>188.08161503237852</v>
      </c>
      <c r="O215" s="57">
        <f>70.98791286664*Deflactores!$L$5</f>
        <v>150.44160690884567</v>
      </c>
      <c r="P215" s="57">
        <f>99.7459108247599*Deflactores!$M$5</f>
        <v>206.3521920377346</v>
      </c>
      <c r="Q215" s="57">
        <f>124.43767547773*Deflactores!$N$5</f>
        <v>252.53480768410017</v>
      </c>
      <c r="R215" s="57">
        <f>122.15325334919*Deflactores!$O$5</f>
        <v>239.14603825886448</v>
      </c>
      <c r="S215" s="57">
        <f>154.1676571881*Deflactores!$P$5</f>
        <v>282.68462126420769</v>
      </c>
      <c r="T215" s="57">
        <f>213.263600243039*Deflactores!$Q$5</f>
        <v>369.78157700848129</v>
      </c>
      <c r="U215" s="57">
        <f>271.204926170759*Deflactores!$R$5</f>
        <v>451.76969933163917</v>
      </c>
      <c r="V215" s="57">
        <f>352.71701578116*Deflactores!$S$5</f>
        <v>569.44320243687093</v>
      </c>
    </row>
    <row r="216" spans="3:22" x14ac:dyDescent="0.2">
      <c r="C216" s="87" t="s">
        <v>133</v>
      </c>
      <c r="D216" s="56">
        <f>0.11023688475*Deflactores!$A$5</f>
        <v>0.41139474689967548</v>
      </c>
      <c r="E216" s="56">
        <f>0.109448148*Deflactores!$B$5</f>
        <v>0.37943119652163593</v>
      </c>
      <c r="F216" s="56">
        <f>0.2248409222*Deflactores!$C$5</f>
        <v>0.72853315012106934</v>
      </c>
      <c r="G216" s="56">
        <f>0.0488681294799999*Deflactores!$D$5</f>
        <v>0.14869120989031118</v>
      </c>
      <c r="H216" s="56">
        <f>0.36152117215*Deflactores!$E$5</f>
        <v>1.042685362078497</v>
      </c>
      <c r="I216" s="56">
        <f>2.40681974259999*Deflactores!$F$5</f>
        <v>6.6202330154770586</v>
      </c>
      <c r="J216" s="56">
        <f>3.2819538641*Deflactores!$G$5</f>
        <v>8.6404735778169375</v>
      </c>
      <c r="K216" s="56">
        <f>1.02671616138*Deflactores!$H$5</f>
        <v>2.5574269871207016</v>
      </c>
      <c r="L216" s="56">
        <f>3.46466294171*Deflactores!$I$5</f>
        <v>8.0149624379078457</v>
      </c>
      <c r="M216" s="56">
        <f>4.01851861143*Deflactores!$J$5</f>
        <v>9.1137815529035535</v>
      </c>
      <c r="N216" s="56">
        <f>2.51832593803*Deflactores!$K$5</f>
        <v>5.5358714145677075</v>
      </c>
      <c r="O216" s="56">
        <f>1.94323838542*Deflactores!$L$5</f>
        <v>4.1182208844305865</v>
      </c>
      <c r="P216" s="56">
        <f>4.01451079377*Deflactores!$M$5</f>
        <v>8.3051334676664368</v>
      </c>
      <c r="Q216" s="56">
        <f>2.57863943945*Deflactores!$N$5</f>
        <v>5.2331113742532338</v>
      </c>
      <c r="R216" s="56">
        <f>3.00032810162*Deflactores!$O$5</f>
        <v>5.873904781954959</v>
      </c>
      <c r="S216" s="56">
        <f>2.12966780916*Deflactores!$P$5</f>
        <v>3.9049976436785272</v>
      </c>
      <c r="T216" s="56">
        <f>3.28768682631*Deflactores!$Q$5</f>
        <v>5.7005790859643071</v>
      </c>
      <c r="U216" s="56">
        <f>3.96800688933*Deflactores!$R$5</f>
        <v>6.6098551551006661</v>
      </c>
      <c r="V216" s="56">
        <f>13.56810301969*Deflactores!$S$5</f>
        <v>21.904993773590274</v>
      </c>
    </row>
    <row r="217" spans="3:22" x14ac:dyDescent="0.2">
      <c r="C217" s="88" t="s">
        <v>134</v>
      </c>
      <c r="D217" s="57">
        <f>87.0741550866899*Deflactores!$A$5</f>
        <v>324.9533953597313</v>
      </c>
      <c r="E217" s="57">
        <f>102.953219710049*Deflactores!$B$5</f>
        <v>356.91479530872249</v>
      </c>
      <c r="F217" s="57">
        <f>110.24013096594*Deflactores!$C$5</f>
        <v>357.20183450828915</v>
      </c>
      <c r="G217" s="57">
        <f>100.29893540694*Deflactores!$D$5</f>
        <v>305.17988339356651</v>
      </c>
      <c r="H217" s="57">
        <f>111.94755756108*Deflactores!$E$5</f>
        <v>322.87480950340267</v>
      </c>
      <c r="I217" s="57">
        <f>109.56348308966*Deflactores!$F$5</f>
        <v>301.36689308409882</v>
      </c>
      <c r="J217" s="57">
        <f>110.06385024825*Deflactores!$G$5</f>
        <v>289.7675681384373</v>
      </c>
      <c r="K217" s="57">
        <f>133.37064846514*Deflactores!$H$5</f>
        <v>332.21031138351515</v>
      </c>
      <c r="L217" s="57">
        <f>139.9227923348*Deflactores!$I$5</f>
        <v>323.68976250748716</v>
      </c>
      <c r="M217" s="57">
        <f>147.53463822554*Deflactores!$J$5</f>
        <v>334.60053176057011</v>
      </c>
      <c r="N217" s="57">
        <f>155.692184244149*Deflactores!$K$5</f>
        <v>342.24795893696813</v>
      </c>
      <c r="O217" s="57">
        <f>162.24903099165*Deflactores!$L$5</f>
        <v>343.8473390201288</v>
      </c>
      <c r="P217" s="57">
        <f>156.9335090039*Deflactores!$M$5</f>
        <v>324.6606634734319</v>
      </c>
      <c r="Q217" s="57">
        <f>166.95695717066*Deflactores!$N$5</f>
        <v>338.82377590829213</v>
      </c>
      <c r="R217" s="57">
        <f>155.58849950747*Deflactores!$O$5</f>
        <v>304.60403006613387</v>
      </c>
      <c r="S217" s="57">
        <f>158.97725963028*Deflactores!$P$5</f>
        <v>291.50359581176929</v>
      </c>
      <c r="T217" s="57">
        <f>159.10115527716*Deflactores!$Q$5</f>
        <v>275.86834337980184</v>
      </c>
      <c r="U217" s="57">
        <f>174.46709120673*Deflactores!$R$5</f>
        <v>290.62505040230445</v>
      </c>
      <c r="V217" s="57">
        <f>195.52604144002*Deflactores!$S$5</f>
        <v>315.66658316957921</v>
      </c>
    </row>
    <row r="218" spans="3:22" x14ac:dyDescent="0.2">
      <c r="C218" s="87" t="s">
        <v>135</v>
      </c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>
        <f>0*Deflactores!$O$5</f>
        <v>0</v>
      </c>
      <c r="S218" s="56"/>
      <c r="T218" s="56"/>
      <c r="U218" s="56"/>
      <c r="V218" s="56"/>
    </row>
    <row r="219" spans="3:22" x14ac:dyDescent="0.2">
      <c r="C219" s="88" t="s">
        <v>136</v>
      </c>
      <c r="D219" s="57">
        <f>798.85244863519*Deflactores!$A$5</f>
        <v>2981.2498934614532</v>
      </c>
      <c r="E219" s="57">
        <f>882.362316395029*Deflactores!$B$5</f>
        <v>3058.944309184365</v>
      </c>
      <c r="F219" s="57">
        <f>932.285423039039*Deflactores!$C$5</f>
        <v>3020.8061300087697</v>
      </c>
      <c r="G219" s="57">
        <f>970.15000940488*Deflactores!$D$5</f>
        <v>2951.8784575649911</v>
      </c>
      <c r="H219" s="57">
        <f>1045.88323236434*Deflactores!$E$5</f>
        <v>3016.4959090616317</v>
      </c>
      <c r="I219" s="57">
        <f>1177.03987993141*Deflactores!$F$5</f>
        <v>3237.582830045008</v>
      </c>
      <c r="J219" s="57">
        <f>1420.59833105359*Deflactores!$G$5</f>
        <v>3740.0411012558279</v>
      </c>
      <c r="K219" s="57">
        <f>1699.51674645094*Deflactores!$H$5</f>
        <v>4233.2926624971606</v>
      </c>
      <c r="L219" s="57">
        <f>2480.8461542376*Deflactores!$I$5</f>
        <v>5739.0542961817555</v>
      </c>
      <c r="M219" s="57">
        <f>3255.2027493876*Deflactores!$J$5</f>
        <v>7382.6227117491153</v>
      </c>
      <c r="N219" s="57">
        <f>2671.26445457996*Deflactores!$K$5</f>
        <v>5872.0661656798757</v>
      </c>
      <c r="O219" s="57">
        <f>2310.74413285298*Deflactores!$L$5</f>
        <v>4897.0598861620483</v>
      </c>
      <c r="P219" s="57">
        <f>2890.67423378021*Deflactores!$M$5</f>
        <v>5980.1645969779138</v>
      </c>
      <c r="Q219" s="57">
        <f>3293.81152937081*Deflactores!$N$5</f>
        <v>6684.4872979501533</v>
      </c>
      <c r="R219" s="57">
        <f>1393.6108504016*Deflactores!$O$5</f>
        <v>2728.3474210498352</v>
      </c>
      <c r="S219" s="57">
        <f>1431.96165097325*Deflactores!$P$5</f>
        <v>2625.6709374285556</v>
      </c>
      <c r="T219" s="57">
        <f>2524.38401739299*Deflactores!$Q$5</f>
        <v>4377.0746712649761</v>
      </c>
      <c r="U219" s="57">
        <f>2729.92320691224*Deflactores!$R$5</f>
        <v>4547.4711827641559</v>
      </c>
      <c r="V219" s="57">
        <f>2774.84160507504*Deflactores!$S$5</f>
        <v>4479.8368639787013</v>
      </c>
    </row>
    <row r="220" spans="3:22" x14ac:dyDescent="0.2">
      <c r="C220" s="87" t="s">
        <v>137</v>
      </c>
      <c r="D220" s="56">
        <f>12.58808761883*Deflactores!$A$5</f>
        <v>46.977680216961197</v>
      </c>
      <c r="E220" s="56">
        <f>14.96779146352*Deflactores!$B$5</f>
        <v>51.889841245095546</v>
      </c>
      <c r="F220" s="56">
        <f>19.5871792228099*Deflactores!$C$5</f>
        <v>63.46669121240447</v>
      </c>
      <c r="G220" s="56">
        <f>18.1933918117599*Deflactores!$D$5</f>
        <v>55.357089974278779</v>
      </c>
      <c r="H220" s="56">
        <f>18.10217452864*Deflactores!$E$5</f>
        <v>52.209590632140646</v>
      </c>
      <c r="I220" s="56">
        <f>33.12504473146*Deflactores!$F$5</f>
        <v>91.114224671212725</v>
      </c>
      <c r="J220" s="56">
        <f>37.21920102553*Deflactores!$G$5</f>
        <v>97.987825656634598</v>
      </c>
      <c r="K220" s="56">
        <f>32.17908140063*Deflactores!$H$5</f>
        <v>80.154237646470989</v>
      </c>
      <c r="L220" s="56">
        <f>41.5514843398399*Deflactores!$I$5</f>
        <v>96.122939468034559</v>
      </c>
      <c r="M220" s="56">
        <f>43.22674713283*Deflactores!$J$5</f>
        <v>98.035910419989634</v>
      </c>
      <c r="N220" s="56">
        <f>40.16797283385*Deflactores!$K$5</f>
        <v>88.298630941311259</v>
      </c>
      <c r="O220" s="56">
        <f>39.43950736865*Deflactores!$L$5</f>
        <v>83.582438539635888</v>
      </c>
      <c r="P220" s="56">
        <f>41.3949141521999*Deflactores!$M$5</f>
        <v>85.636906855533269</v>
      </c>
      <c r="Q220" s="56">
        <f>41.30955852849*Deflactores!$N$5</f>
        <v>83.833946419019085</v>
      </c>
      <c r="R220" s="56">
        <f>50.3468920202399*Deflactores!$O$5</f>
        <v>98.566836618494776</v>
      </c>
      <c r="S220" s="56">
        <f>38.27439334002*Deflactores!$P$5</f>
        <v>70.180624021806921</v>
      </c>
      <c r="T220" s="56">
        <f>32.83384441309*Deflactores!$Q$5</f>
        <v>56.93119103535264</v>
      </c>
      <c r="U220" s="56">
        <f>53.64547124358*Deflactores!$R$5</f>
        <v>89.361940273005501</v>
      </c>
      <c r="V220" s="56">
        <f>41.12099318535*Deflactores!$S$5</f>
        <v>66.387696082626007</v>
      </c>
    </row>
    <row r="221" spans="3:22" x14ac:dyDescent="0.2">
      <c r="C221" s="88" t="s">
        <v>138</v>
      </c>
      <c r="D221" s="57">
        <f>12.65461948163*Deflactores!$A$5</f>
        <v>47.225971511834437</v>
      </c>
      <c r="E221" s="57">
        <f>13.53850519388*Deflactores!$B$5</f>
        <v>46.934839179081145</v>
      </c>
      <c r="F221" s="57">
        <f>16.1439956109999*Deflactores!$C$5</f>
        <v>52.310032635253428</v>
      </c>
      <c r="G221" s="57">
        <f>12.36261301013*Deflactores!$D$5</f>
        <v>37.615761140074952</v>
      </c>
      <c r="H221" s="57">
        <f>30.17667131179*Deflactores!$E$5</f>
        <v>87.034386578062964</v>
      </c>
      <c r="I221" s="57">
        <f>15.4170139785299*Deflactores!$F$5</f>
        <v>42.406260483171501</v>
      </c>
      <c r="J221" s="57">
        <f>20.1438654542*Deflactores!$G$5</f>
        <v>53.033206565152121</v>
      </c>
      <c r="K221" s="57">
        <f>57.16140875262*Deflactores!$H$5</f>
        <v>142.38222292059802</v>
      </c>
      <c r="L221" s="57">
        <f>67.52834569987*Deflactores!$I$5</f>
        <v>156.21639489450126</v>
      </c>
      <c r="M221" s="57">
        <f>52.4002814698199*Deflactores!$J$5</f>
        <v>118.84098714094443</v>
      </c>
      <c r="N221" s="57">
        <f>48.17451328292*Deflactores!$K$5</f>
        <v>105.89888582978658</v>
      </c>
      <c r="O221" s="57">
        <f>42.19364808919*Deflactores!$L$5</f>
        <v>89.419169595942762</v>
      </c>
      <c r="P221" s="57">
        <f>25.66003040787*Deflactores!$M$5</f>
        <v>53.08491825516041</v>
      </c>
      <c r="Q221" s="57">
        <f>23.6531412231899*Deflactores!$N$5</f>
        <v>48.001872800911691</v>
      </c>
      <c r="R221" s="57">
        <f>43.64793996951*Deflactores!$O$5</f>
        <v>85.451935463643338</v>
      </c>
      <c r="S221" s="57">
        <f>0*Deflactores!$P$5</f>
        <v>0</v>
      </c>
      <c r="T221" s="57">
        <f>0*Deflactores!$Q$5</f>
        <v>0</v>
      </c>
      <c r="U221" s="57">
        <f>0*Deflactores!$R$5</f>
        <v>0</v>
      </c>
      <c r="V221" s="57">
        <f>0*Deflactores!$S$5</f>
        <v>0</v>
      </c>
    </row>
    <row r="222" spans="3:22" x14ac:dyDescent="0.2">
      <c r="C222" s="87" t="s">
        <v>139</v>
      </c>
      <c r="D222" s="56">
        <f>148.36411422558*Deflactores!$A$5</f>
        <v>553.68234832876146</v>
      </c>
      <c r="E222" s="56">
        <f>155.68723221352*Deflactores!$B$5</f>
        <v>539.73131461226433</v>
      </c>
      <c r="F222" s="56">
        <f>159.30626824197*Deflactores!$C$5</f>
        <v>516.18671681624369</v>
      </c>
      <c r="G222" s="56">
        <f>150.29604847595*Deflactores!$D$5</f>
        <v>457.30625516919025</v>
      </c>
      <c r="H222" s="56">
        <f>158.12669927111*Deflactores!$E$5</f>
        <v>456.06290138759982</v>
      </c>
      <c r="I222" s="56">
        <f>185.23328724771*Deflactores!$F$5</f>
        <v>509.50534520625399</v>
      </c>
      <c r="J222" s="56">
        <f>240.34907325372*Deflactores!$G$5</f>
        <v>632.77239805778026</v>
      </c>
      <c r="K222" s="56">
        <f>278.280318333669*Deflactores!$H$5</f>
        <v>693.16294304211601</v>
      </c>
      <c r="L222" s="56">
        <f>283.582573073839*Deflactores!$I$5</f>
        <v>656.02447033715623</v>
      </c>
      <c r="M222" s="56">
        <f>527.183502705519*Deflactores!$J$5</f>
        <v>1195.6234987407208</v>
      </c>
      <c r="N222" s="56">
        <f>468.46674617103*Deflactores!$K$5</f>
        <v>1029.799848240636</v>
      </c>
      <c r="O222" s="56">
        <f>569.78446145005*Deflactores!$L$5</f>
        <v>1207.5195129806332</v>
      </c>
      <c r="P222" s="56">
        <f>633.897571191219*Deflactores!$M$5</f>
        <v>1311.3936427179726</v>
      </c>
      <c r="Q222" s="56">
        <f>892.23821729789*Deflactores!$N$5</f>
        <v>1810.7153299729682</v>
      </c>
      <c r="R222" s="56">
        <f>786.45859181928*Deflactores!$O$5</f>
        <v>1539.6925692235225</v>
      </c>
      <c r="S222" s="56">
        <f>732.64473403149*Deflactores!$P$5</f>
        <v>1343.390714618022</v>
      </c>
      <c r="T222" s="56">
        <f>676.6686157875*Deflactores!$Q$5</f>
        <v>1173.2878352090706</v>
      </c>
      <c r="U222" s="56">
        <f>543.35123093691*Deflactores!$R$5</f>
        <v>905.10753509428753</v>
      </c>
      <c r="V222" s="56">
        <f>430.574300952149*Deflactores!$S$5</f>
        <v>695.13972349248138</v>
      </c>
    </row>
    <row r="223" spans="3:22" x14ac:dyDescent="0.2">
      <c r="C223" s="88" t="s">
        <v>140</v>
      </c>
      <c r="D223" s="57">
        <f>14.81942101338*Deflactores!$A$5</f>
        <v>55.304828060275874</v>
      </c>
      <c r="E223" s="57">
        <f>12.1527822893699*Deflactores!$B$5</f>
        <v>42.130861137299163</v>
      </c>
      <c r="F223" s="57">
        <f>11.65786612908*Deflactores!$C$5</f>
        <v>37.774004178623535</v>
      </c>
      <c r="G223" s="57">
        <f>10.38971315547*Deflactores!$D$5</f>
        <v>31.612812602790054</v>
      </c>
      <c r="H223" s="57">
        <f>1894.48872946783*Deflactores!$E$5</f>
        <v>5464.0110151534764</v>
      </c>
      <c r="I223" s="57">
        <f>2048.78137616004*Deflactores!$F$5</f>
        <v>5635.4075329701327</v>
      </c>
      <c r="J223" s="57">
        <f>227.83305726537*Deflactores!$G$5</f>
        <v>599.82120193347748</v>
      </c>
      <c r="K223" s="57">
        <f>122.453184029429*Deflactores!$H$5</f>
        <v>305.01621507038232</v>
      </c>
      <c r="L223" s="57">
        <f>216.34388593842*Deflactores!$I$5</f>
        <v>500.4781557803247</v>
      </c>
      <c r="M223" s="57">
        <f>287.84657609256*Deflactores!$J$5</f>
        <v>652.82037211351599</v>
      </c>
      <c r="N223" s="57">
        <f>1066.45535217024*Deflactores!$K$5</f>
        <v>2344.3191406789379</v>
      </c>
      <c r="O223" s="57">
        <f>1059.73001009289*Deflactores!$L$5</f>
        <v>2245.8398785073009</v>
      </c>
      <c r="P223" s="57">
        <f>503.68442937013*Deflactores!$M$5</f>
        <v>1042.0114993827067</v>
      </c>
      <c r="Q223" s="57">
        <f>521.24735687612*Deflactores!$N$5</f>
        <v>1057.8235290815458</v>
      </c>
      <c r="R223" s="57">
        <f>537.69130093584*Deflactores!$O$5</f>
        <v>1052.6673739706309</v>
      </c>
      <c r="S223" s="57">
        <f>719.75567546264*Deflactores!$P$5</f>
        <v>1319.7571023128025</v>
      </c>
      <c r="T223" s="57">
        <f>606.651940217569*Deflactores!$Q$5</f>
        <v>1051.8846671127119</v>
      </c>
      <c r="U223" s="57">
        <f>605.6442060017*Deflactores!$R$5</f>
        <v>1008.8743766957352</v>
      </c>
      <c r="V223" s="57">
        <f>589.26211656381*Deflactores!$S$5</f>
        <v>951.33291482318043</v>
      </c>
    </row>
    <row r="224" spans="3:22" x14ac:dyDescent="0.2">
      <c r="C224" s="87" t="s">
        <v>141</v>
      </c>
      <c r="D224" s="56">
        <f>3.65994243305*Deflactores!$A$5</f>
        <v>13.658596161589982</v>
      </c>
      <c r="E224" s="56">
        <f>4.61355744431*Deflactores!$B$5</f>
        <v>15.994127386384317</v>
      </c>
      <c r="F224" s="56">
        <f>8.66981265944*Deflactores!$C$5</f>
        <v>28.092065563238243</v>
      </c>
      <c r="G224" s="56">
        <f>6.99117091622*Deflactores!$D$5</f>
        <v>21.272057538198805</v>
      </c>
      <c r="H224" s="56">
        <f>8.87624118617999*Deflactores!$E$5</f>
        <v>25.600511029733205</v>
      </c>
      <c r="I224" s="56">
        <f>7.6787925419*Deflactores!$F$5</f>
        <v>21.121397255105595</v>
      </c>
      <c r="J224" s="56">
        <f>19.31408241802*Deflactores!$G$5</f>
        <v>50.848618147301181</v>
      </c>
      <c r="K224" s="56">
        <f>17.49389867318*Deflactores!$H$5</f>
        <v>43.575206332207514</v>
      </c>
      <c r="L224" s="56">
        <f>22.07232825805*Deflactores!$I$5</f>
        <v>51.060921331103124</v>
      </c>
      <c r="M224" s="56">
        <f>23.9100649513799*Deflactores!$J$5</f>
        <v>54.226726302274784</v>
      </c>
      <c r="N224" s="56">
        <f>22.76976506834*Deflactores!$K$5</f>
        <v>50.053287247182432</v>
      </c>
      <c r="O224" s="56">
        <f>18.50892103618*Deflactores!$L$5</f>
        <v>39.225154119729126</v>
      </c>
      <c r="P224" s="56">
        <f>13.30867105253*Deflactores!$M$5</f>
        <v>27.532692038108124</v>
      </c>
      <c r="Q224" s="56">
        <f>17.46960236176*Deflactores!$N$5</f>
        <v>35.452949886823475</v>
      </c>
      <c r="R224" s="56">
        <f>18.1311457184199*Deflactores!$O$5</f>
        <v>35.496325711926239</v>
      </c>
      <c r="S224" s="56">
        <f>23.46684912854*Deflactores!$P$5</f>
        <v>43.029241535867875</v>
      </c>
      <c r="T224" s="56">
        <f>29.65594710643*Deflactores!$Q$5</f>
        <v>51.42097796435251</v>
      </c>
      <c r="U224" s="56">
        <f>16.47969322342*Deflactores!$R$5</f>
        <v>27.451662319490787</v>
      </c>
      <c r="V224" s="56">
        <f>16.09895499432*Deflactores!$S$5</f>
        <v>25.990922120809991</v>
      </c>
    </row>
    <row r="225" spans="2:22" x14ac:dyDescent="0.2">
      <c r="C225" s="88" t="s">
        <v>142</v>
      </c>
      <c r="D225" s="57">
        <f>18.71835071217*Deflactores!$A$5</f>
        <v>69.855304520590948</v>
      </c>
      <c r="E225" s="57">
        <f>21.88453990976*Deflactores!$B$5</f>
        <v>75.868594535612715</v>
      </c>
      <c r="F225" s="57">
        <f>21.28723153766*Deflactores!$C$5</f>
        <v>68.975227897762167</v>
      </c>
      <c r="G225" s="57">
        <f>19.25445616625*Deflactores!$D$5</f>
        <v>58.585593793013764</v>
      </c>
      <c r="H225" s="57">
        <f>26.8234267283*Deflactores!$E$5</f>
        <v>77.363088430071414</v>
      </c>
      <c r="I225" s="57">
        <f>23.24097982223*Deflactores!$F$5</f>
        <v>63.926973511092143</v>
      </c>
      <c r="J225" s="57">
        <f>32.53669336433*Deflactores!$G$5</f>
        <v>85.660082671856543</v>
      </c>
      <c r="K225" s="57">
        <f>38.31809409378*Deflactores!$H$5</f>
        <v>95.445782989086439</v>
      </c>
      <c r="L225" s="57">
        <f>44.13795317569*Deflactores!$I$5</f>
        <v>102.10633551980926</v>
      </c>
      <c r="M225" s="57">
        <f>45.30588674619*Deflactores!$J$5</f>
        <v>102.75128593181496</v>
      </c>
      <c r="N225" s="57">
        <f>71.5926447252699*Deflactores!$K$5</f>
        <v>157.37743452619037</v>
      </c>
      <c r="O225" s="57">
        <f>57.49331174759*Deflactores!$L$5</f>
        <v>121.8430836537996</v>
      </c>
      <c r="P225" s="57">
        <f>70.04693666078*Deflactores!$M$5</f>
        <v>144.91159392864364</v>
      </c>
      <c r="Q225" s="57">
        <f>75.79879258009*Deflactores!$N$5</f>
        <v>153.82667213456384</v>
      </c>
      <c r="R225" s="57">
        <f>101.2239093463*Deflactores!$O$5</f>
        <v>198.17152825264978</v>
      </c>
      <c r="S225" s="57">
        <f>106.531425175149*Deflactores!$P$5</f>
        <v>195.33795951527111</v>
      </c>
      <c r="T225" s="57">
        <f>101.31380135633*Deflactores!$Q$5</f>
        <v>175.66981517508427</v>
      </c>
      <c r="U225" s="57">
        <f>106.42314189073*Deflactores!$R$5</f>
        <v>177.27830940516029</v>
      </c>
      <c r="V225" s="57">
        <f>100.8343345373*Deflactores!$S$5</f>
        <v>162.79176735305629</v>
      </c>
    </row>
    <row r="226" spans="2:22" x14ac:dyDescent="0.2">
      <c r="C226" s="87" t="s">
        <v>143</v>
      </c>
      <c r="D226" s="56">
        <f>0.0585*Deflactores!$A$5</f>
        <v>0.21831706101102441</v>
      </c>
      <c r="E226" s="56">
        <f>0*Deflactores!$B$5</f>
        <v>0</v>
      </c>
      <c r="F226" s="56">
        <f>0*Deflactores!$C$5</f>
        <v>0</v>
      </c>
      <c r="G226" s="56">
        <f>0*Deflactores!$D$5</f>
        <v>0</v>
      </c>
      <c r="H226" s="56">
        <f>30.27942238435*Deflactores!$E$5</f>
        <v>87.330737241729565</v>
      </c>
      <c r="I226" s="56">
        <f>4.23428594992999*Deflactores!$F$5</f>
        <v>11.646887860582099</v>
      </c>
      <c r="J226" s="56">
        <f>0*Deflactores!$G$5</f>
        <v>0</v>
      </c>
      <c r="K226" s="56">
        <f>0*Deflactores!$H$5</f>
        <v>0</v>
      </c>
      <c r="L226" s="56">
        <f>0*Deflactores!$I$5</f>
        <v>0</v>
      </c>
      <c r="M226" s="56">
        <f>0*Deflactores!$J$5</f>
        <v>0</v>
      </c>
      <c r="N226" s="56">
        <f>0*Deflactores!$K$5</f>
        <v>0</v>
      </c>
      <c r="O226" s="56">
        <f>0*Deflactores!$L$5</f>
        <v>0</v>
      </c>
      <c r="P226" s="56">
        <f>0.036607469*Deflactores!$M$5</f>
        <v>7.5732743434212837E-2</v>
      </c>
      <c r="Q226" s="56">
        <f>3.487363484*Deflactores!$N$5</f>
        <v>7.0772831730861494</v>
      </c>
      <c r="R226" s="56">
        <f>1.10531429688*Deflactores!$O$5</f>
        <v>2.1639336479570495</v>
      </c>
      <c r="S226" s="56">
        <f>0.221295048*Deflactores!$P$5</f>
        <v>0.40577062642392758</v>
      </c>
      <c r="T226" s="56">
        <f>10.87767284817*Deflactores!$Q$5</f>
        <v>18.860991821364191</v>
      </c>
      <c r="U226" s="56">
        <f>18.85724748255*Deflactores!$R$5</f>
        <v>31.412161813203994</v>
      </c>
      <c r="V226" s="56">
        <f>55.41805192524*Deflactores!$S$5</f>
        <v>89.469550799049003</v>
      </c>
    </row>
    <row r="227" spans="2:22" x14ac:dyDescent="0.2">
      <c r="C227" s="88" t="s">
        <v>144</v>
      </c>
      <c r="D227" s="57">
        <f>0*Deflactores!$A$5</f>
        <v>0</v>
      </c>
      <c r="E227" s="57">
        <f>0*Deflactores!$B$5</f>
        <v>0</v>
      </c>
      <c r="F227" s="57">
        <f>0*Deflactores!$C$5</f>
        <v>0</v>
      </c>
      <c r="G227" s="57">
        <f>0*Deflactores!$D$5</f>
        <v>0</v>
      </c>
      <c r="H227" s="57">
        <f>0*Deflactores!$E$5</f>
        <v>0</v>
      </c>
      <c r="I227" s="57">
        <f>0*Deflactores!$F$5</f>
        <v>0</v>
      </c>
      <c r="J227" s="57">
        <f>0*Deflactores!$G$5</f>
        <v>0</v>
      </c>
      <c r="K227" s="57">
        <f>0*Deflactores!$H$5</f>
        <v>0</v>
      </c>
      <c r="L227" s="57">
        <f>0*Deflactores!$I$5</f>
        <v>0</v>
      </c>
      <c r="M227" s="57">
        <f>0*Deflactores!$J$5</f>
        <v>0</v>
      </c>
      <c r="N227" s="57">
        <f>0*Deflactores!$K$5</f>
        <v>0</v>
      </c>
      <c r="O227" s="57">
        <f>0*Deflactores!$L$5</f>
        <v>0</v>
      </c>
      <c r="P227" s="57">
        <f>0*Deflactores!$M$5</f>
        <v>0</v>
      </c>
      <c r="Q227" s="57">
        <f>0*Deflactores!$N$5</f>
        <v>0</v>
      </c>
      <c r="R227" s="57">
        <f>0*Deflactores!$O$5</f>
        <v>0</v>
      </c>
      <c r="S227" s="57">
        <f>0*Deflactores!$P$5</f>
        <v>0</v>
      </c>
      <c r="T227" s="57">
        <f>0*Deflactores!$Q$5</f>
        <v>0</v>
      </c>
      <c r="U227" s="57">
        <f>0*Deflactores!$R$5</f>
        <v>0</v>
      </c>
      <c r="V227" s="57">
        <f>0*Deflactores!$S$5</f>
        <v>0</v>
      </c>
    </row>
    <row r="228" spans="2:22" x14ac:dyDescent="0.2">
      <c r="C228" s="87" t="s">
        <v>145</v>
      </c>
      <c r="D228" s="56">
        <f>13.19807260786*Deflactores!$A$5</f>
        <v>49.254092696719688</v>
      </c>
      <c r="E228" s="56">
        <f>8.42325491804*Deflactores!$B$5</f>
        <v>29.201459783117311</v>
      </c>
      <c r="F228" s="56">
        <f>25.325727618*Deflactores!$C$5</f>
        <v>82.060827451319298</v>
      </c>
      <c r="G228" s="56">
        <f>10.921438592*Deflactores!$D$5</f>
        <v>33.230695245903235</v>
      </c>
      <c r="H228" s="56">
        <f>8.6644369565*Deflactores!$E$5</f>
        <v>24.989633474207892</v>
      </c>
      <c r="I228" s="56">
        <f>8.457745212*Deflactores!$F$5</f>
        <v>23.263995677752444</v>
      </c>
      <c r="J228" s="56">
        <f>17.87972867322*Deflactores!$G$5</f>
        <v>47.072362859634055</v>
      </c>
      <c r="K228" s="56">
        <f>14.77746589901*Deflactores!$H$5</f>
        <v>36.808897641766713</v>
      </c>
      <c r="L228" s="56">
        <f>15.734713613*Deflactores!$I$5</f>
        <v>36.399828988036724</v>
      </c>
      <c r="M228" s="56">
        <f>27.52228395792*Deflactores!$J$5</f>
        <v>62.419042459083059</v>
      </c>
      <c r="N228" s="56">
        <f>20.700269857*Deflactores!$K$5</f>
        <v>45.504051101839039</v>
      </c>
      <c r="O228" s="56">
        <f>20.30316057643*Deflactores!$L$5</f>
        <v>43.027608209648541</v>
      </c>
      <c r="P228" s="56">
        <f>31.30179109476*Deflactores!$M$5</f>
        <v>64.75647125483566</v>
      </c>
      <c r="Q228" s="56">
        <f>29.54546960946*Deflactores!$N$5</f>
        <v>59.959810862078605</v>
      </c>
      <c r="R228" s="56">
        <f>36.56226580494*Deflactores!$O$5</f>
        <v>71.579927486859134</v>
      </c>
      <c r="S228" s="56">
        <f>46.43256338891*Deflactores!$P$5</f>
        <v>85.139593059428677</v>
      </c>
      <c r="T228" s="56">
        <f>65.40106247224*Deflactores!$Q$5</f>
        <v>113.40007385908551</v>
      </c>
      <c r="U228" s="56">
        <f>75.38742508935*Deflactores!$R$5</f>
        <v>125.57940907223164</v>
      </c>
      <c r="V228" s="56">
        <f>77.23268403459*Deflactores!$S$5</f>
        <v>124.68813513873306</v>
      </c>
    </row>
    <row r="229" spans="2:22" x14ac:dyDescent="0.2">
      <c r="C229" s="88" t="s">
        <v>146</v>
      </c>
      <c r="D229" s="57">
        <f>52.32324760134*Deflactores!$A$5</f>
        <v>195.26594254490053</v>
      </c>
      <c r="E229" s="57">
        <f>52.4834509643899*Deflactores!$B$5</f>
        <v>181.94788089975782</v>
      </c>
      <c r="F229" s="57">
        <f>43.02344105333*Deflactores!$C$5</f>
        <v>139.40524141663855</v>
      </c>
      <c r="G229" s="57">
        <f>35.11699548035*Deflactores!$D$5</f>
        <v>106.85059160741672</v>
      </c>
      <c r="H229" s="57">
        <f>37.5551224230799*Deflactores!$E$5</f>
        <v>108.31502948702573</v>
      </c>
      <c r="I229" s="57">
        <f>40.60443884748*Deflactores!$F$5</f>
        <v>111.68715374696936</v>
      </c>
      <c r="J229" s="57">
        <f>41.96966322855*Deflactores!$G$5</f>
        <v>110.49447408841209</v>
      </c>
      <c r="K229" s="57">
        <f>49.0749189884199*Deflactores!$H$5</f>
        <v>122.23974544537838</v>
      </c>
      <c r="L229" s="57">
        <f>47.43972836685*Deflactores!$I$5</f>
        <v>109.74448231238071</v>
      </c>
      <c r="M229" s="57">
        <f>69.6277180176999*Deflactores!$J$5</f>
        <v>157.9118758428917</v>
      </c>
      <c r="N229" s="57">
        <f>104.265259607609*Deflactores!$K$5</f>
        <v>229.19950967338514</v>
      </c>
      <c r="O229" s="57">
        <f>108.938097893028*Deflactores!$L$5</f>
        <v>230.86778916023064</v>
      </c>
      <c r="P229" s="57">
        <f>215.896394363238*Deflactores!$M$5</f>
        <v>446.6418107922932</v>
      </c>
      <c r="Q229" s="57">
        <f>203.875713733393*Deflactores!$N$5</f>
        <v>413.74699391853562</v>
      </c>
      <c r="R229" s="57">
        <f>175.239371134067*Deflactores!$O$5</f>
        <v>343.07560547641225</v>
      </c>
      <c r="S229" s="57">
        <f>228.232417334454*Deflactores!$P$5</f>
        <v>418.49111305937885</v>
      </c>
      <c r="T229" s="57">
        <f>293.920438327549*Deflactores!$Q$5</f>
        <v>509.63391350387133</v>
      </c>
      <c r="U229" s="57">
        <f>265.64739755085*Deflactores!$R$5</f>
        <v>442.51203919584043</v>
      </c>
      <c r="V229" s="57">
        <f>208.28281572499*Deflactores!$S$5</f>
        <v>336.26172907006696</v>
      </c>
    </row>
    <row r="230" spans="2:22" x14ac:dyDescent="0.2">
      <c r="C230" s="90" t="s">
        <v>147</v>
      </c>
      <c r="D230" s="58">
        <f>499.25647124695*Deflactores!$A$5</f>
        <v>1863.1829998866519</v>
      </c>
      <c r="E230" s="58">
        <f>620.70701460627*Deflactores!$B$5</f>
        <v>2151.8464180995516</v>
      </c>
      <c r="F230" s="58">
        <f>579.03204114729*Deflactores!$C$5</f>
        <v>1876.1888753633116</v>
      </c>
      <c r="G230" s="58">
        <f>564.45576160723*Deflactores!$D$5</f>
        <v>1717.4713052457978</v>
      </c>
      <c r="H230" s="58">
        <f>696.24576498816*Deflactores!$E$5</f>
        <v>2008.0850680056078</v>
      </c>
      <c r="I230" s="58">
        <f>744.95558499834*Deflactores!$F$5</f>
        <v>2049.085551185663</v>
      </c>
      <c r="J230" s="58">
        <f>901.479830882889*Deflactores!$G$5</f>
        <v>2373.3461779830641</v>
      </c>
      <c r="K230" s="58">
        <f>1030.41551293217*Deflactores!$H$5</f>
        <v>2566.6416287619227</v>
      </c>
      <c r="L230" s="58">
        <f>1302.54552413503*Deflactores!$I$5</f>
        <v>3013.2378315723308</v>
      </c>
      <c r="M230" s="58">
        <f>1429.16812798872*Deflactores!$J$5</f>
        <v>3241.2755496051509</v>
      </c>
      <c r="N230" s="58">
        <f>1921.02270197129*Deflactores!$K$5</f>
        <v>4222.8587261017992</v>
      </c>
      <c r="O230" s="58">
        <f>1525.4581723887*Deflactores!$L$5</f>
        <v>3232.8373868029921</v>
      </c>
      <c r="P230" s="58">
        <f>2152.96595988887*Deflactores!$M$5</f>
        <v>4454.0096083358721</v>
      </c>
      <c r="Q230" s="58">
        <f>2375.70889424204*Deflactores!$N$5</f>
        <v>4821.2825128527074</v>
      </c>
      <c r="R230" s="58">
        <f>1135.57525320569*Deflactores!$O$5</f>
        <v>2223.1771606822163</v>
      </c>
      <c r="S230" s="58">
        <f>1630.59133960431*Deflactores!$P$5</f>
        <v>2989.8819485227345</v>
      </c>
      <c r="T230" s="58">
        <f>1908.17350631299*Deflactores!$Q$5</f>
        <v>3308.6162268952498</v>
      </c>
      <c r="U230" s="58">
        <f>2050.58480385542*Deflactores!$R$5</f>
        <v>3415.8379546118804</v>
      </c>
      <c r="V230" s="58">
        <f>1851.05280431146*Deflactores!$S$5</f>
        <v>2988.4280871236897</v>
      </c>
    </row>
    <row r="231" spans="2:22" ht="22.5" customHeight="1" x14ac:dyDescent="0.2">
      <c r="C231" s="89" t="s">
        <v>148</v>
      </c>
      <c r="D231" s="59">
        <f>0*Deflactores!$A$5</f>
        <v>0</v>
      </c>
      <c r="E231" s="59">
        <f>0*Deflactores!$B$5</f>
        <v>0</v>
      </c>
      <c r="F231" s="59">
        <f>0*Deflactores!$C$5</f>
        <v>0</v>
      </c>
      <c r="G231" s="59">
        <f>0*Deflactores!$D$5</f>
        <v>0</v>
      </c>
      <c r="H231" s="59">
        <f>0*Deflactores!$E$5</f>
        <v>0</v>
      </c>
      <c r="I231" s="59">
        <f>0*Deflactores!$F$5</f>
        <v>0</v>
      </c>
      <c r="J231" s="59">
        <f>0*Deflactores!$G$5</f>
        <v>0</v>
      </c>
      <c r="K231" s="59">
        <f>0*Deflactores!$H$5</f>
        <v>0</v>
      </c>
      <c r="L231" s="59">
        <f>0*Deflactores!$I$5</f>
        <v>0</v>
      </c>
      <c r="M231" s="59">
        <f>0*Deflactores!$J$5</f>
        <v>0</v>
      </c>
      <c r="N231" s="59">
        <f>0*Deflactores!$K$5</f>
        <v>0</v>
      </c>
      <c r="O231" s="59">
        <f>0*Deflactores!$L$5</f>
        <v>0</v>
      </c>
      <c r="P231" s="59">
        <f>0*Deflactores!$M$5</f>
        <v>0</v>
      </c>
      <c r="Q231" s="59">
        <f>0*Deflactores!$N$5</f>
        <v>0</v>
      </c>
      <c r="R231" s="59">
        <f>0*Deflactores!$O$5</f>
        <v>0</v>
      </c>
      <c r="S231" s="59">
        <f>0*Deflactores!$P$5</f>
        <v>0</v>
      </c>
      <c r="T231" s="59">
        <f>0*Deflactores!$Q$5</f>
        <v>0</v>
      </c>
      <c r="U231" s="59">
        <f>0*Deflactores!$R$5</f>
        <v>0</v>
      </c>
      <c r="V231" s="59">
        <f>0*Deflactores!$S$5</f>
        <v>0</v>
      </c>
    </row>
    <row r="232" spans="2:22" x14ac:dyDescent="0.2">
      <c r="C232" s="87" t="s">
        <v>149</v>
      </c>
      <c r="D232" s="56">
        <f>139.566073269379*Deflactores!$A$5</f>
        <v>520.84880227384815</v>
      </c>
      <c r="E232" s="56">
        <f>127.08253523984*Deflactores!$B$5</f>
        <v>440.56550324684758</v>
      </c>
      <c r="F232" s="56">
        <f>105.267459437939*Deflactores!$C$5</f>
        <v>341.08930473673172</v>
      </c>
      <c r="G232" s="56">
        <f>109.14518883255*Deflactores!$D$5</f>
        <v>332.09640626536157</v>
      </c>
      <c r="H232" s="56">
        <f>192.06696260422*Deflactores!$E$5</f>
        <v>553.95209430004138</v>
      </c>
      <c r="I232" s="56">
        <f>54.60220148942*Deflactores!$F$5</f>
        <v>150.18960108225531</v>
      </c>
      <c r="J232" s="56">
        <f>225.85112626493*Deflactores!$G$5</f>
        <v>594.60332771846197</v>
      </c>
      <c r="K232" s="56">
        <f>350.438187349999*Deflactores!$H$5</f>
        <v>872.89955233776254</v>
      </c>
      <c r="L232" s="56">
        <f>401.095495993*Deflactores!$I$5</f>
        <v>927.87246219433098</v>
      </c>
      <c r="M232" s="56">
        <f>595.44009923277*Deflactores!$J$5</f>
        <v>1350.4257456494822</v>
      </c>
      <c r="N232" s="56">
        <f>588.28136373227*Deflactores!$K$5</f>
        <v>1293.1804958320636</v>
      </c>
      <c r="O232" s="56">
        <f>790.33119014643*Deflactores!$L$5</f>
        <v>1674.9146359490242</v>
      </c>
      <c r="P232" s="56">
        <f>787.76145510234*Deflactores!$M$5</f>
        <v>1629.7039319114824</v>
      </c>
      <c r="Q232" s="56">
        <f>1040.98618919519*Deflactores!$N$5</f>
        <v>2112.5856464367894</v>
      </c>
      <c r="R232" s="56">
        <f>1495.34176767823*Deflactores!$O$5</f>
        <v>2927.5115461804226</v>
      </c>
      <c r="S232" s="56">
        <f>1219.1267919902*Deflactores!$P$5</f>
        <v>2235.4130675172482</v>
      </c>
      <c r="T232" s="56">
        <f>1010.71881574076*Deflactores!$Q$5</f>
        <v>1752.5034613072091</v>
      </c>
      <c r="U232" s="56">
        <f>981.055436224099*Deflactores!$R$5</f>
        <v>1634.2296052969625</v>
      </c>
      <c r="V232" s="56">
        <f>1112.42150529586*Deflactores!$S$5</f>
        <v>1795.9464275699816</v>
      </c>
    </row>
    <row r="233" spans="2:22" x14ac:dyDescent="0.2">
      <c r="C233" s="88" t="s">
        <v>150</v>
      </c>
      <c r="D233" s="57">
        <f>353.955766192339*Deflactores!$A$5</f>
        <v>1320.9330359490045</v>
      </c>
      <c r="E233" s="57">
        <f>582.440241523979*Deflactores!$B$5</f>
        <v>2019.1844428815184</v>
      </c>
      <c r="F233" s="57">
        <f>490.27121793148*Deflactores!$C$5</f>
        <v>1588.5846371667055</v>
      </c>
      <c r="G233" s="57">
        <f>513.28274558706*Deflactores!$D$5</f>
        <v>1561.7670098954009</v>
      </c>
      <c r="H233" s="57">
        <f>484.041176842189*Deflactores!$E$5</f>
        <v>1396.0528140996173</v>
      </c>
      <c r="I233" s="57">
        <f>445.9750613873*Deflactores!$F$5</f>
        <v>1226.7054209411583</v>
      </c>
      <c r="J233" s="57">
        <f>543.41879807326*Deflactores!$G$5</f>
        <v>1430.6708628058805</v>
      </c>
      <c r="K233" s="57">
        <f>613.04963175731*Deflactores!$H$5</f>
        <v>1527.0332071068667</v>
      </c>
      <c r="L233" s="57">
        <f>638.496980812689*Deflactores!$I$5</f>
        <v>1477.0641196645493</v>
      </c>
      <c r="M233" s="57">
        <f>689.22571005475*Deflactores!$J$5</f>
        <v>1563.1264078800828</v>
      </c>
      <c r="N233" s="57">
        <f>785.418301587579*Deflactores!$K$5</f>
        <v>1726.5337494948205</v>
      </c>
      <c r="O233" s="57">
        <f>380.641325773349*Deflactores!$L$5</f>
        <v>806.67666357277528</v>
      </c>
      <c r="P233" s="57">
        <f>688.167037172011*Deflactores!$M$5</f>
        <v>1423.6651451109697</v>
      </c>
      <c r="Q233" s="57">
        <f>739.49467804159*Deflactores!$N$5</f>
        <v>1500.7363773527729</v>
      </c>
      <c r="R233" s="57">
        <f>1007.10550095219*Deflactores!$O$5</f>
        <v>1971.6649705017649</v>
      </c>
      <c r="S233" s="57">
        <f>1076.504588593*Deflactores!$P$5</f>
        <v>1973.8984003908397</v>
      </c>
      <c r="T233" s="57">
        <f>1057.517455367*Deflactores!$Q$5</f>
        <v>1833.648460937344</v>
      </c>
      <c r="U233" s="57">
        <f>1633.0119326696*Deflactores!$R$5</f>
        <v>2720.2504034259941</v>
      </c>
      <c r="V233" s="57">
        <f>1620.14685481182*Deflactores!$S$5</f>
        <v>2615.6424899967801</v>
      </c>
    </row>
    <row r="234" spans="2:22" x14ac:dyDescent="0.2">
      <c r="C234" s="87" t="s">
        <v>151</v>
      </c>
      <c r="D234" s="56">
        <f>24.758258785*Deflactores!$A$5</f>
        <v>92.39573151609531</v>
      </c>
      <c r="E234" s="56">
        <f>16.7964772227*Deflactores!$B$5</f>
        <v>58.229468167496677</v>
      </c>
      <c r="F234" s="56">
        <f>6.44750666944*Deflactores!$C$5</f>
        <v>20.891314171605579</v>
      </c>
      <c r="G234" s="56">
        <f>6.84004114453*Deflactores!$D$5</f>
        <v>20.812214510807515</v>
      </c>
      <c r="H234" s="56">
        <f>11.08497780221*Deflactores!$E$5</f>
        <v>31.970863627687642</v>
      </c>
      <c r="I234" s="56">
        <f>7.22431628364*Deflactores!$F$5</f>
        <v>19.871308319723543</v>
      </c>
      <c r="J234" s="56">
        <f>9.91762342587*Deflactores!$G$5</f>
        <v>26.110349722867706</v>
      </c>
      <c r="K234" s="56">
        <f>13.86999891267*Deflactores!$H$5</f>
        <v>34.548506067071266</v>
      </c>
      <c r="L234" s="56">
        <f>0*Deflactores!$I$5</f>
        <v>0</v>
      </c>
      <c r="M234" s="56">
        <f>0*Deflactores!$J$5</f>
        <v>0</v>
      </c>
      <c r="N234" s="56">
        <f>0*Deflactores!$K$5</f>
        <v>0</v>
      </c>
      <c r="O234" s="56">
        <f>0*Deflactores!$L$5</f>
        <v>0</v>
      </c>
      <c r="P234" s="56">
        <f>0*Deflactores!$M$5</f>
        <v>0</v>
      </c>
      <c r="Q234" s="56">
        <f>0*Deflactores!$N$5</f>
        <v>0</v>
      </c>
      <c r="R234" s="56">
        <f>0*Deflactores!$O$5</f>
        <v>0</v>
      </c>
      <c r="S234" s="56">
        <f>0*Deflactores!$P$5</f>
        <v>0</v>
      </c>
      <c r="T234" s="56">
        <f>0*Deflactores!$Q$5</f>
        <v>0</v>
      </c>
      <c r="U234" s="56">
        <f>0*Deflactores!$R$5</f>
        <v>0</v>
      </c>
      <c r="V234" s="56">
        <f>0*Deflactores!$S$5</f>
        <v>0</v>
      </c>
    </row>
    <row r="235" spans="2:22" x14ac:dyDescent="0.2">
      <c r="C235" s="79" t="s">
        <v>152</v>
      </c>
      <c r="D235" s="44">
        <f t="shared" ref="D235:V235" si="63">+SUM(D206:D234)</f>
        <v>10763.557336903781</v>
      </c>
      <c r="E235" s="44">
        <f t="shared" si="63"/>
        <v>12030.262864717784</v>
      </c>
      <c r="F235" s="44">
        <f t="shared" si="63"/>
        <v>11286.04525173683</v>
      </c>
      <c r="G235" s="44">
        <f t="shared" si="63"/>
        <v>10885.789637484671</v>
      </c>
      <c r="H235" s="44">
        <f t="shared" si="63"/>
        <v>16808.376166320544</v>
      </c>
      <c r="I235" s="44">
        <f t="shared" si="63"/>
        <v>16775.798049977617</v>
      </c>
      <c r="J235" s="44">
        <f t="shared" si="63"/>
        <v>12830.751324719213</v>
      </c>
      <c r="K235" s="44">
        <f t="shared" si="63"/>
        <v>14146.948245513422</v>
      </c>
      <c r="L235" s="44">
        <f t="shared" si="63"/>
        <v>16302.030860021296</v>
      </c>
      <c r="M235" s="44">
        <f t="shared" si="63"/>
        <v>19989.362238124719</v>
      </c>
      <c r="N235" s="44">
        <f t="shared" si="63"/>
        <v>21460.044535324021</v>
      </c>
      <c r="O235" s="44">
        <f t="shared" si="63"/>
        <v>18658.528637715706</v>
      </c>
      <c r="P235" s="44">
        <f t="shared" si="63"/>
        <v>20774.712785470372</v>
      </c>
      <c r="Q235" s="44">
        <f t="shared" si="63"/>
        <v>23174.052214317675</v>
      </c>
      <c r="R235" s="44">
        <f t="shared" si="63"/>
        <v>17638.783611577746</v>
      </c>
      <c r="S235" s="44">
        <f t="shared" si="63"/>
        <v>17791.411731305991</v>
      </c>
      <c r="T235" s="44">
        <f t="shared" si="63"/>
        <v>19061.929711510413</v>
      </c>
      <c r="U235" s="44">
        <f t="shared" si="63"/>
        <v>19825.237679448735</v>
      </c>
      <c r="V235" s="44">
        <f t="shared" si="63"/>
        <v>18816.894126463554</v>
      </c>
    </row>
    <row r="236" spans="2:22" x14ac:dyDescent="0.2">
      <c r="C236" s="1" t="s">
        <v>52</v>
      </c>
      <c r="D236" s="12"/>
      <c r="E236" s="12"/>
      <c r="F236" s="12"/>
      <c r="G236" s="12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2:22" x14ac:dyDescent="0.2">
      <c r="B237" s="9"/>
    </row>
    <row r="240" spans="2:22" ht="18" customHeight="1" x14ac:dyDescent="0.2">
      <c r="D240" s="164" t="s">
        <v>177</v>
      </c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</row>
    <row r="241" spans="3:22" ht="6.75" customHeight="1" x14ac:dyDescent="0.2">
      <c r="H241" s="27"/>
      <c r="I241" s="27"/>
      <c r="J241" s="27"/>
      <c r="L241" s="179"/>
      <c r="M241" s="160"/>
      <c r="N241" s="160"/>
      <c r="O241" s="160"/>
      <c r="P241" s="160"/>
      <c r="Q241" s="160"/>
      <c r="R241" s="28"/>
      <c r="S241" s="28"/>
      <c r="T241" s="28"/>
      <c r="U241" s="28"/>
      <c r="V241" s="28"/>
    </row>
    <row r="242" spans="3:22" x14ac:dyDescent="0.2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3:22" ht="13.5" customHeight="1" x14ac:dyDescent="0.2">
      <c r="C243" s="181" t="s">
        <v>120</v>
      </c>
      <c r="D243" s="155">
        <v>2000</v>
      </c>
      <c r="E243" s="155">
        <v>2001</v>
      </c>
      <c r="F243" s="155">
        <v>2002</v>
      </c>
      <c r="G243" s="155">
        <v>2003</v>
      </c>
      <c r="H243" s="155">
        <v>2004</v>
      </c>
      <c r="I243" s="155">
        <v>2005</v>
      </c>
      <c r="J243" s="155">
        <v>2006</v>
      </c>
      <c r="K243" s="155">
        <v>2007</v>
      </c>
      <c r="L243" s="155">
        <v>2008</v>
      </c>
      <c r="M243" s="155">
        <v>2009</v>
      </c>
      <c r="N243" s="155">
        <v>2010</v>
      </c>
      <c r="O243" s="155">
        <v>2011</v>
      </c>
      <c r="P243" s="155">
        <v>2012</v>
      </c>
      <c r="Q243" s="155">
        <v>2013</v>
      </c>
      <c r="R243" s="155">
        <v>2014</v>
      </c>
      <c r="S243" s="155">
        <v>2015</v>
      </c>
      <c r="T243" s="155">
        <v>2016</v>
      </c>
      <c r="U243" s="155">
        <v>2017</v>
      </c>
      <c r="V243" s="155">
        <v>2018</v>
      </c>
    </row>
    <row r="244" spans="3:22" ht="12" customHeight="1" thickBot="1" x14ac:dyDescent="0.25">
      <c r="C244" s="162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</row>
    <row r="245" spans="3:22" x14ac:dyDescent="0.2">
      <c r="C245" s="87" t="s">
        <v>123</v>
      </c>
      <c r="D245" s="60">
        <f t="shared" ref="D245:V245" si="64">+IFERROR(IF(D206&gt;0,+((D206/D13)*100)," "),"")</f>
        <v>56.313260486198459</v>
      </c>
      <c r="E245" s="60">
        <f t="shared" si="64"/>
        <v>52.275303060451769</v>
      </c>
      <c r="F245" s="60">
        <f t="shared" si="64"/>
        <v>78.046409487715295</v>
      </c>
      <c r="G245" s="60">
        <f t="shared" si="64"/>
        <v>66.925907964383995</v>
      </c>
      <c r="H245" s="60">
        <f t="shared" si="64"/>
        <v>45.763201077671752</v>
      </c>
      <c r="I245" s="60">
        <f t="shared" si="64"/>
        <v>78.801549257294894</v>
      </c>
      <c r="J245" s="60">
        <f t="shared" si="64"/>
        <v>66.279044158542206</v>
      </c>
      <c r="K245" s="60">
        <f t="shared" si="64"/>
        <v>84.526551316864271</v>
      </c>
      <c r="L245" s="60">
        <f t="shared" si="64"/>
        <v>84.282565598653463</v>
      </c>
      <c r="M245" s="60">
        <f t="shared" si="64"/>
        <v>67.547290624664896</v>
      </c>
      <c r="N245" s="60">
        <f t="shared" si="64"/>
        <v>78.47130150314959</v>
      </c>
      <c r="O245" s="60">
        <f t="shared" si="64"/>
        <v>53.846177000857679</v>
      </c>
      <c r="P245" s="60">
        <f t="shared" si="64"/>
        <v>74.298019558969315</v>
      </c>
      <c r="Q245" s="60">
        <f t="shared" si="64"/>
        <v>63.223122557421384</v>
      </c>
      <c r="R245" s="60">
        <f t="shared" si="64"/>
        <v>74.035580816998873</v>
      </c>
      <c r="S245" s="60">
        <f t="shared" si="64"/>
        <v>64.596598443471223</v>
      </c>
      <c r="T245" s="60">
        <f t="shared" si="64"/>
        <v>87.647271436308245</v>
      </c>
      <c r="U245" s="60">
        <f t="shared" si="64"/>
        <v>88.543225087555754</v>
      </c>
      <c r="V245" s="60">
        <f t="shared" si="64"/>
        <v>83.767760191887604</v>
      </c>
    </row>
    <row r="246" spans="3:22" x14ac:dyDescent="0.2">
      <c r="C246" s="88" t="s">
        <v>124</v>
      </c>
      <c r="D246" s="62">
        <f t="shared" ref="D246:V246" si="65">+IFERROR(IF(D207&gt;0,+((D207/D14)*100)," "),"")</f>
        <v>43.739809960934075</v>
      </c>
      <c r="E246" s="62">
        <f t="shared" si="65"/>
        <v>26.762048084415586</v>
      </c>
      <c r="F246" s="62">
        <f t="shared" si="65"/>
        <v>43.179169468019253</v>
      </c>
      <c r="G246" s="62">
        <f t="shared" si="65"/>
        <v>33.705619655992294</v>
      </c>
      <c r="H246" s="62">
        <f t="shared" si="65"/>
        <v>22.654770698161393</v>
      </c>
      <c r="I246" s="62">
        <f t="shared" si="65"/>
        <v>55.830461300946396</v>
      </c>
      <c r="J246" s="62">
        <f t="shared" si="65"/>
        <v>66.288783659173262</v>
      </c>
      <c r="K246" s="62">
        <f t="shared" si="65"/>
        <v>78.07091556642537</v>
      </c>
      <c r="L246" s="62">
        <f t="shared" si="65"/>
        <v>67.595118027661783</v>
      </c>
      <c r="M246" s="62">
        <f t="shared" si="65"/>
        <v>74.082523029489337</v>
      </c>
      <c r="N246" s="62">
        <f t="shared" si="65"/>
        <v>73.230839858023444</v>
      </c>
      <c r="O246" s="62">
        <f t="shared" si="65"/>
        <v>74.153479076073808</v>
      </c>
      <c r="P246" s="62">
        <f t="shared" si="65"/>
        <v>80.157042107737027</v>
      </c>
      <c r="Q246" s="62">
        <f t="shared" si="65"/>
        <v>74.370779722845597</v>
      </c>
      <c r="R246" s="62">
        <f t="shared" si="65"/>
        <v>80.458996541986735</v>
      </c>
      <c r="S246" s="62">
        <f t="shared" si="65"/>
        <v>71.462796424249134</v>
      </c>
      <c r="T246" s="62">
        <f t="shared" si="65"/>
        <v>83.995280951245888</v>
      </c>
      <c r="U246" s="62">
        <f t="shared" si="65"/>
        <v>88.204530891330322</v>
      </c>
      <c r="V246" s="62">
        <f t="shared" si="65"/>
        <v>95.052834657178195</v>
      </c>
    </row>
    <row r="247" spans="3:22" x14ac:dyDescent="0.2">
      <c r="C247" s="87" t="s">
        <v>125</v>
      </c>
      <c r="D247" s="60">
        <f t="shared" ref="D247:V247" si="66">+IFERROR(IF(D208&gt;0,+((D208/D15)*100)," "),"")</f>
        <v>45.595400582183657</v>
      </c>
      <c r="E247" s="60">
        <f t="shared" si="66"/>
        <v>32.792224905276441</v>
      </c>
      <c r="F247" s="60">
        <f t="shared" si="66"/>
        <v>40.327333593281942</v>
      </c>
      <c r="G247" s="60">
        <f t="shared" si="66"/>
        <v>13.181369607600409</v>
      </c>
      <c r="H247" s="60">
        <f t="shared" si="66"/>
        <v>10.332093624802461</v>
      </c>
      <c r="I247" s="60">
        <f t="shared" si="66"/>
        <v>28.011295056740593</v>
      </c>
      <c r="J247" s="60">
        <f t="shared" si="66"/>
        <v>3.7902273335306345</v>
      </c>
      <c r="K247" s="60">
        <f t="shared" si="66"/>
        <v>33.312401990709859</v>
      </c>
      <c r="L247" s="60">
        <f t="shared" si="66"/>
        <v>28.700853182679946</v>
      </c>
      <c r="M247" s="60">
        <f t="shared" si="66"/>
        <v>90.72000582589402</v>
      </c>
      <c r="N247" s="60" t="str">
        <f t="shared" si="66"/>
        <v xml:space="preserve"> </v>
      </c>
      <c r="O247" s="60" t="str">
        <f t="shared" si="66"/>
        <v xml:space="preserve"> </v>
      </c>
      <c r="P247" s="60" t="str">
        <f t="shared" si="66"/>
        <v xml:space="preserve"> </v>
      </c>
      <c r="Q247" s="60" t="str">
        <f t="shared" si="66"/>
        <v xml:space="preserve"> </v>
      </c>
      <c r="R247" s="60" t="str">
        <f t="shared" si="66"/>
        <v xml:space="preserve"> </v>
      </c>
      <c r="S247" s="60" t="str">
        <f t="shared" si="66"/>
        <v xml:space="preserve"> </v>
      </c>
      <c r="T247" s="60" t="str">
        <f t="shared" si="66"/>
        <v xml:space="preserve"> </v>
      </c>
      <c r="U247" s="60" t="str">
        <f t="shared" si="66"/>
        <v xml:space="preserve"> </v>
      </c>
      <c r="V247" s="60" t="str">
        <f t="shared" si="66"/>
        <v xml:space="preserve"> </v>
      </c>
    </row>
    <row r="248" spans="3:22" x14ac:dyDescent="0.2">
      <c r="C248" s="88" t="s">
        <v>126</v>
      </c>
      <c r="D248" s="62">
        <f t="shared" ref="D248:V248" si="67">+IFERROR(IF(D209&gt;0,+((D209/D16)*100)," "),"")</f>
        <v>94.048083816540924</v>
      </c>
      <c r="E248" s="62">
        <f t="shared" si="67"/>
        <v>83.041134625873994</v>
      </c>
      <c r="F248" s="62">
        <f t="shared" si="67"/>
        <v>75.689729473616197</v>
      </c>
      <c r="G248" s="62">
        <f t="shared" si="67"/>
        <v>87.4350422852566</v>
      </c>
      <c r="H248" s="62">
        <f t="shared" si="67"/>
        <v>81.349718286002059</v>
      </c>
      <c r="I248" s="62">
        <f t="shared" si="67"/>
        <v>84.454773256353562</v>
      </c>
      <c r="J248" s="62">
        <f t="shared" si="67"/>
        <v>85.150918710533446</v>
      </c>
      <c r="K248" s="62">
        <f t="shared" si="67"/>
        <v>87.95147512677103</v>
      </c>
      <c r="L248" s="62">
        <f t="shared" si="67"/>
        <v>87.179806900785479</v>
      </c>
      <c r="M248" s="62">
        <f t="shared" si="67"/>
        <v>90.606217333651358</v>
      </c>
      <c r="N248" s="62">
        <f t="shared" si="67"/>
        <v>87.447647803392513</v>
      </c>
      <c r="O248" s="62">
        <f t="shared" si="67"/>
        <v>77.793134373730325</v>
      </c>
      <c r="P248" s="62">
        <f t="shared" si="67"/>
        <v>81.480982327031242</v>
      </c>
      <c r="Q248" s="62">
        <f t="shared" si="67"/>
        <v>79.776975595306794</v>
      </c>
      <c r="R248" s="62">
        <f t="shared" si="67"/>
        <v>87.56337204653407</v>
      </c>
      <c r="S248" s="62">
        <f t="shared" si="67"/>
        <v>89.997073205732818</v>
      </c>
      <c r="T248" s="62">
        <f t="shared" si="67"/>
        <v>92.904105909541912</v>
      </c>
      <c r="U248" s="62">
        <f t="shared" si="67"/>
        <v>91.286200309858074</v>
      </c>
      <c r="V248" s="62">
        <f t="shared" si="67"/>
        <v>90.887217168676074</v>
      </c>
    </row>
    <row r="249" spans="3:22" x14ac:dyDescent="0.2">
      <c r="C249" s="87" t="s">
        <v>127</v>
      </c>
      <c r="D249" s="60" t="str">
        <f t="shared" ref="D249:V249" si="68">+IFERROR(IF(D210&gt;0,+((D210/D17)*100)," "),"")</f>
        <v xml:space="preserve"> </v>
      </c>
      <c r="E249" s="60" t="str">
        <f t="shared" si="68"/>
        <v xml:space="preserve"> </v>
      </c>
      <c r="F249" s="60" t="str">
        <f t="shared" si="68"/>
        <v xml:space="preserve"> </v>
      </c>
      <c r="G249" s="60" t="str">
        <f t="shared" si="68"/>
        <v xml:space="preserve"> </v>
      </c>
      <c r="H249" s="60" t="str">
        <f t="shared" si="68"/>
        <v xml:space="preserve"> </v>
      </c>
      <c r="I249" s="60" t="str">
        <f t="shared" si="68"/>
        <v xml:space="preserve"> </v>
      </c>
      <c r="J249" s="60" t="str">
        <f t="shared" si="68"/>
        <v xml:space="preserve"> </v>
      </c>
      <c r="K249" s="60" t="str">
        <f t="shared" si="68"/>
        <v xml:space="preserve"> </v>
      </c>
      <c r="L249" s="60" t="str">
        <f t="shared" si="68"/>
        <v xml:space="preserve"> </v>
      </c>
      <c r="M249" s="60" t="str">
        <f t="shared" si="68"/>
        <v xml:space="preserve"> </v>
      </c>
      <c r="N249" s="60" t="str">
        <f t="shared" si="68"/>
        <v xml:space="preserve"> </v>
      </c>
      <c r="O249" s="60" t="str">
        <f t="shared" si="68"/>
        <v xml:space="preserve"> </v>
      </c>
      <c r="P249" s="60" t="str">
        <f t="shared" si="68"/>
        <v xml:space="preserve"> </v>
      </c>
      <c r="Q249" s="60" t="str">
        <f t="shared" si="68"/>
        <v xml:space="preserve"> </v>
      </c>
      <c r="R249" s="60" t="str">
        <f t="shared" si="68"/>
        <v xml:space="preserve"> </v>
      </c>
      <c r="S249" s="60" t="str">
        <f t="shared" si="68"/>
        <v xml:space="preserve"> </v>
      </c>
      <c r="T249" s="60" t="str">
        <f t="shared" si="68"/>
        <v xml:space="preserve"> </v>
      </c>
      <c r="U249" s="60" t="str">
        <f t="shared" si="68"/>
        <v xml:space="preserve"> </v>
      </c>
      <c r="V249" s="60" t="str">
        <f t="shared" si="68"/>
        <v xml:space="preserve"> </v>
      </c>
    </row>
    <row r="250" spans="3:22" x14ac:dyDescent="0.2">
      <c r="C250" s="88" t="s">
        <v>128</v>
      </c>
      <c r="D250" s="62">
        <f t="shared" ref="D250:V250" si="69">+IFERROR(IF(D211&gt;0,+((D211/D18)*100)," "),"")</f>
        <v>80.163487340653063</v>
      </c>
      <c r="E250" s="62">
        <f t="shared" si="69"/>
        <v>82.198815828070067</v>
      </c>
      <c r="F250" s="62">
        <f t="shared" si="69"/>
        <v>74.189484445591745</v>
      </c>
      <c r="G250" s="62">
        <f t="shared" si="69"/>
        <v>53.59285572298883</v>
      </c>
      <c r="H250" s="62">
        <f t="shared" si="69"/>
        <v>50.917583069526017</v>
      </c>
      <c r="I250" s="62">
        <f t="shared" si="69"/>
        <v>61.755679522397841</v>
      </c>
      <c r="J250" s="62">
        <f t="shared" si="69"/>
        <v>13.483791395540983</v>
      </c>
      <c r="K250" s="62">
        <f t="shared" si="69"/>
        <v>45.786228461746894</v>
      </c>
      <c r="L250" s="62">
        <f t="shared" si="69"/>
        <v>67.222068096108984</v>
      </c>
      <c r="M250" s="62">
        <f t="shared" si="69"/>
        <v>32.436473561329734</v>
      </c>
      <c r="N250" s="62">
        <f t="shared" si="69"/>
        <v>78.895772183462313</v>
      </c>
      <c r="O250" s="62">
        <f t="shared" si="69"/>
        <v>74.153301249393706</v>
      </c>
      <c r="P250" s="62">
        <f t="shared" si="69"/>
        <v>90.455634295991828</v>
      </c>
      <c r="Q250" s="62">
        <f t="shared" si="69"/>
        <v>84.921168421735615</v>
      </c>
      <c r="R250" s="62">
        <f t="shared" si="69"/>
        <v>91.097372689057792</v>
      </c>
      <c r="S250" s="62">
        <f t="shared" si="69"/>
        <v>74.743068517931178</v>
      </c>
      <c r="T250" s="62">
        <f t="shared" si="69"/>
        <v>91.675551876892541</v>
      </c>
      <c r="U250" s="62">
        <f t="shared" si="69"/>
        <v>92.569687956106279</v>
      </c>
      <c r="V250" s="62">
        <f t="shared" si="69"/>
        <v>91.621984230757235</v>
      </c>
    </row>
    <row r="251" spans="3:22" x14ac:dyDescent="0.2">
      <c r="C251" s="87" t="s">
        <v>129</v>
      </c>
      <c r="D251" s="60">
        <f t="shared" ref="D251:V251" si="70">+IFERROR(IF(D212&gt;0,+((D212/D19)*100)," "),"")</f>
        <v>69.267109144825241</v>
      </c>
      <c r="E251" s="60">
        <f t="shared" si="70"/>
        <v>75.707683341149917</v>
      </c>
      <c r="F251" s="60">
        <f t="shared" si="70"/>
        <v>72.518563883569541</v>
      </c>
      <c r="G251" s="60">
        <f t="shared" si="70"/>
        <v>75.911896833365901</v>
      </c>
      <c r="H251" s="60">
        <f t="shared" si="70"/>
        <v>79.305130903406763</v>
      </c>
      <c r="I251" s="60">
        <f t="shared" si="70"/>
        <v>77.411839390995524</v>
      </c>
      <c r="J251" s="60">
        <f t="shared" si="70"/>
        <v>65.394706763478567</v>
      </c>
      <c r="K251" s="60">
        <f t="shared" si="70"/>
        <v>82.785523750772398</v>
      </c>
      <c r="L251" s="60">
        <f t="shared" si="70"/>
        <v>86.695981890020434</v>
      </c>
      <c r="M251" s="60">
        <f t="shared" si="70"/>
        <v>83.392946528919111</v>
      </c>
      <c r="N251" s="60">
        <f t="shared" si="70"/>
        <v>85.644585777008857</v>
      </c>
      <c r="O251" s="60">
        <f t="shared" si="70"/>
        <v>75.458491674018617</v>
      </c>
      <c r="P251" s="60">
        <f t="shared" si="70"/>
        <v>73.063488072133083</v>
      </c>
      <c r="Q251" s="60">
        <f t="shared" si="70"/>
        <v>74.547238053503918</v>
      </c>
      <c r="R251" s="60">
        <f t="shared" si="70"/>
        <v>80.387743389410247</v>
      </c>
      <c r="S251" s="60">
        <f t="shared" si="70"/>
        <v>79.543466048779919</v>
      </c>
      <c r="T251" s="60">
        <f t="shared" si="70"/>
        <v>84.51229002515737</v>
      </c>
      <c r="U251" s="60">
        <f t="shared" si="70"/>
        <v>87.686044082189511</v>
      </c>
      <c r="V251" s="60">
        <f t="shared" si="70"/>
        <v>83.559919975059685</v>
      </c>
    </row>
    <row r="252" spans="3:22" x14ac:dyDescent="0.2">
      <c r="C252" s="88" t="s">
        <v>130</v>
      </c>
      <c r="D252" s="62">
        <f t="shared" ref="D252:V252" si="71">+IFERROR(IF(D213&gt;0,+((D213/D20)*100)," "),"")</f>
        <v>73.428092739234415</v>
      </c>
      <c r="E252" s="62">
        <f t="shared" si="71"/>
        <v>74.681216071764567</v>
      </c>
      <c r="F252" s="62">
        <f t="shared" si="71"/>
        <v>47.078652933886531</v>
      </c>
      <c r="G252" s="62">
        <f t="shared" si="71"/>
        <v>64.276370682826652</v>
      </c>
      <c r="H252" s="62">
        <f t="shared" si="71"/>
        <v>46.967130039141161</v>
      </c>
      <c r="I252" s="62">
        <f t="shared" si="71"/>
        <v>79.92391330769523</v>
      </c>
      <c r="J252" s="62">
        <f t="shared" si="71"/>
        <v>83.250260495232197</v>
      </c>
      <c r="K252" s="62">
        <f t="shared" si="71"/>
        <v>86.63886629636805</v>
      </c>
      <c r="L252" s="62">
        <f t="shared" si="71"/>
        <v>82.812895285458694</v>
      </c>
      <c r="M252" s="62">
        <f t="shared" si="71"/>
        <v>57.465901235985072</v>
      </c>
      <c r="N252" s="62">
        <f t="shared" si="71"/>
        <v>82.446692532602185</v>
      </c>
      <c r="O252" s="62">
        <f t="shared" si="71"/>
        <v>65.702226840516815</v>
      </c>
      <c r="P252" s="62" t="str">
        <f t="shared" si="71"/>
        <v xml:space="preserve"> </v>
      </c>
      <c r="Q252" s="62" t="str">
        <f t="shared" si="71"/>
        <v xml:space="preserve"> </v>
      </c>
      <c r="R252" s="62" t="str">
        <f t="shared" si="71"/>
        <v xml:space="preserve"> </v>
      </c>
      <c r="S252" s="62" t="str">
        <f t="shared" si="71"/>
        <v xml:space="preserve"> </v>
      </c>
      <c r="T252" s="62" t="str">
        <f t="shared" si="71"/>
        <v xml:space="preserve"> </v>
      </c>
      <c r="U252" s="62" t="str">
        <f t="shared" si="71"/>
        <v xml:space="preserve"> </v>
      </c>
      <c r="V252" s="62" t="str">
        <f t="shared" si="71"/>
        <v xml:space="preserve"> </v>
      </c>
    </row>
    <row r="253" spans="3:22" x14ac:dyDescent="0.2">
      <c r="C253" s="87" t="s">
        <v>131</v>
      </c>
      <c r="D253" s="60">
        <f t="shared" ref="D253:V253" si="72">+IFERROR(IF(D214&gt;0,+((D214/D21)*100)," "),"")</f>
        <v>84.226702668897531</v>
      </c>
      <c r="E253" s="60">
        <f t="shared" si="72"/>
        <v>87.762165143200193</v>
      </c>
      <c r="F253" s="60">
        <f t="shared" si="72"/>
        <v>84.316628817142387</v>
      </c>
      <c r="G253" s="60">
        <f t="shared" si="72"/>
        <v>81.846035809505196</v>
      </c>
      <c r="H253" s="60">
        <f t="shared" si="72"/>
        <v>73.083755141193052</v>
      </c>
      <c r="I253" s="60">
        <f t="shared" si="72"/>
        <v>64.751711952948085</v>
      </c>
      <c r="J253" s="60">
        <f t="shared" si="72"/>
        <v>49.316608535485152</v>
      </c>
      <c r="K253" s="60">
        <f t="shared" si="72"/>
        <v>79.076835863273942</v>
      </c>
      <c r="L253" s="60">
        <f t="shared" si="72"/>
        <v>79.888293520300707</v>
      </c>
      <c r="M253" s="60">
        <f t="shared" si="72"/>
        <v>84.434216810543631</v>
      </c>
      <c r="N253" s="60">
        <f t="shared" si="72"/>
        <v>71.176375808446096</v>
      </c>
      <c r="O253" s="60">
        <f t="shared" si="72"/>
        <v>61.889943362254854</v>
      </c>
      <c r="P253" s="60">
        <f t="shared" si="72"/>
        <v>79.505353823272927</v>
      </c>
      <c r="Q253" s="60">
        <f t="shared" si="72"/>
        <v>67.921191976300747</v>
      </c>
      <c r="R253" s="60">
        <f t="shared" si="72"/>
        <v>78.411844662513204</v>
      </c>
      <c r="S253" s="60">
        <f t="shared" si="72"/>
        <v>78.544116866188347</v>
      </c>
      <c r="T253" s="60">
        <f t="shared" si="72"/>
        <v>77.881265037326358</v>
      </c>
      <c r="U253" s="60">
        <f t="shared" si="72"/>
        <v>69.815523571576421</v>
      </c>
      <c r="V253" s="60">
        <f t="shared" si="72"/>
        <v>85.415162562113807</v>
      </c>
    </row>
    <row r="254" spans="3:22" x14ac:dyDescent="0.2">
      <c r="C254" s="88" t="s">
        <v>132</v>
      </c>
      <c r="D254" s="62">
        <f t="shared" ref="D254:V254" si="73">+IFERROR(IF(D215&gt;0,+((D215/D22)*100)," "),"")</f>
        <v>86.249259097143735</v>
      </c>
      <c r="E254" s="62">
        <f t="shared" si="73"/>
        <v>63.275108630778632</v>
      </c>
      <c r="F254" s="62">
        <f t="shared" si="73"/>
        <v>75.501198047065273</v>
      </c>
      <c r="G254" s="62">
        <f t="shared" si="73"/>
        <v>85.07641125702628</v>
      </c>
      <c r="H254" s="62">
        <f t="shared" si="73"/>
        <v>74.032167165168971</v>
      </c>
      <c r="I254" s="62">
        <f t="shared" si="73"/>
        <v>87.537333724138819</v>
      </c>
      <c r="J254" s="62">
        <f t="shared" si="73"/>
        <v>69.398176732160607</v>
      </c>
      <c r="K254" s="62">
        <f t="shared" si="73"/>
        <v>44.009997199608812</v>
      </c>
      <c r="L254" s="62">
        <f t="shared" si="73"/>
        <v>55.943694981896606</v>
      </c>
      <c r="M254" s="62">
        <f t="shared" si="73"/>
        <v>56.319881531303196</v>
      </c>
      <c r="N254" s="62">
        <f t="shared" si="73"/>
        <v>60.828500558467105</v>
      </c>
      <c r="O254" s="62">
        <f t="shared" si="73"/>
        <v>47.795443161073884</v>
      </c>
      <c r="P254" s="62">
        <f t="shared" si="73"/>
        <v>63.489969876042721</v>
      </c>
      <c r="Q254" s="62">
        <f t="shared" si="73"/>
        <v>63.233523323569926</v>
      </c>
      <c r="R254" s="62">
        <f t="shared" si="73"/>
        <v>58.793524913629312</v>
      </c>
      <c r="S254" s="62">
        <f t="shared" si="73"/>
        <v>66.407325931834421</v>
      </c>
      <c r="T254" s="62">
        <f t="shared" si="73"/>
        <v>82.838707649420655</v>
      </c>
      <c r="U254" s="62">
        <f t="shared" si="73"/>
        <v>83.651182868425053</v>
      </c>
      <c r="V254" s="62">
        <f t="shared" si="73"/>
        <v>85.175959228196703</v>
      </c>
    </row>
    <row r="255" spans="3:22" x14ac:dyDescent="0.2">
      <c r="C255" s="87" t="s">
        <v>133</v>
      </c>
      <c r="D255" s="60">
        <f t="shared" ref="D255:V255" si="74">+IFERROR(IF(D216&gt;0,+((D216/D23)*100)," "),"")</f>
        <v>48.873205038815549</v>
      </c>
      <c r="E255" s="60">
        <f t="shared" si="74"/>
        <v>32.655861478276471</v>
      </c>
      <c r="F255" s="60">
        <f t="shared" si="74"/>
        <v>74.790810853604341</v>
      </c>
      <c r="G255" s="60">
        <f t="shared" si="74"/>
        <v>22.575940656311875</v>
      </c>
      <c r="H255" s="60">
        <f t="shared" si="74"/>
        <v>27.363141754874515</v>
      </c>
      <c r="I255" s="60">
        <f t="shared" si="74"/>
        <v>84.792660759509658</v>
      </c>
      <c r="J255" s="60">
        <f t="shared" si="74"/>
        <v>53.452017330618894</v>
      </c>
      <c r="K255" s="60">
        <f t="shared" si="74"/>
        <v>51.013837295738199</v>
      </c>
      <c r="L255" s="60">
        <f t="shared" si="74"/>
        <v>65.880641599353481</v>
      </c>
      <c r="M255" s="60">
        <f t="shared" si="74"/>
        <v>83.872309543428685</v>
      </c>
      <c r="N255" s="60">
        <f t="shared" si="74"/>
        <v>60.276920292373426</v>
      </c>
      <c r="O255" s="60">
        <f t="shared" si="74"/>
        <v>29.467029643724985</v>
      </c>
      <c r="P255" s="60">
        <f t="shared" si="74"/>
        <v>64.609470526839985</v>
      </c>
      <c r="Q255" s="60">
        <f t="shared" si="74"/>
        <v>41.557444632554386</v>
      </c>
      <c r="R255" s="60">
        <f t="shared" si="74"/>
        <v>63.51456010752262</v>
      </c>
      <c r="S255" s="60">
        <f t="shared" si="74"/>
        <v>26.385607888338264</v>
      </c>
      <c r="T255" s="60">
        <f t="shared" si="74"/>
        <v>32.336742476404154</v>
      </c>
      <c r="U255" s="60">
        <f t="shared" si="74"/>
        <v>44.209547459087503</v>
      </c>
      <c r="V255" s="60">
        <f t="shared" si="74"/>
        <v>44.083770939274807</v>
      </c>
    </row>
    <row r="256" spans="3:22" x14ac:dyDescent="0.2">
      <c r="C256" s="88" t="s">
        <v>134</v>
      </c>
      <c r="D256" s="62">
        <f t="shared" ref="D256:V256" si="75">+IFERROR(IF(D217&gt;0,+((D217/D24)*100)," "),"")</f>
        <v>65.751283878505632</v>
      </c>
      <c r="E256" s="62">
        <f t="shared" si="75"/>
        <v>83.42137206723929</v>
      </c>
      <c r="F256" s="62">
        <f t="shared" si="75"/>
        <v>82.202988822093232</v>
      </c>
      <c r="G256" s="62">
        <f t="shared" si="75"/>
        <v>83.311350251758583</v>
      </c>
      <c r="H256" s="62">
        <f t="shared" si="75"/>
        <v>84.56489188959344</v>
      </c>
      <c r="I256" s="62">
        <f t="shared" si="75"/>
        <v>77.807902147758583</v>
      </c>
      <c r="J256" s="62">
        <f t="shared" si="75"/>
        <v>85.980938656488306</v>
      </c>
      <c r="K256" s="62">
        <f t="shared" si="75"/>
        <v>81.742564202979096</v>
      </c>
      <c r="L256" s="62">
        <f t="shared" si="75"/>
        <v>86.428610617279347</v>
      </c>
      <c r="M256" s="62">
        <f t="shared" si="75"/>
        <v>85.456617352676403</v>
      </c>
      <c r="N256" s="62">
        <f t="shared" si="75"/>
        <v>87.723520706068086</v>
      </c>
      <c r="O256" s="62">
        <f t="shared" si="75"/>
        <v>87.575678226425481</v>
      </c>
      <c r="P256" s="62">
        <f t="shared" si="75"/>
        <v>84.329977167879946</v>
      </c>
      <c r="Q256" s="62">
        <f t="shared" si="75"/>
        <v>76.152216725333062</v>
      </c>
      <c r="R256" s="62">
        <f t="shared" si="75"/>
        <v>69.24351905573964</v>
      </c>
      <c r="S256" s="62">
        <f t="shared" si="75"/>
        <v>67.945802308589791</v>
      </c>
      <c r="T256" s="62">
        <f t="shared" si="75"/>
        <v>74.107766248366602</v>
      </c>
      <c r="U256" s="62">
        <f t="shared" si="75"/>
        <v>75.143076163387548</v>
      </c>
      <c r="V256" s="62">
        <f t="shared" si="75"/>
        <v>77.615998572351188</v>
      </c>
    </row>
    <row r="257" spans="3:22" x14ac:dyDescent="0.2">
      <c r="C257" s="87" t="s">
        <v>135</v>
      </c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</row>
    <row r="258" spans="3:22" x14ac:dyDescent="0.2">
      <c r="C258" s="88" t="s">
        <v>136</v>
      </c>
      <c r="D258" s="62">
        <f t="shared" ref="D258:V258" si="76">+IFERROR(IF(D219&gt;0,+((D219/D26)*100)," "),"")</f>
        <v>71.972931888010223</v>
      </c>
      <c r="E258" s="62">
        <f t="shared" si="76"/>
        <v>76.457655668144028</v>
      </c>
      <c r="F258" s="62">
        <f t="shared" si="76"/>
        <v>81.785789952716016</v>
      </c>
      <c r="G258" s="62">
        <f t="shared" si="76"/>
        <v>83.612965056374037</v>
      </c>
      <c r="H258" s="62">
        <f t="shared" si="76"/>
        <v>86.858269804671295</v>
      </c>
      <c r="I258" s="62">
        <f t="shared" si="76"/>
        <v>89.608161973192267</v>
      </c>
      <c r="J258" s="62">
        <f t="shared" si="76"/>
        <v>82.536509524190706</v>
      </c>
      <c r="K258" s="62">
        <f t="shared" si="76"/>
        <v>72.559135537056591</v>
      </c>
      <c r="L258" s="62">
        <f t="shared" si="76"/>
        <v>85.81496061884603</v>
      </c>
      <c r="M258" s="62">
        <f t="shared" si="76"/>
        <v>87.889723691634941</v>
      </c>
      <c r="N258" s="62">
        <f t="shared" si="76"/>
        <v>85.192730576003029</v>
      </c>
      <c r="O258" s="62">
        <f t="shared" si="76"/>
        <v>67.396322874849872</v>
      </c>
      <c r="P258" s="62">
        <f t="shared" si="76"/>
        <v>88.565383748304981</v>
      </c>
      <c r="Q258" s="62">
        <f t="shared" si="76"/>
        <v>87.974453698711386</v>
      </c>
      <c r="R258" s="62">
        <f t="shared" si="76"/>
        <v>89.180401476795083</v>
      </c>
      <c r="S258" s="62">
        <f t="shared" si="76"/>
        <v>86.029547637105907</v>
      </c>
      <c r="T258" s="62">
        <f t="shared" si="76"/>
        <v>93.628700715812627</v>
      </c>
      <c r="U258" s="62">
        <f t="shared" si="76"/>
        <v>94.703718791925922</v>
      </c>
      <c r="V258" s="62">
        <f t="shared" si="76"/>
        <v>92.891577185842991</v>
      </c>
    </row>
    <row r="259" spans="3:22" x14ac:dyDescent="0.2">
      <c r="C259" s="87" t="s">
        <v>137</v>
      </c>
      <c r="D259" s="60">
        <f t="shared" ref="D259:V259" si="77">+IFERROR(IF(D220&gt;0,+((D220/D27)*100)," "),"")</f>
        <v>71.077214531759068</v>
      </c>
      <c r="E259" s="60">
        <f t="shared" si="77"/>
        <v>66.355429150902594</v>
      </c>
      <c r="F259" s="60">
        <f t="shared" si="77"/>
        <v>77.914163624125706</v>
      </c>
      <c r="G259" s="60">
        <f t="shared" si="77"/>
        <v>62.697874316326029</v>
      </c>
      <c r="H259" s="60">
        <f t="shared" si="77"/>
        <v>52.48267663778622</v>
      </c>
      <c r="I259" s="60">
        <f t="shared" si="77"/>
        <v>40.076967381577724</v>
      </c>
      <c r="J259" s="60">
        <f t="shared" si="77"/>
        <v>66.256008364409396</v>
      </c>
      <c r="K259" s="60">
        <f t="shared" si="77"/>
        <v>86.833121358224844</v>
      </c>
      <c r="L259" s="60">
        <f t="shared" si="77"/>
        <v>68.41430433703583</v>
      </c>
      <c r="M259" s="60">
        <f t="shared" si="77"/>
        <v>69.045299115848678</v>
      </c>
      <c r="N259" s="60">
        <f t="shared" si="77"/>
        <v>56.760797592575798</v>
      </c>
      <c r="O259" s="60">
        <f t="shared" si="77"/>
        <v>64.68236919109458</v>
      </c>
      <c r="P259" s="60">
        <f t="shared" si="77"/>
        <v>71.371861610160266</v>
      </c>
      <c r="Q259" s="60">
        <f t="shared" si="77"/>
        <v>67.554028311327485</v>
      </c>
      <c r="R259" s="60">
        <f t="shared" si="77"/>
        <v>76.957761555526233</v>
      </c>
      <c r="S259" s="60">
        <f t="shared" si="77"/>
        <v>75.490146204605367</v>
      </c>
      <c r="T259" s="60">
        <f t="shared" si="77"/>
        <v>75.319994591269364</v>
      </c>
      <c r="U259" s="60">
        <f t="shared" si="77"/>
        <v>76.312586338484849</v>
      </c>
      <c r="V259" s="60">
        <f t="shared" si="77"/>
        <v>72.286419826871125</v>
      </c>
    </row>
    <row r="260" spans="3:22" x14ac:dyDescent="0.2">
      <c r="C260" s="88" t="s">
        <v>138</v>
      </c>
      <c r="D260" s="62">
        <f t="shared" ref="D260:V260" si="78">+IFERROR(IF(D221&gt;0,+((D221/D28)*100)," "),"")</f>
        <v>85.296591108360687</v>
      </c>
      <c r="E260" s="62">
        <f t="shared" si="78"/>
        <v>77.289135320987143</v>
      </c>
      <c r="F260" s="62">
        <f t="shared" si="78"/>
        <v>81.152860886342154</v>
      </c>
      <c r="G260" s="62">
        <f t="shared" si="78"/>
        <v>39.490543589015978</v>
      </c>
      <c r="H260" s="62">
        <f t="shared" si="78"/>
        <v>51.063474063112444</v>
      </c>
      <c r="I260" s="62">
        <f t="shared" si="78"/>
        <v>39.342365180278293</v>
      </c>
      <c r="J260" s="62">
        <f t="shared" si="78"/>
        <v>29.875248874987815</v>
      </c>
      <c r="K260" s="62">
        <f t="shared" si="78"/>
        <v>76.722603823445709</v>
      </c>
      <c r="L260" s="62">
        <f t="shared" si="78"/>
        <v>65.912709039392595</v>
      </c>
      <c r="M260" s="62">
        <f t="shared" si="78"/>
        <v>46.538704616909818</v>
      </c>
      <c r="N260" s="62">
        <f t="shared" si="78"/>
        <v>43.532883831172136</v>
      </c>
      <c r="O260" s="62">
        <f t="shared" si="78"/>
        <v>49.737919023495785</v>
      </c>
      <c r="P260" s="62">
        <f t="shared" si="78"/>
        <v>84.554755673358699</v>
      </c>
      <c r="Q260" s="62">
        <f t="shared" si="78"/>
        <v>93.260434084807059</v>
      </c>
      <c r="R260" s="62">
        <f t="shared" si="78"/>
        <v>81.154889454033295</v>
      </c>
      <c r="S260" s="62" t="str">
        <f t="shared" si="78"/>
        <v xml:space="preserve"> </v>
      </c>
      <c r="T260" s="62" t="str">
        <f t="shared" si="78"/>
        <v xml:space="preserve"> </v>
      </c>
      <c r="U260" s="62" t="str">
        <f t="shared" si="78"/>
        <v xml:space="preserve"> </v>
      </c>
      <c r="V260" s="62" t="str">
        <f t="shared" si="78"/>
        <v xml:space="preserve"> </v>
      </c>
    </row>
    <row r="261" spans="3:22" x14ac:dyDescent="0.2">
      <c r="C261" s="87" t="s">
        <v>139</v>
      </c>
      <c r="D261" s="60">
        <f t="shared" ref="D261:V261" si="79">+IFERROR(IF(D222&gt;0,+((D222/D29)*100)," "),"")</f>
        <v>72.652741762634363</v>
      </c>
      <c r="E261" s="60">
        <f t="shared" si="79"/>
        <v>65.993682370071383</v>
      </c>
      <c r="F261" s="60">
        <f t="shared" si="79"/>
        <v>80.301909893586114</v>
      </c>
      <c r="G261" s="60">
        <f t="shared" si="79"/>
        <v>73.752247566891143</v>
      </c>
      <c r="H261" s="60">
        <f t="shared" si="79"/>
        <v>54.882332684735069</v>
      </c>
      <c r="I261" s="60">
        <f t="shared" si="79"/>
        <v>77.988720748303535</v>
      </c>
      <c r="J261" s="60">
        <f t="shared" si="79"/>
        <v>75.276820843852121</v>
      </c>
      <c r="K261" s="60">
        <f t="shared" si="79"/>
        <v>72.3514537414991</v>
      </c>
      <c r="L261" s="60">
        <f t="shared" si="79"/>
        <v>58.784337886016843</v>
      </c>
      <c r="M261" s="60">
        <f t="shared" si="79"/>
        <v>64.915171653324592</v>
      </c>
      <c r="N261" s="60">
        <f t="shared" si="79"/>
        <v>52.142971206660235</v>
      </c>
      <c r="O261" s="60">
        <f t="shared" si="79"/>
        <v>65.767869237934136</v>
      </c>
      <c r="P261" s="60">
        <f t="shared" si="79"/>
        <v>74.334252721823617</v>
      </c>
      <c r="Q261" s="60">
        <f t="shared" si="79"/>
        <v>81.169552582713905</v>
      </c>
      <c r="R261" s="60">
        <f t="shared" si="79"/>
        <v>76.441567447435915</v>
      </c>
      <c r="S261" s="60">
        <f t="shared" si="79"/>
        <v>76.154778648072082</v>
      </c>
      <c r="T261" s="60">
        <f t="shared" si="79"/>
        <v>65.984198201968653</v>
      </c>
      <c r="U261" s="60">
        <f t="shared" si="79"/>
        <v>51.987577187898935</v>
      </c>
      <c r="V261" s="60">
        <f t="shared" si="79"/>
        <v>85.571633205279014</v>
      </c>
    </row>
    <row r="262" spans="3:22" x14ac:dyDescent="0.2">
      <c r="C262" s="88" t="s">
        <v>140</v>
      </c>
      <c r="D262" s="62">
        <f t="shared" ref="D262:V262" si="80">+IFERROR(IF(D223&gt;0,+((D223/D30)*100)," "),"")</f>
        <v>44.24890400494035</v>
      </c>
      <c r="E262" s="62">
        <f t="shared" si="80"/>
        <v>27.162581137694897</v>
      </c>
      <c r="F262" s="62">
        <f t="shared" si="80"/>
        <v>45.77296527195714</v>
      </c>
      <c r="G262" s="62">
        <f t="shared" si="80"/>
        <v>59.58947080747452</v>
      </c>
      <c r="H262" s="62">
        <f t="shared" si="80"/>
        <v>81.812525568152978</v>
      </c>
      <c r="I262" s="62">
        <f t="shared" si="80"/>
        <v>89.924047566220793</v>
      </c>
      <c r="J262" s="62">
        <f t="shared" si="80"/>
        <v>63.115417042031694</v>
      </c>
      <c r="K262" s="62">
        <f t="shared" si="80"/>
        <v>56.141349040405849</v>
      </c>
      <c r="L262" s="62">
        <f t="shared" si="80"/>
        <v>66.991316409540786</v>
      </c>
      <c r="M262" s="62">
        <f t="shared" si="80"/>
        <v>69.027503867824962</v>
      </c>
      <c r="N262" s="62">
        <f t="shared" si="80"/>
        <v>85.219342157918277</v>
      </c>
      <c r="O262" s="62">
        <f t="shared" si="80"/>
        <v>86.966184767085025</v>
      </c>
      <c r="P262" s="62">
        <f t="shared" si="80"/>
        <v>72.734419205698543</v>
      </c>
      <c r="Q262" s="62">
        <f t="shared" si="80"/>
        <v>70.276462611958408</v>
      </c>
      <c r="R262" s="62">
        <f t="shared" si="80"/>
        <v>81.567827772645359</v>
      </c>
      <c r="S262" s="62">
        <f t="shared" si="80"/>
        <v>84.025375231550271</v>
      </c>
      <c r="T262" s="62">
        <f t="shared" si="80"/>
        <v>87.909283178737567</v>
      </c>
      <c r="U262" s="62">
        <f t="shared" si="80"/>
        <v>83.636077728478242</v>
      </c>
      <c r="V262" s="62">
        <f t="shared" si="80"/>
        <v>82.862863214456382</v>
      </c>
    </row>
    <row r="263" spans="3:22" x14ac:dyDescent="0.2">
      <c r="C263" s="87" t="s">
        <v>141</v>
      </c>
      <c r="D263" s="60">
        <f t="shared" ref="D263:V263" si="81">+IFERROR(IF(D224&gt;0,+((D224/D31)*100)," "),"")</f>
        <v>39.850320662837305</v>
      </c>
      <c r="E263" s="60">
        <f t="shared" si="81"/>
        <v>55.037769485162421</v>
      </c>
      <c r="F263" s="60">
        <f t="shared" si="81"/>
        <v>79.939207928625663</v>
      </c>
      <c r="G263" s="60">
        <f t="shared" si="81"/>
        <v>58.598920112778188</v>
      </c>
      <c r="H263" s="60">
        <f t="shared" si="81"/>
        <v>62.172643114326931</v>
      </c>
      <c r="I263" s="60">
        <f t="shared" si="81"/>
        <v>52.728144151485445</v>
      </c>
      <c r="J263" s="60">
        <f t="shared" si="81"/>
        <v>77.524280567271092</v>
      </c>
      <c r="K263" s="60">
        <f t="shared" si="81"/>
        <v>80.988741847746567</v>
      </c>
      <c r="L263" s="60">
        <f t="shared" si="81"/>
        <v>76.382767270131851</v>
      </c>
      <c r="M263" s="60">
        <f t="shared" si="81"/>
        <v>80.738006831372104</v>
      </c>
      <c r="N263" s="60">
        <f t="shared" si="81"/>
        <v>64.14485497714864</v>
      </c>
      <c r="O263" s="60">
        <f t="shared" si="81"/>
        <v>59.909341957623077</v>
      </c>
      <c r="P263" s="60">
        <f t="shared" si="81"/>
        <v>42.650729398572921</v>
      </c>
      <c r="Q263" s="60">
        <f t="shared" si="81"/>
        <v>52.649414911425218</v>
      </c>
      <c r="R263" s="60">
        <f t="shared" si="81"/>
        <v>54.536322319737415</v>
      </c>
      <c r="S263" s="60">
        <f t="shared" si="81"/>
        <v>74.862263423390658</v>
      </c>
      <c r="T263" s="60">
        <f t="shared" si="81"/>
        <v>64.830122836056816</v>
      </c>
      <c r="U263" s="60">
        <f t="shared" si="81"/>
        <v>67.817802314666949</v>
      </c>
      <c r="V263" s="60">
        <f t="shared" si="81"/>
        <v>73.770586052879992</v>
      </c>
    </row>
    <row r="264" spans="3:22" x14ac:dyDescent="0.2">
      <c r="C264" s="88" t="s">
        <v>142</v>
      </c>
      <c r="D264" s="62">
        <f t="shared" ref="D264:V264" si="82">+IFERROR(IF(D225&gt;0,+((D225/D32)*100)," "),"")</f>
        <v>89.642432542422171</v>
      </c>
      <c r="E264" s="62">
        <f t="shared" si="82"/>
        <v>90.165015170209045</v>
      </c>
      <c r="F264" s="62">
        <f t="shared" si="82"/>
        <v>76.995904076619141</v>
      </c>
      <c r="G264" s="62">
        <f t="shared" si="82"/>
        <v>66.563498351339476</v>
      </c>
      <c r="H264" s="62">
        <f t="shared" si="82"/>
        <v>69.595988355759346</v>
      </c>
      <c r="I264" s="62">
        <f t="shared" si="82"/>
        <v>71.440772315911289</v>
      </c>
      <c r="J264" s="62">
        <f t="shared" si="82"/>
        <v>64.427486749965851</v>
      </c>
      <c r="K264" s="62">
        <f t="shared" si="82"/>
        <v>69.998189273391247</v>
      </c>
      <c r="L264" s="62">
        <f t="shared" si="82"/>
        <v>80.608014713819159</v>
      </c>
      <c r="M264" s="62">
        <f t="shared" si="82"/>
        <v>74.727489374102234</v>
      </c>
      <c r="N264" s="62">
        <f t="shared" si="82"/>
        <v>87.987520062719753</v>
      </c>
      <c r="O264" s="62">
        <f t="shared" si="82"/>
        <v>74.320977965210588</v>
      </c>
      <c r="P264" s="62">
        <f t="shared" si="82"/>
        <v>82.726505260366153</v>
      </c>
      <c r="Q264" s="62">
        <f t="shared" si="82"/>
        <v>62.842252258497808</v>
      </c>
      <c r="R264" s="62">
        <f t="shared" si="82"/>
        <v>81.690817882431745</v>
      </c>
      <c r="S264" s="62">
        <f t="shared" si="82"/>
        <v>83.897611454551537</v>
      </c>
      <c r="T264" s="62">
        <f t="shared" si="82"/>
        <v>85.673097993384687</v>
      </c>
      <c r="U264" s="62">
        <f t="shared" si="82"/>
        <v>85.254005715278751</v>
      </c>
      <c r="V264" s="62">
        <f t="shared" si="82"/>
        <v>89.31193320553497</v>
      </c>
    </row>
    <row r="265" spans="3:22" x14ac:dyDescent="0.2">
      <c r="C265" s="87" t="s">
        <v>143</v>
      </c>
      <c r="D265" s="60">
        <f t="shared" ref="D265:V265" si="83">+IFERROR(IF(D226&gt;0,+((D226/D33)*100)," "),"")</f>
        <v>100</v>
      </c>
      <c r="E265" s="60" t="str">
        <f t="shared" si="83"/>
        <v xml:space="preserve"> </v>
      </c>
      <c r="F265" s="60" t="str">
        <f t="shared" si="83"/>
        <v xml:space="preserve"> </v>
      </c>
      <c r="G265" s="60" t="str">
        <f t="shared" si="83"/>
        <v xml:space="preserve"> </v>
      </c>
      <c r="H265" s="60">
        <f t="shared" si="83"/>
        <v>45.47033186679996</v>
      </c>
      <c r="I265" s="60">
        <f t="shared" si="83"/>
        <v>47.748295316648296</v>
      </c>
      <c r="J265" s="60" t="str">
        <f t="shared" si="83"/>
        <v xml:space="preserve"> </v>
      </c>
      <c r="K265" s="60" t="str">
        <f t="shared" si="83"/>
        <v xml:space="preserve"> </v>
      </c>
      <c r="L265" s="60" t="str">
        <f t="shared" si="83"/>
        <v xml:space="preserve"> </v>
      </c>
      <c r="M265" s="60" t="str">
        <f t="shared" si="83"/>
        <v xml:space="preserve"> </v>
      </c>
      <c r="N265" s="60" t="str">
        <f t="shared" si="83"/>
        <v xml:space="preserve"> </v>
      </c>
      <c r="O265" s="60" t="str">
        <f t="shared" si="83"/>
        <v xml:space="preserve"> </v>
      </c>
      <c r="P265" s="60">
        <f t="shared" si="83"/>
        <v>7.623102218922144E-2</v>
      </c>
      <c r="Q265" s="60">
        <f t="shared" si="83"/>
        <v>50.862349575365059</v>
      </c>
      <c r="R265" s="60">
        <f t="shared" si="83"/>
        <v>8.6177623181964105</v>
      </c>
      <c r="S265" s="60">
        <f t="shared" si="83"/>
        <v>6.6876714415231184</v>
      </c>
      <c r="T265" s="60">
        <f t="shared" si="83"/>
        <v>91.557205299293742</v>
      </c>
      <c r="U265" s="60">
        <f t="shared" si="83"/>
        <v>91.777205605581329</v>
      </c>
      <c r="V265" s="60">
        <f t="shared" si="83"/>
        <v>36.253216751957154</v>
      </c>
    </row>
    <row r="266" spans="3:22" x14ac:dyDescent="0.2">
      <c r="C266" s="88" t="s">
        <v>144</v>
      </c>
      <c r="D266" s="62" t="str">
        <f t="shared" ref="D266:V266" si="84">+IFERROR(IF(D227&gt;0,+((D227/D34)*100)," "),"")</f>
        <v xml:space="preserve"> </v>
      </c>
      <c r="E266" s="62" t="str">
        <f t="shared" si="84"/>
        <v xml:space="preserve"> </v>
      </c>
      <c r="F266" s="62" t="str">
        <f t="shared" si="84"/>
        <v xml:space="preserve"> </v>
      </c>
      <c r="G266" s="62" t="str">
        <f t="shared" si="84"/>
        <v xml:space="preserve"> </v>
      </c>
      <c r="H266" s="62" t="str">
        <f t="shared" si="84"/>
        <v xml:space="preserve"> </v>
      </c>
      <c r="I266" s="62" t="str">
        <f t="shared" si="84"/>
        <v xml:space="preserve"> </v>
      </c>
      <c r="J266" s="62" t="str">
        <f t="shared" si="84"/>
        <v xml:space="preserve"> </v>
      </c>
      <c r="K266" s="62" t="str">
        <f t="shared" si="84"/>
        <v xml:space="preserve"> </v>
      </c>
      <c r="L266" s="62" t="str">
        <f t="shared" si="84"/>
        <v xml:space="preserve"> </v>
      </c>
      <c r="M266" s="62" t="str">
        <f t="shared" si="84"/>
        <v xml:space="preserve"> </v>
      </c>
      <c r="N266" s="62" t="str">
        <f t="shared" si="84"/>
        <v xml:space="preserve"> </v>
      </c>
      <c r="O266" s="62" t="str">
        <f t="shared" si="84"/>
        <v xml:space="preserve"> </v>
      </c>
      <c r="P266" s="62" t="str">
        <f t="shared" si="84"/>
        <v xml:space="preserve"> </v>
      </c>
      <c r="Q266" s="62" t="str">
        <f t="shared" si="84"/>
        <v xml:space="preserve"> </v>
      </c>
      <c r="R266" s="62" t="str">
        <f t="shared" si="84"/>
        <v xml:space="preserve"> </v>
      </c>
      <c r="S266" s="62" t="str">
        <f t="shared" si="84"/>
        <v xml:space="preserve"> </v>
      </c>
      <c r="T266" s="62" t="str">
        <f t="shared" si="84"/>
        <v xml:space="preserve"> </v>
      </c>
      <c r="U266" s="62" t="str">
        <f t="shared" si="84"/>
        <v xml:space="preserve"> </v>
      </c>
      <c r="V266" s="62" t="str">
        <f t="shared" si="84"/>
        <v xml:space="preserve"> </v>
      </c>
    </row>
    <row r="267" spans="3:22" x14ac:dyDescent="0.2">
      <c r="C267" s="87" t="s">
        <v>145</v>
      </c>
      <c r="D267" s="60">
        <f t="shared" ref="D267:V267" si="85">+IFERROR(IF(D228&gt;0,+((D228/D35)*100)," "),"")</f>
        <v>68.925171623878185</v>
      </c>
      <c r="E267" s="60">
        <f t="shared" si="85"/>
        <v>42.995257665891998</v>
      </c>
      <c r="F267" s="60">
        <f t="shared" si="85"/>
        <v>75.44507920852503</v>
      </c>
      <c r="G267" s="60">
        <f t="shared" si="85"/>
        <v>43.568519847987616</v>
      </c>
      <c r="H267" s="60">
        <f t="shared" si="85"/>
        <v>30.248479157857645</v>
      </c>
      <c r="I267" s="60">
        <f t="shared" si="85"/>
        <v>64.115673477953834</v>
      </c>
      <c r="J267" s="60">
        <f t="shared" si="85"/>
        <v>46.469833616248977</v>
      </c>
      <c r="K267" s="60">
        <f t="shared" si="85"/>
        <v>40.0116130033404</v>
      </c>
      <c r="L267" s="60">
        <f t="shared" si="85"/>
        <v>51.023781091510479</v>
      </c>
      <c r="M267" s="60">
        <f t="shared" si="85"/>
        <v>73.188191035692881</v>
      </c>
      <c r="N267" s="60">
        <f t="shared" si="85"/>
        <v>46.099672420608492</v>
      </c>
      <c r="O267" s="60">
        <f t="shared" si="85"/>
        <v>41.333835211259682</v>
      </c>
      <c r="P267" s="60">
        <f t="shared" si="85"/>
        <v>57.526387010806722</v>
      </c>
      <c r="Q267" s="60">
        <f t="shared" si="85"/>
        <v>55.47299076145773</v>
      </c>
      <c r="R267" s="60">
        <f t="shared" si="85"/>
        <v>58.883125821758597</v>
      </c>
      <c r="S267" s="60">
        <f t="shared" si="85"/>
        <v>58.753626347743491</v>
      </c>
      <c r="T267" s="60">
        <f t="shared" si="85"/>
        <v>72.928880489620965</v>
      </c>
      <c r="U267" s="60">
        <f t="shared" si="85"/>
        <v>81.923033352547904</v>
      </c>
      <c r="V267" s="60">
        <f t="shared" si="85"/>
        <v>77.717338565054789</v>
      </c>
    </row>
    <row r="268" spans="3:22" x14ac:dyDescent="0.2">
      <c r="C268" s="88" t="s">
        <v>146</v>
      </c>
      <c r="D268" s="62">
        <f t="shared" ref="D268:V268" si="86">+IFERROR(IF(D229&gt;0,+((D229/D36)*100)," "),"")</f>
        <v>94.047188917320184</v>
      </c>
      <c r="E268" s="62">
        <f t="shared" si="86"/>
        <v>86.598705538793908</v>
      </c>
      <c r="F268" s="62">
        <f t="shared" si="86"/>
        <v>72.636373804378636</v>
      </c>
      <c r="G268" s="62">
        <f t="shared" si="86"/>
        <v>88.861093253864226</v>
      </c>
      <c r="H268" s="62">
        <f t="shared" si="86"/>
        <v>76.744590025346184</v>
      </c>
      <c r="I268" s="62">
        <f t="shared" si="86"/>
        <v>85.751301306203374</v>
      </c>
      <c r="J268" s="62">
        <f t="shared" si="86"/>
        <v>70.844475646120813</v>
      </c>
      <c r="K268" s="62">
        <f t="shared" si="86"/>
        <v>85.133291674706996</v>
      </c>
      <c r="L268" s="62">
        <f t="shared" si="86"/>
        <v>79.260401929477212</v>
      </c>
      <c r="M268" s="62">
        <f t="shared" si="86"/>
        <v>91.507583823358914</v>
      </c>
      <c r="N268" s="62">
        <f t="shared" si="86"/>
        <v>87.835316839946572</v>
      </c>
      <c r="O268" s="62">
        <f t="shared" si="86"/>
        <v>91.797023322132787</v>
      </c>
      <c r="P268" s="62">
        <f t="shared" si="86"/>
        <v>92.633180666787013</v>
      </c>
      <c r="Q268" s="62">
        <f t="shared" si="86"/>
        <v>91.712797116210226</v>
      </c>
      <c r="R268" s="62">
        <f t="shared" si="86"/>
        <v>96.875154156378699</v>
      </c>
      <c r="S268" s="62">
        <f t="shared" si="86"/>
        <v>95.913802006555898</v>
      </c>
      <c r="T268" s="62">
        <f t="shared" si="86"/>
        <v>95.113041113023144</v>
      </c>
      <c r="U268" s="62">
        <f t="shared" si="86"/>
        <v>85.961847245031635</v>
      </c>
      <c r="V268" s="62">
        <f t="shared" si="86"/>
        <v>77.546461245905491</v>
      </c>
    </row>
    <row r="269" spans="3:22" x14ac:dyDescent="0.2">
      <c r="C269" s="90" t="s">
        <v>147</v>
      </c>
      <c r="D269" s="61">
        <f t="shared" ref="D269:V269" si="87">+IFERROR(IF(D230&gt;0,+((D230/D37)*100)," "),"")</f>
        <v>71.260330655777707</v>
      </c>
      <c r="E269" s="61">
        <f t="shared" si="87"/>
        <v>79.278800556855415</v>
      </c>
      <c r="F269" s="61">
        <f t="shared" si="87"/>
        <v>76.945154492134947</v>
      </c>
      <c r="G269" s="61">
        <f t="shared" si="87"/>
        <v>71.67265599291531</v>
      </c>
      <c r="H269" s="61">
        <f t="shared" si="87"/>
        <v>71.946295344673956</v>
      </c>
      <c r="I269" s="61">
        <f t="shared" si="87"/>
        <v>74.722606463533864</v>
      </c>
      <c r="J269" s="61">
        <f t="shared" si="87"/>
        <v>75.10968766971466</v>
      </c>
      <c r="K269" s="61">
        <f t="shared" si="87"/>
        <v>79.355455014427548</v>
      </c>
      <c r="L269" s="61">
        <f t="shared" si="87"/>
        <v>89.588184535560828</v>
      </c>
      <c r="M269" s="61">
        <f t="shared" si="87"/>
        <v>83.413230388700072</v>
      </c>
      <c r="N269" s="61">
        <f t="shared" si="87"/>
        <v>87.327579582220892</v>
      </c>
      <c r="O269" s="61">
        <f t="shared" si="87"/>
        <v>64.210917481557956</v>
      </c>
      <c r="P269" s="61">
        <f t="shared" si="87"/>
        <v>79.359332842429794</v>
      </c>
      <c r="Q269" s="61">
        <f t="shared" si="87"/>
        <v>85.662563964112877</v>
      </c>
      <c r="R269" s="61">
        <f t="shared" si="87"/>
        <v>81.127053839370006</v>
      </c>
      <c r="S269" s="61">
        <f t="shared" si="87"/>
        <v>83.424004717646184</v>
      </c>
      <c r="T269" s="61">
        <f t="shared" si="87"/>
        <v>84.780803066644097</v>
      </c>
      <c r="U269" s="61">
        <f t="shared" si="87"/>
        <v>86.823295091092561</v>
      </c>
      <c r="V269" s="61">
        <f t="shared" si="87"/>
        <v>86.061966860491452</v>
      </c>
    </row>
    <row r="270" spans="3:22" ht="22.5" customHeight="1" x14ac:dyDescent="0.2">
      <c r="C270" s="89" t="s">
        <v>148</v>
      </c>
      <c r="D270" s="63" t="str">
        <f t="shared" ref="D270:V270" si="88">+IFERROR(IF(D231&gt;0,+((D231/D38)*100)," "),"")</f>
        <v xml:space="preserve"> </v>
      </c>
      <c r="E270" s="63" t="str">
        <f t="shared" si="88"/>
        <v xml:space="preserve"> </v>
      </c>
      <c r="F270" s="63" t="str">
        <f t="shared" si="88"/>
        <v xml:space="preserve"> </v>
      </c>
      <c r="G270" s="63" t="str">
        <f t="shared" si="88"/>
        <v xml:space="preserve"> </v>
      </c>
      <c r="H270" s="63" t="str">
        <f t="shared" si="88"/>
        <v xml:space="preserve"> </v>
      </c>
      <c r="I270" s="63" t="str">
        <f t="shared" si="88"/>
        <v xml:space="preserve"> </v>
      </c>
      <c r="J270" s="63" t="str">
        <f t="shared" si="88"/>
        <v xml:space="preserve"> </v>
      </c>
      <c r="K270" s="63" t="str">
        <f t="shared" si="88"/>
        <v xml:space="preserve"> </v>
      </c>
      <c r="L270" s="63" t="str">
        <f t="shared" si="88"/>
        <v xml:space="preserve"> </v>
      </c>
      <c r="M270" s="63" t="str">
        <f t="shared" si="88"/>
        <v xml:space="preserve"> </v>
      </c>
      <c r="N270" s="63" t="str">
        <f t="shared" si="88"/>
        <v xml:space="preserve"> </v>
      </c>
      <c r="O270" s="63" t="str">
        <f t="shared" si="88"/>
        <v xml:space="preserve"> </v>
      </c>
      <c r="P270" s="63" t="str">
        <f t="shared" si="88"/>
        <v xml:space="preserve"> </v>
      </c>
      <c r="Q270" s="63" t="str">
        <f t="shared" si="88"/>
        <v xml:space="preserve"> </v>
      </c>
      <c r="R270" s="63" t="str">
        <f t="shared" si="88"/>
        <v xml:space="preserve"> </v>
      </c>
      <c r="S270" s="63" t="str">
        <f t="shared" si="88"/>
        <v xml:space="preserve"> </v>
      </c>
      <c r="T270" s="63" t="str">
        <f t="shared" si="88"/>
        <v xml:space="preserve"> </v>
      </c>
      <c r="U270" s="63" t="str">
        <f t="shared" si="88"/>
        <v xml:space="preserve"> </v>
      </c>
      <c r="V270" s="63" t="str">
        <f t="shared" si="88"/>
        <v xml:space="preserve"> </v>
      </c>
    </row>
    <row r="271" spans="3:22" x14ac:dyDescent="0.2">
      <c r="C271" s="87" t="s">
        <v>149</v>
      </c>
      <c r="D271" s="60">
        <f t="shared" ref="D271:V271" si="89">+IFERROR(IF(D232&gt;0,+((D232/D39)*100)," "),"")</f>
        <v>47.549157809135885</v>
      </c>
      <c r="E271" s="60">
        <f t="shared" si="89"/>
        <v>42.397041856864199</v>
      </c>
      <c r="F271" s="60">
        <f t="shared" si="89"/>
        <v>34.423067701382031</v>
      </c>
      <c r="G271" s="60">
        <f t="shared" si="89"/>
        <v>43.468421899435</v>
      </c>
      <c r="H271" s="60">
        <f t="shared" si="89"/>
        <v>66.884669937554136</v>
      </c>
      <c r="I271" s="60">
        <f t="shared" si="89"/>
        <v>22.139356312985655</v>
      </c>
      <c r="J271" s="60">
        <f t="shared" si="89"/>
        <v>57.872097508162234</v>
      </c>
      <c r="K271" s="60">
        <f t="shared" si="89"/>
        <v>69.791308520967306</v>
      </c>
      <c r="L271" s="60">
        <f t="shared" si="89"/>
        <v>60.437434331941908</v>
      </c>
      <c r="M271" s="60">
        <f t="shared" si="89"/>
        <v>62.331467681096562</v>
      </c>
      <c r="N271" s="60">
        <f t="shared" si="89"/>
        <v>56.228296205665821</v>
      </c>
      <c r="O271" s="60">
        <f t="shared" si="89"/>
        <v>68.512910932641077</v>
      </c>
      <c r="P271" s="60">
        <f t="shared" si="89"/>
        <v>61.24818843301113</v>
      </c>
      <c r="Q271" s="60">
        <f t="shared" si="89"/>
        <v>72.603996657307974</v>
      </c>
      <c r="R271" s="60">
        <f t="shared" si="89"/>
        <v>77.939452309076941</v>
      </c>
      <c r="S271" s="60">
        <f t="shared" si="89"/>
        <v>78.369225864218166</v>
      </c>
      <c r="T271" s="60">
        <f t="shared" si="89"/>
        <v>84.486864156131062</v>
      </c>
      <c r="U271" s="60">
        <f t="shared" si="89"/>
        <v>78.197436007782954</v>
      </c>
      <c r="V271" s="60">
        <f t="shared" si="89"/>
        <v>85.348711670755435</v>
      </c>
    </row>
    <row r="272" spans="3:22" x14ac:dyDescent="0.2">
      <c r="C272" s="89" t="s">
        <v>150</v>
      </c>
      <c r="D272" s="63">
        <f t="shared" ref="D272:V272" si="90">+IFERROR(IF(D233&gt;0,+((D233/D40)*100)," "),"")</f>
        <v>68.435940076317991</v>
      </c>
      <c r="E272" s="63">
        <f t="shared" si="90"/>
        <v>74.57357383501477</v>
      </c>
      <c r="F272" s="63">
        <f t="shared" si="90"/>
        <v>48.983420744496591</v>
      </c>
      <c r="G272" s="63">
        <f t="shared" si="90"/>
        <v>65.931975613972597</v>
      </c>
      <c r="H272" s="63">
        <f t="shared" si="90"/>
        <v>64.032399690046546</v>
      </c>
      <c r="I272" s="63">
        <f t="shared" si="90"/>
        <v>71.189579759100184</v>
      </c>
      <c r="J272" s="63">
        <f t="shared" si="90"/>
        <v>63.601450051562061</v>
      </c>
      <c r="K272" s="63">
        <f t="shared" si="90"/>
        <v>72.088561620212786</v>
      </c>
      <c r="L272" s="63">
        <f t="shared" si="90"/>
        <v>75.061993880064719</v>
      </c>
      <c r="M272" s="63">
        <f t="shared" si="90"/>
        <v>65.596796349104068</v>
      </c>
      <c r="N272" s="63">
        <f t="shared" si="90"/>
        <v>61.289292694170072</v>
      </c>
      <c r="O272" s="63">
        <f t="shared" si="90"/>
        <v>42.83508017507863</v>
      </c>
      <c r="P272" s="63">
        <f t="shared" si="90"/>
        <v>56.750839607288064</v>
      </c>
      <c r="Q272" s="63">
        <f t="shared" si="90"/>
        <v>63.462734282190489</v>
      </c>
      <c r="R272" s="63">
        <f t="shared" si="90"/>
        <v>68.688777926694314</v>
      </c>
      <c r="S272" s="63">
        <f t="shared" si="90"/>
        <v>67.793623328684944</v>
      </c>
      <c r="T272" s="63">
        <f t="shared" si="90"/>
        <v>62.080919243942368</v>
      </c>
      <c r="U272" s="63">
        <f t="shared" si="90"/>
        <v>66.810356888339484</v>
      </c>
      <c r="V272" s="63">
        <f t="shared" si="90"/>
        <v>78.196557879690957</v>
      </c>
    </row>
    <row r="273" spans="3:22" x14ac:dyDescent="0.2">
      <c r="C273" s="87" t="s">
        <v>151</v>
      </c>
      <c r="D273" s="60">
        <f t="shared" ref="D273:V273" si="91">+IFERROR(IF(D234&gt;0,+((D234/D41)*100)," "),"")</f>
        <v>67.426549802509371</v>
      </c>
      <c r="E273" s="60">
        <f t="shared" si="91"/>
        <v>27.013173032341648</v>
      </c>
      <c r="F273" s="60">
        <f t="shared" si="91"/>
        <v>27.890536621761541</v>
      </c>
      <c r="G273" s="60">
        <f t="shared" si="91"/>
        <v>46.602539581465379</v>
      </c>
      <c r="H273" s="60">
        <f t="shared" si="91"/>
        <v>30.176671500234121</v>
      </c>
      <c r="I273" s="60">
        <f t="shared" si="91"/>
        <v>8.1309130935734402</v>
      </c>
      <c r="J273" s="60">
        <f t="shared" si="91"/>
        <v>22.758169607052135</v>
      </c>
      <c r="K273" s="60">
        <f t="shared" si="91"/>
        <v>56.292125523129734</v>
      </c>
      <c r="L273" s="60" t="str">
        <f t="shared" si="91"/>
        <v xml:space="preserve"> </v>
      </c>
      <c r="M273" s="60" t="str">
        <f t="shared" si="91"/>
        <v xml:space="preserve"> </v>
      </c>
      <c r="N273" s="60" t="str">
        <f t="shared" si="91"/>
        <v xml:space="preserve"> </v>
      </c>
      <c r="O273" s="60" t="str">
        <f t="shared" si="91"/>
        <v xml:space="preserve"> </v>
      </c>
      <c r="P273" s="60" t="str">
        <f t="shared" si="91"/>
        <v xml:space="preserve"> </v>
      </c>
      <c r="Q273" s="60" t="str">
        <f t="shared" si="91"/>
        <v xml:space="preserve"> </v>
      </c>
      <c r="R273" s="60" t="str">
        <f t="shared" si="91"/>
        <v xml:space="preserve"> </v>
      </c>
      <c r="S273" s="60" t="str">
        <f t="shared" si="91"/>
        <v xml:space="preserve"> </v>
      </c>
      <c r="T273" s="60" t="str">
        <f t="shared" si="91"/>
        <v xml:space="preserve"> </v>
      </c>
      <c r="U273" s="60" t="str">
        <f t="shared" si="91"/>
        <v xml:space="preserve"> </v>
      </c>
      <c r="V273" s="60" t="str">
        <f t="shared" si="91"/>
        <v xml:space="preserve"> </v>
      </c>
    </row>
    <row r="274" spans="3:22" x14ac:dyDescent="0.2">
      <c r="C274" s="79" t="s">
        <v>154</v>
      </c>
      <c r="D274" s="45">
        <f t="shared" ref="D274:V274" si="92">+IFERROR(IF(D235&gt;0,+((D235/D42)*100)," "),"")</f>
        <v>69.652560943080928</v>
      </c>
      <c r="E274" s="45">
        <f t="shared" si="92"/>
        <v>72.859159324641226</v>
      </c>
      <c r="F274" s="45">
        <f t="shared" si="92"/>
        <v>68.963953331441942</v>
      </c>
      <c r="G274" s="45">
        <f t="shared" si="92"/>
        <v>73.14135087039611</v>
      </c>
      <c r="H274" s="45">
        <f t="shared" si="92"/>
        <v>75.517540398428707</v>
      </c>
      <c r="I274" s="45">
        <f t="shared" si="92"/>
        <v>78.581304483473176</v>
      </c>
      <c r="J274" s="45">
        <f t="shared" si="92"/>
        <v>69.923420478542823</v>
      </c>
      <c r="K274" s="45">
        <f t="shared" si="92"/>
        <v>74.344003628516248</v>
      </c>
      <c r="L274" s="45">
        <f t="shared" si="92"/>
        <v>80.004480742062313</v>
      </c>
      <c r="M274" s="45">
        <f t="shared" si="92"/>
        <v>78.606944845983378</v>
      </c>
      <c r="N274" s="45">
        <f t="shared" si="92"/>
        <v>77.443271509908712</v>
      </c>
      <c r="O274" s="45">
        <f t="shared" si="92"/>
        <v>68.294679732248582</v>
      </c>
      <c r="P274" s="45">
        <f t="shared" si="92"/>
        <v>75.811745800291845</v>
      </c>
      <c r="Q274" s="45">
        <f t="shared" si="92"/>
        <v>79.276658590371355</v>
      </c>
      <c r="R274" s="45">
        <f t="shared" si="92"/>
        <v>78.939959286896027</v>
      </c>
      <c r="S274" s="45">
        <f t="shared" si="92"/>
        <v>79.160048740503029</v>
      </c>
      <c r="T274" s="45">
        <f t="shared" si="92"/>
        <v>82.309420476977053</v>
      </c>
      <c r="U274" s="45">
        <f t="shared" si="92"/>
        <v>81.431105301915551</v>
      </c>
      <c r="V274" s="45">
        <f t="shared" si="92"/>
        <v>84.807822629714607</v>
      </c>
    </row>
    <row r="275" spans="3:22" x14ac:dyDescent="0.2">
      <c r="C275" s="1" t="s">
        <v>52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</sheetData>
  <mergeCells count="173">
    <mergeCell ref="C128:C129"/>
    <mergeCell ref="K89:K90"/>
    <mergeCell ref="D9:V9"/>
    <mergeCell ref="H50:H51"/>
    <mergeCell ref="P6:P7"/>
    <mergeCell ref="R6:R7"/>
    <mergeCell ref="T50:T51"/>
    <mergeCell ref="H11:H12"/>
    <mergeCell ref="K243:K244"/>
    <mergeCell ref="J11:J12"/>
    <mergeCell ref="M243:M244"/>
    <mergeCell ref="S128:S129"/>
    <mergeCell ref="J166:J167"/>
    <mergeCell ref="L166:L167"/>
    <mergeCell ref="H128:H129"/>
    <mergeCell ref="E89:E90"/>
    <mergeCell ref="K204:K205"/>
    <mergeCell ref="J128:J129"/>
    <mergeCell ref="P243:P244"/>
    <mergeCell ref="M204:M205"/>
    <mergeCell ref="N166:N167"/>
    <mergeCell ref="T128:T129"/>
    <mergeCell ref="P166:P167"/>
    <mergeCell ref="V128:V129"/>
    <mergeCell ref="V243:V244"/>
    <mergeCell ref="E50:E51"/>
    <mergeCell ref="G50:G51"/>
    <mergeCell ref="I50:I51"/>
    <mergeCell ref="D163:V163"/>
    <mergeCell ref="I6:I7"/>
    <mergeCell ref="K6:K7"/>
    <mergeCell ref="N89:N90"/>
    <mergeCell ref="P89:P90"/>
    <mergeCell ref="M50:M51"/>
    <mergeCell ref="D243:D244"/>
    <mergeCell ref="U6:U7"/>
    <mergeCell ref="S243:S244"/>
    <mergeCell ref="U243:U244"/>
    <mergeCell ref="S166:S167"/>
    <mergeCell ref="R204:R205"/>
    <mergeCell ref="L6:L7"/>
    <mergeCell ref="N6:N7"/>
    <mergeCell ref="Q89:Q90"/>
    <mergeCell ref="S89:S90"/>
    <mergeCell ref="U89:U90"/>
    <mergeCell ref="F11:F12"/>
    <mergeCell ref="D240:V240"/>
    <mergeCell ref="U166:U167"/>
    <mergeCell ref="O128:O129"/>
    <mergeCell ref="G204:G205"/>
    <mergeCell ref="V11:V12"/>
    <mergeCell ref="M89:M90"/>
    <mergeCell ref="S204:S205"/>
    <mergeCell ref="O89:O90"/>
    <mergeCell ref="V166:V167"/>
    <mergeCell ref="G89:G90"/>
    <mergeCell ref="T11:T12"/>
    <mergeCell ref="Q11:Q12"/>
    <mergeCell ref="S50:S51"/>
    <mergeCell ref="G11:G12"/>
    <mergeCell ref="J243:J244"/>
    <mergeCell ref="I11:I12"/>
    <mergeCell ref="A7:C7"/>
    <mergeCell ref="L243:L244"/>
    <mergeCell ref="I204:I205"/>
    <mergeCell ref="C50:C51"/>
    <mergeCell ref="G6:G7"/>
    <mergeCell ref="Q6:Q7"/>
    <mergeCell ref="S6:S7"/>
    <mergeCell ref="L241:Q241"/>
    <mergeCell ref="C243:C244"/>
    <mergeCell ref="C204:C205"/>
    <mergeCell ref="C166:C167"/>
    <mergeCell ref="O166:O167"/>
    <mergeCell ref="N50:N51"/>
    <mergeCell ref="P50:P51"/>
    <mergeCell ref="D11:D12"/>
    <mergeCell ref="D204:D205"/>
    <mergeCell ref="G243:G244"/>
    <mergeCell ref="I243:I244"/>
    <mergeCell ref="F204:F205"/>
    <mergeCell ref="M128:M129"/>
    <mergeCell ref="T166:T167"/>
    <mergeCell ref="F243:F244"/>
    <mergeCell ref="H243:H244"/>
    <mergeCell ref="U50:U51"/>
    <mergeCell ref="P128:P129"/>
    <mergeCell ref="N243:N244"/>
    <mergeCell ref="S11:S12"/>
    <mergeCell ref="R128:R129"/>
    <mergeCell ref="U11:U12"/>
    <mergeCell ref="D202:V202"/>
    <mergeCell ref="M11:M12"/>
    <mergeCell ref="R243:R244"/>
    <mergeCell ref="F89:F90"/>
    <mergeCell ref="L204:L205"/>
    <mergeCell ref="G166:G167"/>
    <mergeCell ref="Q166:Q167"/>
    <mergeCell ref="K11:K12"/>
    <mergeCell ref="J89:J90"/>
    <mergeCell ref="L89:L90"/>
    <mergeCell ref="F50:F51"/>
    <mergeCell ref="V89:V90"/>
    <mergeCell ref="R50:R51"/>
    <mergeCell ref="L164:Q164"/>
    <mergeCell ref="I166:I167"/>
    <mergeCell ref="R11:R12"/>
    <mergeCell ref="E204:E205"/>
    <mergeCell ref="D6:D7"/>
    <mergeCell ref="I89:I90"/>
    <mergeCell ref="F6:F7"/>
    <mergeCell ref="O204:O205"/>
    <mergeCell ref="D128:D129"/>
    <mergeCell ref="F128:F129"/>
    <mergeCell ref="Q204:Q205"/>
    <mergeCell ref="R166:R167"/>
    <mergeCell ref="O11:O12"/>
    <mergeCell ref="J50:J51"/>
    <mergeCell ref="L50:L51"/>
    <mergeCell ref="F166:F167"/>
    <mergeCell ref="H166:H167"/>
    <mergeCell ref="P11:P12"/>
    <mergeCell ref="P204:P205"/>
    <mergeCell ref="E128:E129"/>
    <mergeCell ref="G128:G129"/>
    <mergeCell ref="C89:C90"/>
    <mergeCell ref="H6:H7"/>
    <mergeCell ref="J6:J7"/>
    <mergeCell ref="U204:U205"/>
    <mergeCell ref="V6:V7"/>
    <mergeCell ref="K50:K51"/>
    <mergeCell ref="D166:D167"/>
    <mergeCell ref="M6:M7"/>
    <mergeCell ref="E6:E7"/>
    <mergeCell ref="R89:R90"/>
    <mergeCell ref="T89:T90"/>
    <mergeCell ref="C11:C12"/>
    <mergeCell ref="E11:E12"/>
    <mergeCell ref="O50:O51"/>
    <mergeCell ref="L128:L129"/>
    <mergeCell ref="Q50:Q51"/>
    <mergeCell ref="N128:N129"/>
    <mergeCell ref="A5:C6"/>
    <mergeCell ref="T6:T7"/>
    <mergeCell ref="V50:V51"/>
    <mergeCell ref="I128:I129"/>
    <mergeCell ref="L11:L12"/>
    <mergeCell ref="K128:K129"/>
    <mergeCell ref="N11:N12"/>
    <mergeCell ref="T243:T244"/>
    <mergeCell ref="E166:E167"/>
    <mergeCell ref="D50:D51"/>
    <mergeCell ref="H204:H205"/>
    <mergeCell ref="D89:D90"/>
    <mergeCell ref="J204:J205"/>
    <mergeCell ref="K166:K167"/>
    <mergeCell ref="D2:V2"/>
    <mergeCell ref="Q128:Q129"/>
    <mergeCell ref="M166:M167"/>
    <mergeCell ref="T204:T205"/>
    <mergeCell ref="V204:V205"/>
    <mergeCell ref="N204:N205"/>
    <mergeCell ref="D126:V126"/>
    <mergeCell ref="O6:O7"/>
    <mergeCell ref="D47:V47"/>
    <mergeCell ref="L87:Q87"/>
    <mergeCell ref="D4:V4"/>
    <mergeCell ref="H89:H90"/>
    <mergeCell ref="E243:E244"/>
    <mergeCell ref="O243:O244"/>
    <mergeCell ref="Q243:Q244"/>
    <mergeCell ref="D86:V86"/>
    <mergeCell ref="U128:U129"/>
  </mergeCells>
  <pageMargins left="0.7" right="0.7" top="0.75" bottom="0.75" header="0.3" footer="0.3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K297"/>
  <sheetViews>
    <sheetView showGridLines="0" zoomScaleNormal="100" workbookViewId="0">
      <pane xSplit="3" ySplit="8" topLeftCell="D23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2" sqref="K222:K252"/>
    </sheetView>
  </sheetViews>
  <sheetFormatPr baseColWidth="10" defaultColWidth="11.42578125" defaultRowHeight="11.25" x14ac:dyDescent="0.2"/>
  <cols>
    <col min="1" max="2" width="2.7109375" style="3" customWidth="1"/>
    <col min="3" max="3" width="54.2851562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A6" s="169" t="s">
        <v>13</v>
      </c>
      <c r="B6" s="160"/>
      <c r="C6" s="160"/>
      <c r="D6" s="165"/>
      <c r="E6" s="182"/>
      <c r="F6" s="182"/>
      <c r="G6" s="182"/>
      <c r="H6" s="182"/>
      <c r="I6" s="182"/>
      <c r="J6" s="182"/>
      <c r="K6" s="182"/>
    </row>
    <row r="7" spans="1:11" s="102" customFormat="1" ht="16.5" customHeight="1" x14ac:dyDescent="0.25">
      <c r="A7" s="180"/>
      <c r="B7" s="180"/>
      <c r="C7" s="180"/>
      <c r="D7" s="157">
        <v>2019</v>
      </c>
      <c r="E7" s="157">
        <v>2020</v>
      </c>
      <c r="F7" s="157">
        <v>2021</v>
      </c>
      <c r="G7" s="157">
        <v>2022</v>
      </c>
      <c r="H7" s="157">
        <v>2023</v>
      </c>
      <c r="I7" s="157">
        <v>2024</v>
      </c>
      <c r="J7" s="157">
        <v>2025</v>
      </c>
      <c r="K7" s="157" t="s">
        <v>36</v>
      </c>
    </row>
    <row r="8" spans="1:11" s="102" customFormat="1" ht="16.5" customHeight="1" x14ac:dyDescent="0.25">
      <c r="A8" s="166" t="s">
        <v>227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</row>
    <row r="9" spans="1:11" s="102" customFormat="1" ht="16.5" customHeight="1" x14ac:dyDescent="0.25">
      <c r="A9" s="99"/>
      <c r="B9" s="98"/>
      <c r="C9" s="98"/>
      <c r="D9" s="98"/>
    </row>
    <row r="10" spans="1:11" ht="16.5" customHeight="1" x14ac:dyDescent="0.2">
      <c r="D10" s="164" t="s">
        <v>119</v>
      </c>
      <c r="E10" s="182"/>
      <c r="F10" s="182"/>
      <c r="G10" s="182"/>
      <c r="H10" s="182"/>
      <c r="I10" s="182"/>
      <c r="J10" s="182"/>
      <c r="K10" s="182"/>
    </row>
    <row r="11" spans="1:11" x14ac:dyDescent="0.2">
      <c r="C11" s="2"/>
      <c r="D11" s="2"/>
      <c r="E11" s="2"/>
      <c r="F11" s="2"/>
      <c r="G11" s="2"/>
      <c r="H11" s="2"/>
      <c r="I11" s="2"/>
    </row>
    <row r="12" spans="1:11" ht="9.9499999999999993" customHeight="1" x14ac:dyDescent="0.2">
      <c r="C12" s="181" t="s">
        <v>120</v>
      </c>
      <c r="D12" s="155">
        <v>2019</v>
      </c>
      <c r="E12" s="155">
        <v>2020</v>
      </c>
      <c r="F12" s="155">
        <v>2021</v>
      </c>
      <c r="G12" s="155">
        <v>2022</v>
      </c>
      <c r="H12" s="155">
        <v>2023</v>
      </c>
      <c r="I12" s="155">
        <v>2024</v>
      </c>
      <c r="J12" s="155">
        <v>2025</v>
      </c>
      <c r="K12" s="155" t="s">
        <v>36</v>
      </c>
    </row>
    <row r="13" spans="1:11" ht="9.9499999999999993" customHeight="1" thickBot="1" x14ac:dyDescent="0.25">
      <c r="C13" s="162"/>
      <c r="D13" s="156"/>
      <c r="E13" s="156"/>
      <c r="F13" s="156"/>
      <c r="G13" s="156"/>
      <c r="H13" s="156"/>
      <c r="I13" s="156"/>
      <c r="J13" s="156"/>
      <c r="K13" s="156"/>
    </row>
    <row r="14" spans="1:11" x14ac:dyDescent="0.2">
      <c r="C14" s="87" t="s">
        <v>123</v>
      </c>
      <c r="D14" s="42">
        <f>69.265996218*Deflactores!$T$5</f>
        <v>107.73249874198119</v>
      </c>
      <c r="E14" s="42">
        <f>93.975763766*Deflactores!$U$5</f>
        <v>143.84873954209786</v>
      </c>
      <c r="F14" s="42">
        <f>91.179941857*Deflactores!$V$5</f>
        <v>132.14275119967445</v>
      </c>
      <c r="G14" s="42">
        <f>76.979530766*Deflactores!$W$5</f>
        <v>98.623383213363283</v>
      </c>
      <c r="H14" s="42">
        <f>81.439274579*Deflactores!$X$5</f>
        <v>95.476798368747396</v>
      </c>
      <c r="I14" s="42">
        <f>124.945710223*Deflactores!$Y$5</f>
        <v>139.24177825956295</v>
      </c>
      <c r="J14" s="42">
        <f>123.023101576*Deflactores!$Z$5</f>
        <v>130.44515460860435</v>
      </c>
      <c r="K14" s="42">
        <f>99.532016*Deflactores!$AA$5</f>
        <v>99.532015999999999</v>
      </c>
    </row>
    <row r="15" spans="1:11" x14ac:dyDescent="0.2">
      <c r="C15" s="88" t="s">
        <v>124</v>
      </c>
      <c r="D15" s="50">
        <f>129.137686505*Deflactores!$T$5</f>
        <v>200.85361372925595</v>
      </c>
      <c r="E15" s="50">
        <f>149.775903585*Deflactores!$U$5</f>
        <v>229.26203609399059</v>
      </c>
      <c r="F15" s="50">
        <f>201.943780378*Deflactores!$V$5</f>
        <v>292.66751199143346</v>
      </c>
      <c r="G15" s="50">
        <f>238.252096659*Deflactores!$W$5</f>
        <v>305.23994620873924</v>
      </c>
      <c r="H15" s="50">
        <f>254.753766513*Deflactores!$X$5</f>
        <v>298.66516032686542</v>
      </c>
      <c r="I15" s="50">
        <f>280.287470301*Deflactores!$Y$5</f>
        <v>312.35746884730941</v>
      </c>
      <c r="J15" s="50">
        <f>267.363934371*Deflactores!$Z$5</f>
        <v>283.49415117163409</v>
      </c>
      <c r="K15" s="50">
        <f>295.190067302*Deflactores!$AA$5</f>
        <v>295.19006730199999</v>
      </c>
    </row>
    <row r="16" spans="1:11" x14ac:dyDescent="0.2">
      <c r="C16" s="87" t="s">
        <v>125</v>
      </c>
      <c r="D16" s="42">
        <f>0*Deflactores!$T$5</f>
        <v>0</v>
      </c>
      <c r="E16" s="42">
        <f>0*Deflactores!$U$5</f>
        <v>0</v>
      </c>
      <c r="F16" s="42">
        <f>0*Deflactores!$V$5</f>
        <v>0</v>
      </c>
      <c r="G16" s="42">
        <f>0*Deflactores!$W$5</f>
        <v>0</v>
      </c>
      <c r="H16" s="42">
        <f>0*Deflactores!$X$5</f>
        <v>0</v>
      </c>
      <c r="I16" s="42">
        <f>0*Deflactores!$Y$5</f>
        <v>0</v>
      </c>
      <c r="J16" s="42">
        <f>0*Deflactores!$Z$5</f>
        <v>0</v>
      </c>
      <c r="K16" s="42">
        <f>0*Deflactores!$AA$5</f>
        <v>0</v>
      </c>
    </row>
    <row r="17" spans="3:11" x14ac:dyDescent="0.2">
      <c r="C17" s="88" t="s">
        <v>126</v>
      </c>
      <c r="D17" s="50">
        <f>351.81286574*Deflactores!$T$5</f>
        <v>547.19026918287398</v>
      </c>
      <c r="E17" s="50">
        <f>380.127647753*Deflactores!$U$5</f>
        <v>581.86154390324737</v>
      </c>
      <c r="F17" s="50">
        <f>423.618027762*Deflactores!$V$5</f>
        <v>613.92945099748647</v>
      </c>
      <c r="G17" s="50">
        <f>444.673058611*Deflactores!$W$5</f>
        <v>569.69899696271943</v>
      </c>
      <c r="H17" s="50">
        <f>488.476218378*Deflactores!$X$5</f>
        <v>572.67388064420061</v>
      </c>
      <c r="I17" s="50">
        <f>512.968430559*Deflactores!$Y$5</f>
        <v>571.66137464481017</v>
      </c>
      <c r="J17" s="50">
        <f>544.504285906*Deflactores!$Z$5</f>
        <v>577.35453626306855</v>
      </c>
      <c r="K17" s="50">
        <f>580.287048837*Deflactores!$AA$5</f>
        <v>580.28704883700004</v>
      </c>
    </row>
    <row r="18" spans="3:11" x14ac:dyDescent="0.2">
      <c r="C18" s="87" t="s">
        <v>127</v>
      </c>
      <c r="D18" s="42">
        <f>0*Deflactores!$T$5</f>
        <v>0</v>
      </c>
      <c r="E18" s="42">
        <f>0*Deflactores!$U$5</f>
        <v>0</v>
      </c>
      <c r="F18" s="42">
        <f>0*Deflactores!$V$5</f>
        <v>0</v>
      </c>
      <c r="G18" s="42">
        <f>0*Deflactores!$W$5</f>
        <v>0</v>
      </c>
      <c r="H18" s="42">
        <f>0*Deflactores!$X$5</f>
        <v>0</v>
      </c>
      <c r="I18" s="42">
        <f>0*Deflactores!$Y$5</f>
        <v>0</v>
      </c>
      <c r="J18" s="42">
        <f>0*Deflactores!$Z$5</f>
        <v>0</v>
      </c>
      <c r="K18" s="42">
        <f>0*Deflactores!$AA$5</f>
        <v>0</v>
      </c>
    </row>
    <row r="19" spans="3:11" x14ac:dyDescent="0.2">
      <c r="C19" s="88" t="s">
        <v>128</v>
      </c>
      <c r="D19" s="50">
        <f>10.081667694*Deflactores!$T$5</f>
        <v>15.680468216216589</v>
      </c>
      <c r="E19" s="50">
        <f>11.359510347*Deflactores!$U$5</f>
        <v>17.388007074889675</v>
      </c>
      <c r="F19" s="50">
        <f>16.405886238*Deflactores!$V$5</f>
        <v>23.776270298112316</v>
      </c>
      <c r="G19" s="50">
        <f>23.72595271*Deflactores!$W$5</f>
        <v>30.39683020845273</v>
      </c>
      <c r="H19" s="50">
        <f>15.98364996*Deflactores!$X$5</f>
        <v>18.738719522202995</v>
      </c>
      <c r="I19" s="50">
        <f>18.680102932*Deflactores!$Y$5</f>
        <v>20.817447399202941</v>
      </c>
      <c r="J19" s="50">
        <f>19.77255738*Deflactores!$Z$5</f>
        <v>20.965446907126029</v>
      </c>
      <c r="K19" s="50">
        <f>23.987375*Deflactores!$AA$5</f>
        <v>23.987375</v>
      </c>
    </row>
    <row r="20" spans="3:11" x14ac:dyDescent="0.2">
      <c r="C20" s="87" t="s">
        <v>129</v>
      </c>
      <c r="D20" s="42">
        <f>2206.0487627644*Deflactores!$T$5</f>
        <v>3431.1662076045322</v>
      </c>
      <c r="E20" s="42">
        <f>1892.445895378*Deflactores!$U$5</f>
        <v>2896.767696185856</v>
      </c>
      <c r="F20" s="42">
        <f>2352.325438836*Deflactores!$V$5</f>
        <v>3409.1133299061953</v>
      </c>
      <c r="G20" s="42">
        <f>2745.350646853*Deflactores!$W$5</f>
        <v>3517.2436906984171</v>
      </c>
      <c r="H20" s="42">
        <f>2648.8707*Deflactores!$X$5</f>
        <v>3105.4512093357625</v>
      </c>
      <c r="I20" s="42">
        <f>2928.604639961*Deflactores!$Y$5</f>
        <v>3263.6904233012378</v>
      </c>
      <c r="J20" s="42">
        <f>2765.605375879*Deflactores!$Z$5</f>
        <v>2932.4559064222326</v>
      </c>
      <c r="K20" s="42">
        <f>3224.52*Deflactores!$AA$5</f>
        <v>3224.52</v>
      </c>
    </row>
    <row r="21" spans="3:11" x14ac:dyDescent="0.2">
      <c r="C21" s="88" t="s">
        <v>130</v>
      </c>
      <c r="D21" s="50">
        <f>0*Deflactores!$T$5</f>
        <v>0</v>
      </c>
      <c r="E21" s="50">
        <f>0*Deflactores!$U$5</f>
        <v>0</v>
      </c>
      <c r="F21" s="50">
        <f>0*Deflactores!$V$5</f>
        <v>0</v>
      </c>
      <c r="G21" s="50">
        <f>0*Deflactores!$W$5</f>
        <v>0</v>
      </c>
      <c r="H21" s="50">
        <f>0*Deflactores!$X$5</f>
        <v>0</v>
      </c>
      <c r="I21" s="50">
        <f>0*Deflactores!$Y$5</f>
        <v>0</v>
      </c>
      <c r="J21" s="50">
        <f>0*Deflactores!$Z$5</f>
        <v>0</v>
      </c>
      <c r="K21" s="50">
        <f>0*Deflactores!$AA$5</f>
        <v>0</v>
      </c>
    </row>
    <row r="22" spans="3:11" x14ac:dyDescent="0.2">
      <c r="C22" s="87" t="s">
        <v>131</v>
      </c>
      <c r="D22" s="42">
        <f>23.92491915*Deflactores!$T$5</f>
        <v>37.211495726088614</v>
      </c>
      <c r="E22" s="42">
        <f>25.199122631*Deflactores!$U$5</f>
        <v>38.572307186159428</v>
      </c>
      <c r="F22" s="42">
        <f>29.496360368*Deflactores!$V$5</f>
        <v>42.747671582391213</v>
      </c>
      <c r="G22" s="42">
        <f>32.598041209*Deflactores!$W$5</f>
        <v>41.763428253841369</v>
      </c>
      <c r="H22" s="42">
        <f>39.564147831*Deflactores!$X$5</f>
        <v>46.383740334368845</v>
      </c>
      <c r="I22" s="42">
        <f>49.386459767*Deflactores!$Y$5</f>
        <v>55.037171485344722</v>
      </c>
      <c r="J22" s="42">
        <f>59.035689513*Deflactores!$Z$5</f>
        <v>62.59734592361459</v>
      </c>
      <c r="K22" s="42">
        <f>79.386581*Deflactores!$AA$5</f>
        <v>79.386581000000007</v>
      </c>
    </row>
    <row r="23" spans="3:11" x14ac:dyDescent="0.2">
      <c r="C23" s="88" t="s">
        <v>132</v>
      </c>
      <c r="D23" s="50">
        <f>368.224789105*Deflactores!$T$5</f>
        <v>572.71646688179453</v>
      </c>
      <c r="E23" s="50">
        <f>303.28929749*Deflactores!$U$5</f>
        <v>464.24505012992694</v>
      </c>
      <c r="F23" s="50">
        <f>448.847231154*Deflactores!$V$5</f>
        <v>650.49293501487716</v>
      </c>
      <c r="G23" s="50">
        <f>457.359850456*Deflactores!$W$5</f>
        <v>585.95285459769275</v>
      </c>
      <c r="H23" s="50">
        <f>520.316743384*Deflactores!$X$5</f>
        <v>610.00269283792841</v>
      </c>
      <c r="I23" s="50">
        <f>524.275323799*Deflactores!$Y$5</f>
        <v>584.26198268904545</v>
      </c>
      <c r="J23" s="50">
        <f>556.26519656*Deflactores!$Z$5</f>
        <v>589.82498928323787</v>
      </c>
      <c r="K23" s="50">
        <f>598.748893*Deflactores!$AA$5</f>
        <v>598.74889299999995</v>
      </c>
    </row>
    <row r="24" spans="3:11" x14ac:dyDescent="0.2">
      <c r="C24" s="87" t="s">
        <v>133</v>
      </c>
      <c r="D24" s="42">
        <f>68.121022743*Deflactores!$T$5</f>
        <v>105.9516703385779</v>
      </c>
      <c r="E24" s="42">
        <f>62.45681145*Deflactores!$U$5</f>
        <v>95.602666505291594</v>
      </c>
      <c r="F24" s="42">
        <f>97.386389181*Deflactores!$V$5</f>
        <v>141.13745999051201</v>
      </c>
      <c r="G24" s="42">
        <f>47.0045408*Deflactores!$W$5</f>
        <v>60.220513089098574</v>
      </c>
      <c r="H24" s="42">
        <f>59.315842393*Deflactores!$X$5</f>
        <v>69.539994720056114</v>
      </c>
      <c r="I24" s="42">
        <f>48.512851476*Deflactores!$Y$5</f>
        <v>54.063606472796209</v>
      </c>
      <c r="J24" s="42">
        <f>41.465715*Deflactores!$Z$5</f>
        <v>43.967364948849095</v>
      </c>
      <c r="K24" s="42">
        <f>42.564540014*Deflactores!$AA$5</f>
        <v>42.564540014000002</v>
      </c>
    </row>
    <row r="25" spans="3:11" x14ac:dyDescent="0.2">
      <c r="C25" s="88" t="s">
        <v>134</v>
      </c>
      <c r="D25" s="50">
        <f>252.665*Deflactores!$T$5</f>
        <v>392.98116364302024</v>
      </c>
      <c r="E25" s="50">
        <f>293.356195675*Deflactores!$U$5</f>
        <v>449.0404471709241</v>
      </c>
      <c r="F25" s="50">
        <f>346.174916*Deflactores!$V$5</f>
        <v>501.69483402718726</v>
      </c>
      <c r="G25" s="50">
        <f>365.151244824*Deflactores!$W$5</f>
        <v>467.81853293680791</v>
      </c>
      <c r="H25" s="50">
        <f>407.304081827*Deflactores!$X$5</f>
        <v>477.51026634748519</v>
      </c>
      <c r="I25" s="50">
        <f>493.208453895*Deflactores!$Y$5</f>
        <v>549.64049626369422</v>
      </c>
      <c r="J25" s="50">
        <f>442.088900109*Deflactores!$Z$5</f>
        <v>468.76037253735274</v>
      </c>
      <c r="K25" s="50">
        <f>599.034869*Deflactores!$AA$5</f>
        <v>599.03486899999996</v>
      </c>
    </row>
    <row r="26" spans="3:11" x14ac:dyDescent="0.2">
      <c r="C26" s="87" t="s">
        <v>135</v>
      </c>
      <c r="D26" s="42">
        <f>0*Deflactores!$T$5</f>
        <v>0</v>
      </c>
      <c r="E26" s="42">
        <f>0*Deflactores!$U$5</f>
        <v>0</v>
      </c>
      <c r="F26" s="42">
        <f>0*Deflactores!$V$5</f>
        <v>0</v>
      </c>
      <c r="G26" s="42">
        <f>0*Deflactores!$W$5</f>
        <v>0</v>
      </c>
      <c r="H26" s="42">
        <f>0*Deflactores!$X$5</f>
        <v>0</v>
      </c>
      <c r="I26" s="42">
        <f>4534.189286913*Deflactores!$Y$5</f>
        <v>5052.9832368667194</v>
      </c>
      <c r="J26" s="42">
        <f>4393.176075248*Deflactores!$Z$5</f>
        <v>4658.2188631012723</v>
      </c>
      <c r="K26" s="42">
        <f>4634.901638911*Deflactores!$AA$5</f>
        <v>4634.9016389110002</v>
      </c>
    </row>
    <row r="27" spans="3:11" x14ac:dyDescent="0.2">
      <c r="C27" s="88" t="s">
        <v>136</v>
      </c>
      <c r="D27" s="50">
        <f>2639.988657234*Deflactores!$T$5</f>
        <v>4106.0923140292161</v>
      </c>
      <c r="E27" s="50">
        <f>2570.458132205*Deflactores!$U$5</f>
        <v>3934.601300864349</v>
      </c>
      <c r="F27" s="50">
        <f>2977.909*Deflactores!$V$5</f>
        <v>4315.7418185177439</v>
      </c>
      <c r="G27" s="50">
        <f>3200.618203527*Deflactores!$W$5</f>
        <v>4100.5159743780514</v>
      </c>
      <c r="H27" s="50">
        <f>3896.937817041*Deflactores!$X$5</f>
        <v>4568.6451424889256</v>
      </c>
      <c r="I27" s="50">
        <f>64.1165088*Deflactores!$Y$5</f>
        <v>71.45260677755951</v>
      </c>
      <c r="J27" s="50">
        <f>36.758051233*Deflactores!$Z$5</f>
        <v>38.975685174361601</v>
      </c>
      <c r="K27" s="50">
        <f>67.6371*Deflactores!$AA$5</f>
        <v>67.637100000000004</v>
      </c>
    </row>
    <row r="28" spans="3:11" x14ac:dyDescent="0.2">
      <c r="C28" s="87" t="s">
        <v>137</v>
      </c>
      <c r="D28" s="42">
        <f>45.151440557*Deflactores!$T$5</f>
        <v>70.22605287732182</v>
      </c>
      <c r="E28" s="42">
        <f>38.42789807*Deflactores!$U$5</f>
        <v>58.821599092144318</v>
      </c>
      <c r="F28" s="42">
        <f>109.989438877*Deflactores!$V$5</f>
        <v>159.4024602352759</v>
      </c>
      <c r="G28" s="42">
        <f>98.378398775*Deflactores!$W$5</f>
        <v>126.03883689284858</v>
      </c>
      <c r="H28" s="42">
        <f>54.872029584*Deflactores!$X$5</f>
        <v>64.330210844319637</v>
      </c>
      <c r="I28" s="42">
        <f>66.238031157*Deflactores!$Y$5</f>
        <v>73.816869984986695</v>
      </c>
      <c r="J28" s="42">
        <f>61.597597522*Deflactores!$Z$5</f>
        <v>65.313815286245429</v>
      </c>
      <c r="K28" s="42">
        <f>67.597446*Deflactores!$AA$5</f>
        <v>67.597446000000005</v>
      </c>
    </row>
    <row r="29" spans="3:11" x14ac:dyDescent="0.2">
      <c r="C29" s="88" t="s">
        <v>138</v>
      </c>
      <c r="D29" s="50">
        <f>0*Deflactores!$T$5</f>
        <v>0</v>
      </c>
      <c r="E29" s="50">
        <f>0*Deflactores!$U$5</f>
        <v>0</v>
      </c>
      <c r="F29" s="50">
        <f>0*Deflactores!$V$5</f>
        <v>0</v>
      </c>
      <c r="G29" s="50">
        <f>0*Deflactores!$W$5</f>
        <v>0</v>
      </c>
      <c r="H29" s="50">
        <f>0*Deflactores!$X$5</f>
        <v>0</v>
      </c>
      <c r="I29" s="50">
        <f>0*Deflactores!$Y$5</f>
        <v>0</v>
      </c>
      <c r="J29" s="50">
        <f>0*Deflactores!$Z$5</f>
        <v>0</v>
      </c>
      <c r="K29" s="50">
        <f>0*Deflactores!$AA$5</f>
        <v>0</v>
      </c>
    </row>
    <row r="30" spans="3:11" x14ac:dyDescent="0.2">
      <c r="C30" s="87" t="s">
        <v>160</v>
      </c>
      <c r="D30" s="42">
        <f>106.570360693*Deflactores!$T$5</f>
        <v>165.75364357940958</v>
      </c>
      <c r="E30" s="42">
        <f>116.069788985*Deflactores!$U$5</f>
        <v>177.66807286593436</v>
      </c>
      <c r="F30" s="42">
        <f>131.144217016*Deflactores!$V$5</f>
        <v>190.06107360322881</v>
      </c>
      <c r="G30" s="42">
        <f>164.184372976*Deflactores!$W$5</f>
        <v>210.34706463565004</v>
      </c>
      <c r="H30" s="42">
        <f>173.596287573*Deflactores!$X$5</f>
        <v>203.51873014404654</v>
      </c>
      <c r="I30" s="42">
        <f>228.9817870285*Deflactores!$Y$5</f>
        <v>255.1814796842196</v>
      </c>
      <c r="J30" s="42">
        <f>217.966224135*Deflactores!$Z$5</f>
        <v>231.11624924509766</v>
      </c>
      <c r="K30" s="42">
        <f>234.34878526*Deflactores!$AA$5</f>
        <v>234.34878526</v>
      </c>
    </row>
    <row r="31" spans="3:11" x14ac:dyDescent="0.2">
      <c r="C31" s="88" t="s">
        <v>161</v>
      </c>
      <c r="D31" s="50">
        <f>444.320240828*Deflactores!$T$5</f>
        <v>691.07112291268845</v>
      </c>
      <c r="E31" s="50">
        <f>478.711208054*Deflactores!$U$5</f>
        <v>732.76343946200325</v>
      </c>
      <c r="F31" s="50">
        <f>552.4648*Deflactores!$V$5</f>
        <v>800.66094720122123</v>
      </c>
      <c r="G31" s="50">
        <f>707.174405134*Deflactores!$W$5</f>
        <v>906.00620271664366</v>
      </c>
      <c r="H31" s="50">
        <f>1076.44896482*Deflactores!$X$5</f>
        <v>1261.9943055689725</v>
      </c>
      <c r="I31" s="50">
        <f>929.512151636*Deflactores!$Y$5</f>
        <v>1035.8652944280454</v>
      </c>
      <c r="J31" s="50">
        <f>847.998097531*Deflactores!$Z$5</f>
        <v>899.15830053998116</v>
      </c>
      <c r="K31" s="50">
        <f>1015.367589758*Deflactores!$AA$5</f>
        <v>1015.367589758</v>
      </c>
    </row>
    <row r="32" spans="3:11" x14ac:dyDescent="0.2">
      <c r="C32" s="87" t="s">
        <v>140</v>
      </c>
      <c r="D32" s="42">
        <f>808.882828519*Deflactores!$T$5</f>
        <v>1258.0916043071031</v>
      </c>
      <c r="E32" s="42">
        <f>1155.308874116*Deflactores!$U$5</f>
        <v>1768.4317600993361</v>
      </c>
      <c r="F32" s="42">
        <f>1545.138664447*Deflactores!$V$5</f>
        <v>2239.2959454310303</v>
      </c>
      <c r="G32" s="42">
        <f>1198.354958409*Deflactores!$W$5</f>
        <v>1535.2889152840178</v>
      </c>
      <c r="H32" s="42">
        <f>2016.561893797*Deflactores!$X$5</f>
        <v>2364.1526072949914</v>
      </c>
      <c r="I32" s="42">
        <f>4743.915674858*Deflactores!$Y$5</f>
        <v>5286.7061486281282</v>
      </c>
      <c r="J32" s="42">
        <f>3963.608638279*Deflactores!$Z$5</f>
        <v>4202.7353806300844</v>
      </c>
      <c r="K32" s="42">
        <f>3420.984603088*Deflactores!$AA$5</f>
        <v>3420.9846030879999</v>
      </c>
    </row>
    <row r="33" spans="1:11" x14ac:dyDescent="0.2">
      <c r="C33" s="88" t="s">
        <v>141</v>
      </c>
      <c r="D33" s="50">
        <f>20.727*Deflactores!$T$5</f>
        <v>32.237629188169635</v>
      </c>
      <c r="E33" s="50">
        <f>21.347*Deflactores!$U$5</f>
        <v>32.675861519479795</v>
      </c>
      <c r="F33" s="50">
        <f>20.93313*Deflactores!$V$5</f>
        <v>30.33738926658549</v>
      </c>
      <c r="G33" s="50">
        <f>30.577919*Deflactores!$W$5</f>
        <v>39.175320937863432</v>
      </c>
      <c r="H33" s="50">
        <f>49.815*Deflactores!$X$5</f>
        <v>58.401511252724042</v>
      </c>
      <c r="I33" s="50">
        <f>17.75*Deflactores!$Y$5</f>
        <v>19.78092372836247</v>
      </c>
      <c r="J33" s="50">
        <f>19.572818033*Deflactores!$Z$5</f>
        <v>20.753657172783001</v>
      </c>
      <c r="K33" s="50">
        <f>22.275956669*Deflactores!$AA$5</f>
        <v>22.275956668999999</v>
      </c>
    </row>
    <row r="34" spans="1:11" x14ac:dyDescent="0.2">
      <c r="C34" s="87" t="s">
        <v>142</v>
      </c>
      <c r="D34" s="42">
        <f>141.477228913*Deflactores!$T$5</f>
        <v>220.04585537063181</v>
      </c>
      <c r="E34" s="42">
        <f>343.527796928999*Deflactores!$U$5</f>
        <v>525.83813746868168</v>
      </c>
      <c r="F34" s="42">
        <f>725.726626879*Deflactores!$V$5</f>
        <v>1051.761068734311</v>
      </c>
      <c r="G34" s="42">
        <f>303.420755592*Deflactores!$W$5</f>
        <v>388.73166874193174</v>
      </c>
      <c r="H34" s="42">
        <f>328.9172*Deflactores!$X$5</f>
        <v>385.61199552372744</v>
      </c>
      <c r="I34" s="42">
        <f>297.381662781*Deflactores!$Y$5</f>
        <v>331.4075487146236</v>
      </c>
      <c r="J34" s="42">
        <f>259.1457439*Deflactores!$Z$5</f>
        <v>274.7801526391691</v>
      </c>
      <c r="K34" s="42">
        <f>356.011905331*Deflactores!$AA$5</f>
        <v>356.01190533099998</v>
      </c>
    </row>
    <row r="35" spans="1:11" x14ac:dyDescent="0.2">
      <c r="C35" s="88" t="s">
        <v>143</v>
      </c>
      <c r="D35" s="50">
        <f>65.425576861*Deflactores!$T$5</f>
        <v>101.75932292502577</v>
      </c>
      <c r="E35" s="50">
        <f>37.175760739*Deflactores!$U$5</f>
        <v>56.904951973995303</v>
      </c>
      <c r="F35" s="50">
        <f>140.260395277*Deflactores!$V$5</f>
        <v>203.27271698993403</v>
      </c>
      <c r="G35" s="50">
        <f>129.934163842*Deflactores!$W$5</f>
        <v>166.46693875090978</v>
      </c>
      <c r="H35" s="50">
        <f>85.558953356*Deflactores!$X$5</f>
        <v>100.30657788199791</v>
      </c>
      <c r="I35" s="50">
        <f>56.133921012*Deflactores!$Y$5</f>
        <v>62.556665358439183</v>
      </c>
      <c r="J35" s="50">
        <f>8.979918869*Deflactores!$Z$5</f>
        <v>9.5216824338945862</v>
      </c>
      <c r="K35" s="50">
        <f>12.991401002*Deflactores!$AA$5</f>
        <v>12.991401002</v>
      </c>
    </row>
    <row r="36" spans="1:11" x14ac:dyDescent="0.2">
      <c r="C36" s="87" t="s">
        <v>144</v>
      </c>
      <c r="D36" s="42">
        <f>0*Deflactores!$T$5</f>
        <v>0</v>
      </c>
      <c r="E36" s="42">
        <f>0*Deflactores!$U$5</f>
        <v>0</v>
      </c>
      <c r="F36" s="42">
        <f>0*Deflactores!$V$5</f>
        <v>0</v>
      </c>
      <c r="G36" s="42">
        <f>0*Deflactores!$W$5</f>
        <v>0</v>
      </c>
      <c r="H36" s="42">
        <f>0*Deflactores!$X$5</f>
        <v>0</v>
      </c>
      <c r="I36" s="42">
        <f>0*Deflactores!$Y$5</f>
        <v>0</v>
      </c>
      <c r="J36" s="42">
        <f>0*Deflactores!$Z$5</f>
        <v>0</v>
      </c>
      <c r="K36" s="42">
        <f>0*Deflactores!$AA$5</f>
        <v>0</v>
      </c>
    </row>
    <row r="37" spans="1:11" x14ac:dyDescent="0.2">
      <c r="C37" s="88" t="s">
        <v>145</v>
      </c>
      <c r="D37" s="50">
        <f>97.254704591*Deflactores!$T$5</f>
        <v>151.26458741784325</v>
      </c>
      <c r="E37" s="50">
        <f>77.879200865*Deflactores!$U$5</f>
        <v>119.20972421007593</v>
      </c>
      <c r="F37" s="50">
        <f>108.4391*Deflactores!$V$5</f>
        <v>157.15562786922885</v>
      </c>
      <c r="G37" s="50">
        <f>136.836093997*Deflactores!$W$5</f>
        <v>175.309441372257</v>
      </c>
      <c r="H37" s="50">
        <f>173.870283784*Deflactores!$X$5</f>
        <v>203.83995453027399</v>
      </c>
      <c r="I37" s="50">
        <f>219.620652433*Deflactores!$Y$5</f>
        <v>244.74926056058462</v>
      </c>
      <c r="J37" s="50">
        <f>251.249795192*Deflactores!$Z$5</f>
        <v>266.40783689682559</v>
      </c>
      <c r="K37" s="50">
        <f>259.311080432*Deflactores!$AA$5</f>
        <v>259.31108043199998</v>
      </c>
    </row>
    <row r="38" spans="1:11" x14ac:dyDescent="0.2">
      <c r="C38" s="87" t="s">
        <v>146</v>
      </c>
      <c r="D38" s="42">
        <f>222.986*Deflactores!$T$5</f>
        <v>346.8200888769814</v>
      </c>
      <c r="E38" s="42">
        <f>189.62263943*Deflactores!$U$5</f>
        <v>290.25545074122493</v>
      </c>
      <c r="F38" s="42">
        <f>227.302273946*Deflactores!$V$5</f>
        <v>329.41837010900213</v>
      </c>
      <c r="G38" s="42">
        <f>203.453*Deflactores!$W$5</f>
        <v>260.65660553195687</v>
      </c>
      <c r="H38" s="42">
        <f>244.357829316*Deflactores!$X$5</f>
        <v>286.47729636634739</v>
      </c>
      <c r="I38" s="42">
        <f>420.620371775*Deflactores!$Y$5</f>
        <v>468.74701367192915</v>
      </c>
      <c r="J38" s="42">
        <f>604.242437338*Deflactores!$Z$5</f>
        <v>640.69672402904234</v>
      </c>
      <c r="K38" s="42">
        <f>657.004395179*Deflactores!$AA$5</f>
        <v>657.00439517899997</v>
      </c>
    </row>
    <row r="39" spans="1:11" x14ac:dyDescent="0.2">
      <c r="C39" s="88" t="s">
        <v>162</v>
      </c>
      <c r="D39" s="50">
        <f>618.754639111*Deflactores!$T$5</f>
        <v>962.37673634004636</v>
      </c>
      <c r="E39" s="50">
        <f>540.529464013*Deflactores!$U$5</f>
        <v>827.38866881938566</v>
      </c>
      <c r="F39" s="50">
        <f>587.184659048*Deflactores!$V$5</f>
        <v>850.97878687546756</v>
      </c>
      <c r="G39" s="50">
        <f>670.557441*Deflactores!$W$5</f>
        <v>859.09387615447031</v>
      </c>
      <c r="H39" s="50">
        <f>786.755919*Deflactores!$X$5</f>
        <v>922.36745270753272</v>
      </c>
      <c r="I39" s="50">
        <f>835.887706989*Deflactores!$Y$5</f>
        <v>931.52850577043409</v>
      </c>
      <c r="J39" s="50">
        <f>862.921839466*Deflactores!$Z$5</f>
        <v>914.98240023435733</v>
      </c>
      <c r="K39" s="50">
        <f>1158.035193*Deflactores!$AA$5</f>
        <v>1158.0351929999999</v>
      </c>
    </row>
    <row r="40" spans="1:11" x14ac:dyDescent="0.2">
      <c r="C40" s="87" t="s">
        <v>148</v>
      </c>
      <c r="D40" s="42">
        <f>0*Deflactores!$T$5</f>
        <v>0</v>
      </c>
      <c r="E40" s="42">
        <f>0*Deflactores!$U$5</f>
        <v>0</v>
      </c>
      <c r="F40" s="42">
        <f>0*Deflactores!$V$5</f>
        <v>0</v>
      </c>
      <c r="G40" s="42">
        <f>0*Deflactores!$W$5</f>
        <v>0</v>
      </c>
      <c r="H40" s="42">
        <f>0*Deflactores!$X$5</f>
        <v>0</v>
      </c>
      <c r="I40" s="42">
        <f>0*Deflactores!$Y$5</f>
        <v>0</v>
      </c>
      <c r="J40" s="42">
        <f>0*Deflactores!$Z$5</f>
        <v>0</v>
      </c>
      <c r="K40" s="42">
        <f>0*Deflactores!$AA$5</f>
        <v>0</v>
      </c>
    </row>
    <row r="41" spans="1:11" x14ac:dyDescent="0.2">
      <c r="C41" s="88" t="s">
        <v>149</v>
      </c>
      <c r="D41" s="50">
        <f>1562.439008477*Deflactores!$T$5</f>
        <v>2430.1312000971175</v>
      </c>
      <c r="E41" s="50">
        <f>1531.753467546*Deflactores!$U$5</f>
        <v>2344.6556512632255</v>
      </c>
      <c r="F41" s="50">
        <f>2380.088034962*Deflactores!$V$5</f>
        <v>3449.3483394688105</v>
      </c>
      <c r="G41" s="50">
        <f>2389.839010958*Deflactores!$W$5</f>
        <v>3061.7750751483704</v>
      </c>
      <c r="H41" s="50">
        <f>2415.951667433*Deflactores!$X$5</f>
        <v>2832.3843920832228</v>
      </c>
      <c r="I41" s="50">
        <f>3126.680338393*Deflactores!$Y$5</f>
        <v>3484.429594181549</v>
      </c>
      <c r="J41" s="50">
        <f>2086.591800379*Deflactores!$Z$5</f>
        <v>2212.4770593378062</v>
      </c>
      <c r="K41" s="50">
        <f>1977.081804581*Deflactores!$AA$5</f>
        <v>1977.0818045809999</v>
      </c>
    </row>
    <row r="42" spans="1:11" x14ac:dyDescent="0.2">
      <c r="C42" s="87" t="s">
        <v>163</v>
      </c>
      <c r="D42" s="42">
        <f>1657.924781199*Deflactores!$T$5</f>
        <v>2578.6444887427338</v>
      </c>
      <c r="E42" s="42">
        <f>1614.863195126*Deflactores!$U$5</f>
        <v>2471.8717448279313</v>
      </c>
      <c r="F42" s="42">
        <f>1705.768063*Deflactores!$V$5</f>
        <v>2472.0884896687944</v>
      </c>
      <c r="G42" s="42">
        <f>1764.436184*Deflactores!$W$5</f>
        <v>2260.5316530068335</v>
      </c>
      <c r="H42" s="42">
        <f>2307.017421138*Deflactores!$X$5</f>
        <v>2704.6733690820297</v>
      </c>
      <c r="I42" s="42">
        <f>2284.916554*Deflactores!$Y$5</f>
        <v>2546.3526805829188</v>
      </c>
      <c r="J42" s="42">
        <f>3070.410328867*Deflactores!$Z$5</f>
        <v>3255.649913959307</v>
      </c>
      <c r="K42" s="42">
        <f>3053.157348*Deflactores!$AA$5</f>
        <v>3053.1573480000002</v>
      </c>
    </row>
    <row r="43" spans="1:11" x14ac:dyDescent="0.2">
      <c r="C43" s="88" t="s">
        <v>150</v>
      </c>
      <c r="D43" s="50">
        <f>2942.355600993*Deflactores!$T$5</f>
        <v>4576.3771314973865</v>
      </c>
      <c r="E43" s="50">
        <f>2879.539785289*Deflactores!$U$5</f>
        <v>4407.7127120408459</v>
      </c>
      <c r="F43" s="50">
        <f>3515.740545*Deflactores!$V$5</f>
        <v>5095.1954855285585</v>
      </c>
      <c r="G43" s="50">
        <f>3450.752820011*Deflactores!$W$5</f>
        <v>4420.9793740760524</v>
      </c>
      <c r="H43" s="50">
        <f>3599.159126825*Deflactores!$X$5</f>
        <v>4219.5389389865431</v>
      </c>
      <c r="I43" s="50">
        <f>4177.91062794*Deflactores!$Y$5</f>
        <v>4655.9398014194985</v>
      </c>
      <c r="J43" s="50">
        <f>4824.254594801*Deflactores!$Z$5</f>
        <v>5115.3045926201366</v>
      </c>
      <c r="K43" s="50">
        <f>7243.268578923*Deflactores!$AA$5</f>
        <v>7243.268578923</v>
      </c>
    </row>
    <row r="44" spans="1:11" x14ac:dyDescent="0.2">
      <c r="C44" s="87" t="s">
        <v>151</v>
      </c>
      <c r="D44" s="42">
        <f>0*Deflactores!$T$5</f>
        <v>0</v>
      </c>
      <c r="E44" s="42">
        <f>0*Deflactores!$U$5</f>
        <v>0</v>
      </c>
      <c r="F44" s="42">
        <f>0*Deflactores!$V$5</f>
        <v>0</v>
      </c>
      <c r="G44" s="42">
        <f>0*Deflactores!$W$5</f>
        <v>0</v>
      </c>
      <c r="H44" s="42">
        <f>0*Deflactores!$X$5</f>
        <v>0</v>
      </c>
      <c r="I44" s="42">
        <f>0*Deflactores!$Y$5</f>
        <v>0</v>
      </c>
      <c r="J44" s="42">
        <f>0*Deflactores!$Z$5</f>
        <v>0</v>
      </c>
      <c r="K44" s="42">
        <f>0*Deflactores!$AA$5</f>
        <v>0</v>
      </c>
    </row>
    <row r="45" spans="1:11" ht="21.75" customHeight="1" x14ac:dyDescent="0.2">
      <c r="C45" s="79" t="s">
        <v>152</v>
      </c>
      <c r="D45" s="44">
        <f t="shared" ref="D45:K45" si="0">SUM(D14:D44)</f>
        <v>23102.375632226016</v>
      </c>
      <c r="E45" s="44">
        <f t="shared" si="0"/>
        <v>22665.387569040991</v>
      </c>
      <c r="F45" s="44">
        <f t="shared" si="0"/>
        <v>27152.420734507064</v>
      </c>
      <c r="G45" s="44">
        <f t="shared" si="0"/>
        <v>24187.875123796992</v>
      </c>
      <c r="H45" s="44">
        <f t="shared" si="0"/>
        <v>25470.684947193273</v>
      </c>
      <c r="I45" s="44">
        <f t="shared" si="0"/>
        <v>30072.269379720998</v>
      </c>
      <c r="J45" s="44">
        <f t="shared" si="0"/>
        <v>27915.957581366085</v>
      </c>
      <c r="K45" s="44">
        <f t="shared" si="0"/>
        <v>29723.226216287003</v>
      </c>
    </row>
    <row r="46" spans="1:11" s="31" customFormat="1" x14ac:dyDescent="0.2">
      <c r="A46" s="5"/>
      <c r="B46" s="5"/>
      <c r="C46" s="72" t="str">
        <f>+'C1 Aprop Resumen 2000-2026'!B20</f>
        <v>* Información con corte a 30 de Junio</v>
      </c>
      <c r="D46" s="121">
        <f>+D45-'C7 Ejec. Prop 19-26'!D33</f>
        <v>0</v>
      </c>
      <c r="E46" s="121">
        <f>+E45-'C7 Ejec. Prop 19-26'!E33</f>
        <v>0</v>
      </c>
      <c r="F46" s="121">
        <f>+F45-'C7 Ejec. Prop 19-26'!F33</f>
        <v>0</v>
      </c>
      <c r="G46" s="121">
        <f>+G45-'C7 Ejec. Prop 19-26'!G33</f>
        <v>0</v>
      </c>
      <c r="H46" s="121">
        <f>+H45-'C7 Ejec. Prop 19-26'!H33</f>
        <v>0</v>
      </c>
      <c r="I46" s="121">
        <f>+I45-'C7 Ejec. Prop 19-26'!I33</f>
        <v>0</v>
      </c>
      <c r="J46" s="121">
        <f>+J45-'C7 Ejec. Prop 19-26'!J33</f>
        <v>0</v>
      </c>
      <c r="K46" s="121">
        <f>+K45-'C7 Ejec. Prop 19-26'!K33</f>
        <v>0</v>
      </c>
    </row>
    <row r="47" spans="1:11" x14ac:dyDescent="0.2">
      <c r="C47" s="1" t="s">
        <v>52</v>
      </c>
      <c r="D47" s="10"/>
    </row>
    <row r="48" spans="1:11" x14ac:dyDescent="0.2">
      <c r="D48" s="10"/>
    </row>
    <row r="49" spans="3:11" x14ac:dyDescent="0.2">
      <c r="D49" s="10"/>
    </row>
    <row r="51" spans="3:11" ht="18" customHeight="1" x14ac:dyDescent="0.2">
      <c r="D51" s="164" t="s">
        <v>153</v>
      </c>
      <c r="E51" s="182"/>
      <c r="F51" s="182"/>
      <c r="G51" s="182"/>
      <c r="H51" s="182"/>
      <c r="I51" s="182"/>
      <c r="J51" s="182"/>
      <c r="K51" s="182"/>
    </row>
    <row r="52" spans="3:11" ht="11.25" hidden="1" customHeight="1" x14ac:dyDescent="0.2">
      <c r="D52" s="28"/>
    </row>
    <row r="53" spans="3:11" x14ac:dyDescent="0.2">
      <c r="C53" s="2"/>
      <c r="D53" s="2"/>
      <c r="E53" s="2"/>
      <c r="F53" s="2"/>
      <c r="G53" s="2"/>
      <c r="H53" s="2"/>
      <c r="I53" s="2"/>
    </row>
    <row r="54" spans="3:11" ht="12" thickBot="1" x14ac:dyDescent="0.25">
      <c r="C54" s="181" t="s">
        <v>120</v>
      </c>
      <c r="D54" s="155">
        <v>2019</v>
      </c>
      <c r="E54" s="155">
        <v>2020</v>
      </c>
      <c r="F54" s="155">
        <v>2021</v>
      </c>
      <c r="G54" s="155">
        <v>2022</v>
      </c>
      <c r="H54" s="155">
        <v>2023</v>
      </c>
      <c r="I54" s="155">
        <v>2024</v>
      </c>
      <c r="J54" s="155">
        <v>2025</v>
      </c>
      <c r="K54" s="155" t="s">
        <v>36</v>
      </c>
    </row>
    <row r="55" spans="3:11" ht="12" customHeight="1" thickBot="1" x14ac:dyDescent="0.25">
      <c r="C55" s="162"/>
      <c r="D55" s="156"/>
      <c r="E55" s="156"/>
      <c r="F55" s="156"/>
      <c r="G55" s="156"/>
      <c r="H55" s="156"/>
      <c r="I55" s="156"/>
      <c r="J55" s="156"/>
      <c r="K55" s="156"/>
    </row>
    <row r="56" spans="3:11" x14ac:dyDescent="0.2">
      <c r="C56" s="87" t="s">
        <v>123</v>
      </c>
      <c r="D56" s="42">
        <f>60.70700371652*Deflactores!$T$5</f>
        <v>94.420315286245355</v>
      </c>
      <c r="E56" s="42">
        <f>84.55009401387*Deflactores!$U$5</f>
        <v>129.42086304662075</v>
      </c>
      <c r="F56" s="42">
        <f>86.9368905809199*Deflactores!$V$5</f>
        <v>125.99349887856792</v>
      </c>
      <c r="G56" s="42">
        <f>68.88567513719*Deflactores!$W$5</f>
        <v>88.253828899239949</v>
      </c>
      <c r="H56" s="42">
        <f>71.24765676576*Deflactores!$X$5</f>
        <v>83.528471912792384</v>
      </c>
      <c r="I56" s="42">
        <f>118.60804915405*Deflactores!$Y$5</f>
        <v>132.17897317668337</v>
      </c>
      <c r="J56" s="42">
        <f>113.935315915449*Deflactores!$Z$5</f>
        <v>120.80909771884943</v>
      </c>
      <c r="K56" s="42">
        <f>49.45466269165*Deflactores!$AA$5</f>
        <v>49.45466269165</v>
      </c>
    </row>
    <row r="57" spans="3:11" x14ac:dyDescent="0.2">
      <c r="C57" s="88" t="s">
        <v>124</v>
      </c>
      <c r="D57" s="50">
        <f>124.328856942959*Deflactores!$T$5</f>
        <v>193.37422625156086</v>
      </c>
      <c r="E57" s="50">
        <f>144.021200306449*Deflactores!$U$5</f>
        <v>220.45330946188167</v>
      </c>
      <c r="F57" s="50">
        <f>180.884463282789*Deflactores!$V$5</f>
        <v>262.14724577200639</v>
      </c>
      <c r="G57" s="50">
        <f>213.34929406589*Deflactores!$W$5</f>
        <v>273.33537860761038</v>
      </c>
      <c r="H57" s="50">
        <f>225.9729453473*Deflactores!$X$5</f>
        <v>264.92344696399749</v>
      </c>
      <c r="I57" s="50">
        <f>247.62751558465*Deflactores!$Y$5</f>
        <v>275.96061965204797</v>
      </c>
      <c r="J57" s="50">
        <f>256.88568760146*Deflactores!$Z$5</f>
        <v>272.38374587076169</v>
      </c>
      <c r="K57" s="50">
        <f>238.02498069687*Deflactores!$AA$5</f>
        <v>238.02498069686999</v>
      </c>
    </row>
    <row r="58" spans="3:11" x14ac:dyDescent="0.2">
      <c r="C58" s="87" t="s">
        <v>125</v>
      </c>
      <c r="D58" s="42">
        <f>0*Deflactores!$T$5</f>
        <v>0</v>
      </c>
      <c r="E58" s="42">
        <f>0*Deflactores!$U$5</f>
        <v>0</v>
      </c>
      <c r="F58" s="42">
        <f>0*Deflactores!$V$5</f>
        <v>0</v>
      </c>
      <c r="G58" s="42">
        <f>0*Deflactores!$W$5</f>
        <v>0</v>
      </c>
      <c r="H58" s="42">
        <f>0*Deflactores!$X$5</f>
        <v>0</v>
      </c>
      <c r="I58" s="42">
        <f>0*Deflactores!$Y$5</f>
        <v>0</v>
      </c>
      <c r="J58" s="42">
        <f>0*Deflactores!$Z$5</f>
        <v>0</v>
      </c>
      <c r="K58" s="42">
        <f>0*Deflactores!$AA$5</f>
        <v>0</v>
      </c>
    </row>
    <row r="59" spans="3:11" x14ac:dyDescent="0.2">
      <c r="C59" s="88" t="s">
        <v>126</v>
      </c>
      <c r="D59" s="50">
        <f>336.69346902338*Deflactores!$T$5</f>
        <v>523.6743959306317</v>
      </c>
      <c r="E59" s="50">
        <f>350.77093917672*Deflactores!$U$5</f>
        <v>536.92521823190009</v>
      </c>
      <c r="F59" s="50">
        <f>373.02493085056*Deflactores!$V$5</f>
        <v>540.6072829698461</v>
      </c>
      <c r="G59" s="50">
        <f>411.33678883529*Deflactores!$W$5</f>
        <v>526.98977704050583</v>
      </c>
      <c r="H59" s="50">
        <f>443.54076421665*Deflactores!$X$5</f>
        <v>519.99299272188114</v>
      </c>
      <c r="I59" s="50">
        <f>461.045969761709*Deflactores!$Y$5</f>
        <v>513.79803735917051</v>
      </c>
      <c r="J59" s="50">
        <f>489.288760237309*Deflactores!$Z$5</f>
        <v>518.80782682087329</v>
      </c>
      <c r="K59" s="50">
        <f>285.952578325929*Deflactores!$AA$5</f>
        <v>285.95257832592898</v>
      </c>
    </row>
    <row r="60" spans="3:11" x14ac:dyDescent="0.2">
      <c r="C60" s="87" t="s">
        <v>127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128</v>
      </c>
      <c r="D61" s="50">
        <f>9.67589047123999*Deflactores!$T$5</f>
        <v>15.049344771417896</v>
      </c>
      <c r="E61" s="50">
        <f>11.05793322114*Deflactores!$U$5</f>
        <v>16.926382846565126</v>
      </c>
      <c r="F61" s="50">
        <f>11.2876361612*Deflactores!$V$5</f>
        <v>16.358633998924727</v>
      </c>
      <c r="G61" s="50">
        <f>22.7492003578*Deflactores!$W$5</f>
        <v>29.145450515993996</v>
      </c>
      <c r="H61" s="50">
        <f>13.48445123598*Deflactores!$X$5</f>
        <v>15.808738945998085</v>
      </c>
      <c r="I61" s="50">
        <f>11.9262319684899*Deflactores!$Y$5</f>
        <v>13.290810418898982</v>
      </c>
      <c r="J61" s="50">
        <f>18.89695694104*Deflactores!$Z$5</f>
        <v>20.037021000346737</v>
      </c>
      <c r="K61" s="50">
        <f>14.6775894786299*Deflactores!$AA$5</f>
        <v>14.677589478629899</v>
      </c>
    </row>
    <row r="62" spans="3:11" x14ac:dyDescent="0.2">
      <c r="C62" s="87" t="s">
        <v>129</v>
      </c>
      <c r="D62" s="42">
        <f>2069.50067085458*Deflactores!$T$5</f>
        <v>3218.7868592501691</v>
      </c>
      <c r="E62" s="42">
        <f>1853.43658726311*Deflactores!$U$5</f>
        <v>2837.0561325032372</v>
      </c>
      <c r="F62" s="42">
        <f>1825.42220457594*Deflactores!$V$5</f>
        <v>2645.4975436587338</v>
      </c>
      <c r="G62" s="42">
        <f>2564.98058669211*Deflactores!$W$5</f>
        <v>3286.1601106031007</v>
      </c>
      <c r="H62" s="42">
        <f>2361.03649381141*Deflactores!$X$5</f>
        <v>2768.0036005504198</v>
      </c>
      <c r="I62" s="42">
        <f>2633.21656217436*Deflactores!$Y$5</f>
        <v>2934.5045620637666</v>
      </c>
      <c r="J62" s="42">
        <f>2699.37020121435*Deflactores!$Z$5</f>
        <v>2862.2247263513855</v>
      </c>
      <c r="K62" s="42">
        <f>1563.22975610409*Deflactores!$AA$5</f>
        <v>1563.22975610409</v>
      </c>
    </row>
    <row r="63" spans="3:11" x14ac:dyDescent="0.2">
      <c r="C63" s="88" t="s">
        <v>130</v>
      </c>
      <c r="D63" s="50">
        <f>0*Deflactores!$T$5</f>
        <v>0</v>
      </c>
      <c r="E63" s="50">
        <f>0*Deflactores!$U$5</f>
        <v>0</v>
      </c>
      <c r="F63" s="50">
        <f>0*Deflactores!$V$5</f>
        <v>0</v>
      </c>
      <c r="G63" s="50">
        <f>0*Deflactores!$W$5</f>
        <v>0</v>
      </c>
      <c r="H63" s="50">
        <f>0*Deflactores!$X$5</f>
        <v>0</v>
      </c>
      <c r="I63" s="50">
        <f>0*Deflactores!$Y$5</f>
        <v>0</v>
      </c>
      <c r="J63" s="50">
        <f>0*Deflactores!$Z$5</f>
        <v>0</v>
      </c>
      <c r="K63" s="50">
        <f>0*Deflactores!$AA$5</f>
        <v>0</v>
      </c>
    </row>
    <row r="64" spans="3:11" x14ac:dyDescent="0.2">
      <c r="C64" s="87" t="s">
        <v>131</v>
      </c>
      <c r="D64" s="42">
        <f>21.68704354706*Deflactores!$T$5</f>
        <v>33.730827811926829</v>
      </c>
      <c r="E64" s="42">
        <f>20.60487504441*Deflactores!$U$5</f>
        <v>31.53989055030338</v>
      </c>
      <c r="F64" s="42">
        <f>24.39402736355*Deflactores!$V$5</f>
        <v>35.353103138792648</v>
      </c>
      <c r="G64" s="42">
        <f>29.28348064693*Deflactores!$W$5</f>
        <v>37.516933461730844</v>
      </c>
      <c r="H64" s="42">
        <f>35.33026852938*Deflactores!$X$5</f>
        <v>41.420075782000367</v>
      </c>
      <c r="I64" s="42">
        <f>46.1357764065199*Deflactores!$Y$5</f>
        <v>51.414550661755207</v>
      </c>
      <c r="J64" s="42">
        <f>55.46484717602*Deflactores!$Z$5</f>
        <v>58.81107265653597</v>
      </c>
      <c r="K64" s="42">
        <f>39.15315516512*Deflactores!$AA$5</f>
        <v>39.153155165119998</v>
      </c>
    </row>
    <row r="65" spans="3:11" x14ac:dyDescent="0.2">
      <c r="C65" s="88" t="s">
        <v>132</v>
      </c>
      <c r="D65" s="50">
        <f>340.216875732059*Deflactores!$T$5</f>
        <v>529.15450781143954</v>
      </c>
      <c r="E65" s="50">
        <f>222.08220358878*Deflactores!$U$5</f>
        <v>339.94131870557425</v>
      </c>
      <c r="F65" s="50">
        <f>260.7059227921*Deflactores!$V$5</f>
        <v>377.8286889656884</v>
      </c>
      <c r="G65" s="50">
        <f>319.3632566372*Deflactores!$W$5</f>
        <v>409.15662293838744</v>
      </c>
      <c r="H65" s="50">
        <f>409.29115673819*Deflactores!$X$5</f>
        <v>479.83984936035017</v>
      </c>
      <c r="I65" s="50">
        <f>456.07440670332*Deflactores!$Y$5</f>
        <v>508.25763681445289</v>
      </c>
      <c r="J65" s="50">
        <f>494.028590405649*Deflactores!$Z$5</f>
        <v>523.83361361381708</v>
      </c>
      <c r="K65" s="50">
        <f>298.89965565801*Deflactores!$AA$5</f>
        <v>298.89965565800998</v>
      </c>
    </row>
    <row r="66" spans="3:11" x14ac:dyDescent="0.2">
      <c r="C66" s="87" t="s">
        <v>133</v>
      </c>
      <c r="D66" s="42">
        <f>67.77441973651*Deflactores!$T$5</f>
        <v>105.41258319626452</v>
      </c>
      <c r="E66" s="42">
        <f>60.49360399882*Deflactores!$U$5</f>
        <v>92.597584067067558</v>
      </c>
      <c r="F66" s="42">
        <f>88.24275720931*Deflactores!$V$5</f>
        <v>127.88602924720912</v>
      </c>
      <c r="G66" s="42">
        <f>43.78108992185*Deflactores!$W$5</f>
        <v>56.09074472000308</v>
      </c>
      <c r="H66" s="42">
        <f>50.05947120509*Deflactores!$X$5</f>
        <v>58.688121467218281</v>
      </c>
      <c r="I66" s="42">
        <f>43.0927113940499*Deflactores!$Y$5</f>
        <v>48.02330351177676</v>
      </c>
      <c r="J66" s="42">
        <f>41.13881599731*Deflactores!$Z$5</f>
        <v>43.620743945143111</v>
      </c>
      <c r="K66" s="42">
        <f>16.79132419687*Deflactores!$AA$5</f>
        <v>16.791324196870001</v>
      </c>
    </row>
    <row r="67" spans="3:11" x14ac:dyDescent="0.2">
      <c r="C67" s="88" t="s">
        <v>134</v>
      </c>
      <c r="D67" s="50">
        <f>228.716490426399*Deflactores!$T$5</f>
        <v>355.73297667707823</v>
      </c>
      <c r="E67" s="50">
        <f>251.620361239389*Deflactores!$U$5</f>
        <v>385.15538854826235</v>
      </c>
      <c r="F67" s="50">
        <f>274.53792736379*Deflactores!$V$5</f>
        <v>397.87475503552838</v>
      </c>
      <c r="G67" s="50">
        <f>327.25495291412*Deflactores!$W$5</f>
        <v>419.26717802202421</v>
      </c>
      <c r="H67" s="50">
        <f>351.098005796029*Deflactores!$X$5</f>
        <v>411.61606215609271</v>
      </c>
      <c r="I67" s="50">
        <f>386.55340349605*Deflactores!$Y$5</f>
        <v>430.78216290108668</v>
      </c>
      <c r="J67" s="50">
        <f>410.64822481348*Deflactores!$Z$5</f>
        <v>435.42286358673192</v>
      </c>
      <c r="K67" s="50">
        <f>248.56427267458*Deflactores!$AA$5</f>
        <v>248.56427267458</v>
      </c>
    </row>
    <row r="68" spans="3:11" x14ac:dyDescent="0.2">
      <c r="C68" s="87" t="s">
        <v>135</v>
      </c>
      <c r="D68" s="42">
        <f>0*Deflactores!$T$5</f>
        <v>0</v>
      </c>
      <c r="E68" s="42">
        <f>0*Deflactores!$U$5</f>
        <v>0</v>
      </c>
      <c r="F68" s="42">
        <f>0*Deflactores!$V$5</f>
        <v>0</v>
      </c>
      <c r="G68" s="42">
        <f>0*Deflactores!$W$5</f>
        <v>0</v>
      </c>
      <c r="H68" s="42">
        <f>0*Deflactores!$X$5</f>
        <v>0</v>
      </c>
      <c r="I68" s="42">
        <f>4284.64188479462*Deflactores!$Y$5</f>
        <v>4774.8830606461743</v>
      </c>
      <c r="J68" s="42">
        <f>4370.67416369404*Deflactores!$Z$5</f>
        <v>4634.3593985450789</v>
      </c>
      <c r="K68" s="42">
        <f>2899.63081103077*Deflactores!$AA$5</f>
        <v>2899.63081103077</v>
      </c>
    </row>
    <row r="69" spans="3:11" x14ac:dyDescent="0.2">
      <c r="C69" s="88" t="s">
        <v>136</v>
      </c>
      <c r="D69" s="50">
        <f>2560.59790624545*Deflactores!$T$5</f>
        <v>3982.612331815717</v>
      </c>
      <c r="E69" s="50">
        <f>2495.13312718541*Deflactores!$U$5</f>
        <v>3819.3012852661741</v>
      </c>
      <c r="F69" s="50">
        <f>2658.88961538585*Deflactores!$V$5</f>
        <v>3853.4022040106911</v>
      </c>
      <c r="G69" s="50">
        <f>3064.26585905367*Deflactores!$W$5</f>
        <v>3925.8262953527123</v>
      </c>
      <c r="H69" s="50">
        <f>3738.01043879347*Deflactores!$X$5</f>
        <v>4382.3237720364705</v>
      </c>
      <c r="I69" s="50">
        <f>1.78110219585*Deflactores!$Y$5</f>
        <v>1.9848927711846629</v>
      </c>
      <c r="J69" s="50">
        <f>31.62720305825*Deflactores!$Z$5</f>
        <v>33.535290038371073</v>
      </c>
      <c r="K69" s="50">
        <f>2.28632313326*Deflactores!$AA$5</f>
        <v>2.2863231332599998</v>
      </c>
    </row>
    <row r="70" spans="3:11" x14ac:dyDescent="0.2">
      <c r="C70" s="87" t="s">
        <v>137</v>
      </c>
      <c r="D70" s="42">
        <f>39.14409166372*Deflactores!$T$5</f>
        <v>60.882554733571062</v>
      </c>
      <c r="E70" s="42">
        <f>32.11227249834*Deflactores!$U$5</f>
        <v>49.154268479484571</v>
      </c>
      <c r="F70" s="42">
        <f>61.53311583762*Deflactores!$V$5</f>
        <v>89.177016908210803</v>
      </c>
      <c r="G70" s="42">
        <f>32.6701203550499*Deflactores!$W$5</f>
        <v>41.855773441865182</v>
      </c>
      <c r="H70" s="42">
        <f>17.05515875453*Deflactores!$X$5</f>
        <v>19.994922130275597</v>
      </c>
      <c r="I70" s="42">
        <f>45.60857075062*Deflactores!$Y$5</f>
        <v>50.827023063528884</v>
      </c>
      <c r="J70" s="42">
        <f>46.26856419762*Deflactores!$Z$5</f>
        <v>49.059972744615926</v>
      </c>
      <c r="K70" s="42">
        <f>43.07370697982*Deflactores!$AA$5</f>
        <v>43.073706979820003</v>
      </c>
    </row>
    <row r="71" spans="3:11" x14ac:dyDescent="0.2">
      <c r="C71" s="88" t="s">
        <v>138</v>
      </c>
      <c r="D71" s="50">
        <f>0*Deflactores!$T$5</f>
        <v>0</v>
      </c>
      <c r="E71" s="50">
        <f>0*Deflactores!$U$5</f>
        <v>0</v>
      </c>
      <c r="F71" s="50">
        <f>0*Deflactores!$V$5</f>
        <v>0</v>
      </c>
      <c r="G71" s="50">
        <f>0*Deflactores!$W$5</f>
        <v>0</v>
      </c>
      <c r="H71" s="50">
        <f>0*Deflactores!$X$5</f>
        <v>0</v>
      </c>
      <c r="I71" s="50">
        <f>0*Deflactores!$Y$5</f>
        <v>0</v>
      </c>
      <c r="J71" s="50">
        <f>0*Deflactores!$Z$5</f>
        <v>0</v>
      </c>
      <c r="K71" s="50">
        <f>0*Deflactores!$AA$5</f>
        <v>0</v>
      </c>
    </row>
    <row r="72" spans="3:11" x14ac:dyDescent="0.2">
      <c r="C72" s="87" t="s">
        <v>160</v>
      </c>
      <c r="D72" s="42">
        <f>105.34285262394*Deflactores!$T$5</f>
        <v>163.84444543419599</v>
      </c>
      <c r="E72" s="42">
        <f>114.65188405367*Deflactores!$U$5</f>
        <v>175.49768521502668</v>
      </c>
      <c r="F72" s="42">
        <f>130.98816436786*Deflactores!$V$5</f>
        <v>189.83491392559318</v>
      </c>
      <c r="G72" s="42">
        <f>162.83769024*Deflactores!$W$5</f>
        <v>208.62174355071031</v>
      </c>
      <c r="H72" s="42">
        <f>161.1216549083*Deflactores!$X$5</f>
        <v>188.89387016329624</v>
      </c>
      <c r="I72" s="42">
        <f>203.592628587*Deflactores!$Y$5</f>
        <v>226.88733846401556</v>
      </c>
      <c r="J72" s="42">
        <f>206.78910705747*Deflactores!$Z$5</f>
        <v>219.26481039679189</v>
      </c>
      <c r="K72" s="42">
        <f>202.02463735467*Deflactores!$AA$5</f>
        <v>202.02463735467001</v>
      </c>
    </row>
    <row r="73" spans="3:11" x14ac:dyDescent="0.2">
      <c r="C73" s="88" t="s">
        <v>161</v>
      </c>
      <c r="D73" s="50">
        <f>416.45202139396*Deflactores!$T$5</f>
        <v>647.72643606707049</v>
      </c>
      <c r="E73" s="50">
        <f>442.07470402892*Deflactores!$U$5</f>
        <v>676.68392795774605</v>
      </c>
      <c r="F73" s="50">
        <f>457.424314834819*Deflactores!$V$5</f>
        <v>662.92329427778168</v>
      </c>
      <c r="G73" s="50">
        <f>554.22042981805*Deflactores!$W$5</f>
        <v>710.04711630123438</v>
      </c>
      <c r="H73" s="50">
        <f>783.071035170869*Deflactores!$X$5</f>
        <v>918.04741287190143</v>
      </c>
      <c r="I73" s="50">
        <f>696.02965615171*Deflactores!$Y$5</f>
        <v>775.66814315579336</v>
      </c>
      <c r="J73" s="50">
        <f>739.48603516233*Deflactores!$Z$5</f>
        <v>784.0996443099948</v>
      </c>
      <c r="K73" s="50">
        <f>376.69886626993*Deflactores!$AA$5</f>
        <v>376.69886626993002</v>
      </c>
    </row>
    <row r="74" spans="3:11" x14ac:dyDescent="0.2">
      <c r="C74" s="87" t="s">
        <v>140</v>
      </c>
      <c r="D74" s="42">
        <f>751.70519225326*Deflactores!$T$5</f>
        <v>1169.1606719101828</v>
      </c>
      <c r="E74" s="42">
        <f>1076.52966178362*Deflactores!$U$5</f>
        <v>1647.8443879727354</v>
      </c>
      <c r="F74" s="42">
        <f>1356.58742706484*Deflactores!$V$5</f>
        <v>1966.0376087580648</v>
      </c>
      <c r="G74" s="42">
        <f>1007.20879222426*Deflactores!$W$5</f>
        <v>1290.39937893822</v>
      </c>
      <c r="H74" s="42">
        <f>1709.28872815034*Deflactores!$X$5</f>
        <v>2003.9153847480968</v>
      </c>
      <c r="I74" s="42">
        <f>4680.83584098342*Deflactores!$Y$5</f>
        <v>5216.4088312945596</v>
      </c>
      <c r="J74" s="42">
        <f>3902.11758516703*Deflactores!$Z$5</f>
        <v>4137.5345376381556</v>
      </c>
      <c r="K74" s="42">
        <f>1906.02638452757*Deflactores!$AA$5</f>
        <v>1906.0263845275699</v>
      </c>
    </row>
    <row r="75" spans="3:11" x14ac:dyDescent="0.2">
      <c r="C75" s="88" t="s">
        <v>141</v>
      </c>
      <c r="D75" s="50">
        <f>17.3557480164*Deflactores!$T$5</f>
        <v>26.994170349592988</v>
      </c>
      <c r="E75" s="50">
        <f>15.01673610455*Deflactores!$U$5</f>
        <v>22.986124018684041</v>
      </c>
      <c r="F75" s="50">
        <f>15.0011632230599*Deflactores!$V$5</f>
        <v>21.740472072239289</v>
      </c>
      <c r="G75" s="50">
        <f>16.50460117378*Deflactores!$W$5</f>
        <v>21.145096497059498</v>
      </c>
      <c r="H75" s="50">
        <f>25.5308261296699*Deflactores!$X$5</f>
        <v>29.93152322600136</v>
      </c>
      <c r="I75" s="50">
        <f>17.309933012*Deflactores!$Y$5</f>
        <v>19.290505050897782</v>
      </c>
      <c r="J75" s="50">
        <f>17.4729732990599*Deflactores!$Z$5</f>
        <v>18.527127622935293</v>
      </c>
      <c r="K75" s="50">
        <f>6.348155179*Deflactores!$AA$5</f>
        <v>6.3481551789999999</v>
      </c>
    </row>
    <row r="76" spans="3:11" x14ac:dyDescent="0.2">
      <c r="C76" s="87" t="s">
        <v>142</v>
      </c>
      <c r="D76" s="42">
        <f>134.65217050812*Deflactores!$T$5</f>
        <v>209.43053708799943</v>
      </c>
      <c r="E76" s="42">
        <f>306.77641807752*Deflactores!$U$5</f>
        <v>469.58278702127143</v>
      </c>
      <c r="F76" s="42">
        <f>296.14602133777*Deflactores!$V$5</f>
        <v>429.19033747339557</v>
      </c>
      <c r="G76" s="42">
        <f>205.53007196422*Deflactores!$W$5</f>
        <v>263.3176748090832</v>
      </c>
      <c r="H76" s="42">
        <f>296.13657339312*Deflactores!$X$5</f>
        <v>347.18103830897189</v>
      </c>
      <c r="I76" s="42">
        <f>260.43505163991*Deflactores!$Y$5</f>
        <v>290.23357141865921</v>
      </c>
      <c r="J76" s="42">
        <f>227.29341067056*Deflactores!$Z$5</f>
        <v>241.00615019953574</v>
      </c>
      <c r="K76" s="42">
        <f>144.76051520301*Deflactores!$AA$5</f>
        <v>144.76051520300999</v>
      </c>
    </row>
    <row r="77" spans="3:11" x14ac:dyDescent="0.2">
      <c r="C77" s="88" t="s">
        <v>143</v>
      </c>
      <c r="D77" s="50">
        <f>39.56563614643*Deflactores!$T$5</f>
        <v>61.538201702255577</v>
      </c>
      <c r="E77" s="50">
        <f>12.6386797227*Deflactores!$U$5</f>
        <v>19.346032154775962</v>
      </c>
      <c r="F77" s="50">
        <f>84.47601866599*Deflactores!$V$5</f>
        <v>122.42707430572879</v>
      </c>
      <c r="G77" s="50">
        <f>76.30782267257*Deflactores!$W$5</f>
        <v>97.76281516304303</v>
      </c>
      <c r="H77" s="50">
        <f>9.256403069*Deflactores!$X$5</f>
        <v>10.851910629207122</v>
      </c>
      <c r="I77" s="50">
        <f>9.98104586236*Deflactores!$Y$5</f>
        <v>11.123059545500338</v>
      </c>
      <c r="J77" s="50">
        <f>4.97713718202*Deflactores!$Z$5</f>
        <v>5.27741067246422</v>
      </c>
      <c r="K77" s="50">
        <f>5.03985092008*Deflactores!$AA$5</f>
        <v>5.0398509200800001</v>
      </c>
    </row>
    <row r="78" spans="3:11" x14ac:dyDescent="0.2">
      <c r="C78" s="87" t="s">
        <v>144</v>
      </c>
      <c r="D78" s="42">
        <f>0*Deflactores!$T$5</f>
        <v>0</v>
      </c>
      <c r="E78" s="42">
        <f>0*Deflactores!$U$5</f>
        <v>0</v>
      </c>
      <c r="F78" s="42">
        <f>0*Deflactores!$V$5</f>
        <v>0</v>
      </c>
      <c r="G78" s="42">
        <f>0*Deflactores!$W$5</f>
        <v>0</v>
      </c>
      <c r="H78" s="42">
        <f>0*Deflactores!$X$5</f>
        <v>0</v>
      </c>
      <c r="I78" s="42">
        <f>0*Deflactores!$Y$5</f>
        <v>0</v>
      </c>
      <c r="J78" s="42">
        <f>0*Deflactores!$Z$5</f>
        <v>0</v>
      </c>
      <c r="K78" s="42">
        <f>0*Deflactores!$AA$5</f>
        <v>0</v>
      </c>
    </row>
    <row r="79" spans="3:11" x14ac:dyDescent="0.2">
      <c r="C79" s="88" t="s">
        <v>145</v>
      </c>
      <c r="D79" s="50">
        <f>91.84518733699*Deflactores!$T$5</f>
        <v>142.85092353393432</v>
      </c>
      <c r="E79" s="50">
        <f>74.70980765997*Deflactores!$U$5</f>
        <v>114.35833275140068</v>
      </c>
      <c r="F79" s="50">
        <f>98.19620508167*Deflactores!$V$5</f>
        <v>142.31108764260688</v>
      </c>
      <c r="G79" s="50">
        <f>118.22444814541*Deflactores!$W$5</f>
        <v>151.46487564435728</v>
      </c>
      <c r="H79" s="50">
        <f>143.98992076911*Deflactores!$X$5</f>
        <v>168.80917350348329</v>
      </c>
      <c r="I79" s="50">
        <f>161.43573696125*Deflactores!$Y$5</f>
        <v>179.90692956971677</v>
      </c>
      <c r="J79" s="50">
        <f>237.57854548888*Deflactores!$Z$5</f>
        <v>251.91179299636659</v>
      </c>
      <c r="K79" s="50">
        <f>147.91567960442*Deflactores!$AA$5</f>
        <v>147.91567960442001</v>
      </c>
    </row>
    <row r="80" spans="3:11" x14ac:dyDescent="0.2">
      <c r="C80" s="87" t="s">
        <v>146</v>
      </c>
      <c r="D80" s="42">
        <f>217.78133506764*Deflactores!$T$5</f>
        <v>338.72504096179387</v>
      </c>
      <c r="E80" s="42">
        <f>170.57588764258*Deflactores!$U$5</f>
        <v>261.10058008953428</v>
      </c>
      <c r="F80" s="42">
        <f>219.05635709501*Deflactores!$V$5</f>
        <v>317.46795517495354</v>
      </c>
      <c r="G80" s="42">
        <f>193.64703343684*Deflactores!$W$5</f>
        <v>248.09355677714296</v>
      </c>
      <c r="H80" s="42">
        <f>225.03187703727*Deflactores!$X$5</f>
        <v>263.82016860410994</v>
      </c>
      <c r="I80" s="42">
        <f>406.88087774329*Deflactores!$Y$5</f>
        <v>453.43547093910956</v>
      </c>
      <c r="J80" s="42">
        <f>569.46690938242*Deflactores!$Z$5</f>
        <v>603.82316887843456</v>
      </c>
      <c r="K80" s="42">
        <f>465.614368905808*Deflactores!$AA$5</f>
        <v>465.61436890580802</v>
      </c>
    </row>
    <row r="81" spans="1:11" x14ac:dyDescent="0.2">
      <c r="C81" s="88" t="s">
        <v>162</v>
      </c>
      <c r="D81" s="50">
        <f>565.99376968855*Deflactores!$T$5</f>
        <v>880.31539875687554</v>
      </c>
      <c r="E81" s="50">
        <f>492.58247737255*Deflactores!$U$5</f>
        <v>753.99619700884114</v>
      </c>
      <c r="F81" s="50">
        <f>501.791754048479*Deflactores!$V$5</f>
        <v>727.2229128339352</v>
      </c>
      <c r="G81" s="50">
        <f>587.30476349706*Deflactores!$W$5</f>
        <v>752.43356483262664</v>
      </c>
      <c r="H81" s="50">
        <f>700.190015494569*Deflactores!$X$5</f>
        <v>820.88035870623492</v>
      </c>
      <c r="I81" s="50">
        <f>750.266754268569*Deflactores!$Y$5</f>
        <v>836.11095448521871</v>
      </c>
      <c r="J81" s="50">
        <f>817.54907319147*Deflactores!$Z$5</f>
        <v>866.87226940624805</v>
      </c>
      <c r="K81" s="50">
        <f>478.49017516336*Deflactores!$AA$5</f>
        <v>478.49017516335999</v>
      </c>
    </row>
    <row r="82" spans="1:11" x14ac:dyDescent="0.2">
      <c r="C82" s="87" t="s">
        <v>148</v>
      </c>
      <c r="D82" s="42">
        <f>0*Deflactores!$T$5</f>
        <v>0</v>
      </c>
      <c r="E82" s="42">
        <f>0*Deflactores!$U$5</f>
        <v>0</v>
      </c>
      <c r="F82" s="42">
        <f>0*Deflactores!$V$5</f>
        <v>0</v>
      </c>
      <c r="G82" s="42">
        <f>0*Deflactores!$W$5</f>
        <v>0</v>
      </c>
      <c r="H82" s="42">
        <f>0*Deflactores!$X$5</f>
        <v>0</v>
      </c>
      <c r="I82" s="42">
        <f>0*Deflactores!$Y$5</f>
        <v>0</v>
      </c>
      <c r="J82" s="42">
        <f>0*Deflactores!$Z$5</f>
        <v>0</v>
      </c>
      <c r="K82" s="42">
        <f>0*Deflactores!$AA$5</f>
        <v>0</v>
      </c>
    </row>
    <row r="83" spans="1:11" x14ac:dyDescent="0.2">
      <c r="C83" s="88" t="s">
        <v>149</v>
      </c>
      <c r="D83" s="50">
        <f>1454.20316765824*Deflactores!$T$5</f>
        <v>2261.7871608639948</v>
      </c>
      <c r="E83" s="50">
        <f>1521.57167098143*Deflactores!$U$5</f>
        <v>2329.0703711506385</v>
      </c>
      <c r="F83" s="50">
        <f>2053.15504425257*Deflactores!$V$5</f>
        <v>2975.5399121939136</v>
      </c>
      <c r="G83" s="50">
        <f>2076.24613014967*Deflactores!$W$5</f>
        <v>2660.0112484636479</v>
      </c>
      <c r="H83" s="50">
        <f>2356.19215933144*Deflactores!$X$5</f>
        <v>2762.324257889697</v>
      </c>
      <c r="I83" s="50">
        <f>2930.10466142832*Deflactores!$Y$5</f>
        <v>3265.3620745821372</v>
      </c>
      <c r="J83" s="50">
        <f>2008.33191736332*Deflactores!$Z$5</f>
        <v>2129.4957134860674</v>
      </c>
      <c r="K83" s="50">
        <f>1599.08964518973*Deflactores!$AA$5</f>
        <v>1599.0896451897299</v>
      </c>
    </row>
    <row r="84" spans="1:11" x14ac:dyDescent="0.2">
      <c r="C84" s="87" t="s">
        <v>163</v>
      </c>
      <c r="D84" s="42">
        <f>1622.29730847848*Deflactores!$T$5</f>
        <v>2523.2314885750416</v>
      </c>
      <c r="E84" s="42">
        <f>1569.31744521449*Deflactores!$U$5</f>
        <v>2402.1548470479452</v>
      </c>
      <c r="F84" s="42">
        <f>1628.30967645341*Deflactores!$V$5</f>
        <v>2359.8317356799953</v>
      </c>
      <c r="G84" s="42">
        <f>1691.44057163466*Deflactores!$W$5</f>
        <v>2167.0123215746303</v>
      </c>
      <c r="H84" s="42">
        <f>2240.95554587326*Deflactores!$X$5</f>
        <v>2627.2245413865608</v>
      </c>
      <c r="I84" s="42">
        <f>2219.81945541802*Deflactores!$Y$5</f>
        <v>2473.8072866681109</v>
      </c>
      <c r="J84" s="42">
        <f>2963.16374322216*Deflactores!$Z$5</f>
        <v>3141.9330813769034</v>
      </c>
      <c r="K84" s="42">
        <f>1218.12643489915*Deflactores!$AA$5</f>
        <v>1218.1264348991499</v>
      </c>
    </row>
    <row r="85" spans="1:11" x14ac:dyDescent="0.2">
      <c r="C85" s="88" t="s">
        <v>150</v>
      </c>
      <c r="D85" s="50">
        <f>2828.48818552141*Deflactores!$T$5</f>
        <v>4399.2740525863837</v>
      </c>
      <c r="E85" s="50">
        <f>2780.81734594343*Deflactores!$U$5</f>
        <v>4256.5982342724901</v>
      </c>
      <c r="F85" s="50">
        <f>3069.22629308236*Deflactores!$V$5</f>
        <v>4448.0836263128722</v>
      </c>
      <c r="G85" s="50">
        <f>3087.29014013735*Deflactores!$W$5</f>
        <v>3955.3241693191112</v>
      </c>
      <c r="H85" s="50">
        <f>2646.51009242193*Deflactores!$X$5</f>
        <v>3102.6837085822963</v>
      </c>
      <c r="I85" s="50">
        <f>3699.2129170455*Deflactores!$Y$5</f>
        <v>4122.4703418056497</v>
      </c>
      <c r="J85" s="50">
        <f>4541.25018484412*Deflactores!$Z$5</f>
        <v>4815.2263671582614</v>
      </c>
      <c r="K85" s="50">
        <f>2520.58948057787*Deflactores!$AA$5</f>
        <v>2520.5894805778698</v>
      </c>
    </row>
    <row r="86" spans="1:11" x14ac:dyDescent="0.2">
      <c r="C86" s="87" t="s">
        <v>151</v>
      </c>
      <c r="D86" s="42">
        <f>0*Deflactores!$T$5</f>
        <v>0</v>
      </c>
      <c r="E86" s="42">
        <f>0*Deflactores!$U$5</f>
        <v>0</v>
      </c>
      <c r="F86" s="42">
        <f>0*Deflactores!$V$5</f>
        <v>0</v>
      </c>
      <c r="G86" s="42">
        <f>0*Deflactores!$W$5</f>
        <v>0</v>
      </c>
      <c r="H86" s="42">
        <f>0*Deflactores!$X$5</f>
        <v>0</v>
      </c>
      <c r="I86" s="42">
        <f>0*Deflactores!$Y$5</f>
        <v>0</v>
      </c>
      <c r="J86" s="42">
        <f>0*Deflactores!$Z$5</f>
        <v>0</v>
      </c>
      <c r="K86" s="42">
        <f>0*Deflactores!$AA$5</f>
        <v>0</v>
      </c>
    </row>
    <row r="87" spans="1:11" x14ac:dyDescent="0.2">
      <c r="C87" s="79" t="s">
        <v>154</v>
      </c>
      <c r="D87" s="44">
        <f t="shared" ref="D87:K87" si="1">SUM(D56:D86)</f>
        <v>21937.709451365343</v>
      </c>
      <c r="E87" s="44">
        <f t="shared" si="1"/>
        <v>21587.691148368158</v>
      </c>
      <c r="F87" s="44">
        <f t="shared" si="1"/>
        <v>22834.736933235279</v>
      </c>
      <c r="G87" s="44">
        <f t="shared" si="1"/>
        <v>21619.231655474039</v>
      </c>
      <c r="H87" s="44">
        <f t="shared" si="1"/>
        <v>22290.703402647356</v>
      </c>
      <c r="I87" s="44">
        <f t="shared" si="1"/>
        <v>27606.610140019893</v>
      </c>
      <c r="J87" s="44">
        <f t="shared" si="1"/>
        <v>26787.877447034669</v>
      </c>
      <c r="K87" s="44">
        <f t="shared" si="1"/>
        <v>14770.463009930198</v>
      </c>
    </row>
    <row r="88" spans="1:11" s="31" customFormat="1" x14ac:dyDescent="0.2">
      <c r="A88" s="5"/>
      <c r="B88" s="5"/>
      <c r="C88" s="72" t="str">
        <f>+'C1 Aprop Resumen 2000-2026'!B20</f>
        <v>* Información con corte a 30 de Junio</v>
      </c>
      <c r="D88" s="121">
        <f>+D87-'C7 Ejec. Prop 19-26'!D66</f>
        <v>0</v>
      </c>
      <c r="E88" s="121">
        <f>+E87-'C7 Ejec. Prop 19-26'!E66</f>
        <v>-3.2741809263825417E-11</v>
      </c>
      <c r="F88" s="121">
        <f>+F87-'C7 Ejec. Prop 19-26'!F66</f>
        <v>0</v>
      </c>
      <c r="G88" s="121">
        <f>+G87-'C7 Ejec. Prop 19-26'!G66</f>
        <v>0</v>
      </c>
      <c r="H88" s="121">
        <f>+H87-'C7 Ejec. Prop 19-26'!H66</f>
        <v>0</v>
      </c>
      <c r="I88" s="121">
        <f>+I87-'C7 Ejec. Prop 19-26'!I66</f>
        <v>3.2741809263825417E-11</v>
      </c>
      <c r="J88" s="121">
        <f>+J87-'C7 Ejec. Prop 19-26'!J66</f>
        <v>7.2759576141834259E-11</v>
      </c>
      <c r="K88" s="121">
        <f>+K87-'C7 Ejec. Prop 19-26'!K66</f>
        <v>0</v>
      </c>
    </row>
    <row r="89" spans="1:11" x14ac:dyDescent="0.2">
      <c r="C89" s="1" t="s">
        <v>52</v>
      </c>
      <c r="D89" s="11"/>
      <c r="E89" s="11"/>
      <c r="F89" s="11"/>
      <c r="G89" s="11"/>
      <c r="H89" s="11"/>
    </row>
    <row r="90" spans="1:11" x14ac:dyDescent="0.2">
      <c r="D90" s="11"/>
      <c r="E90" s="11"/>
      <c r="F90" s="11"/>
      <c r="G90" s="11"/>
      <c r="H90" s="11"/>
      <c r="I90" s="11"/>
    </row>
    <row r="91" spans="1:11" x14ac:dyDescent="0.2">
      <c r="D91" s="11"/>
      <c r="E91" s="11"/>
      <c r="F91" s="11"/>
      <c r="G91" s="11"/>
      <c r="H91" s="11"/>
    </row>
    <row r="92" spans="1:11" x14ac:dyDescent="0.2">
      <c r="D92" s="11"/>
      <c r="E92" s="11"/>
      <c r="F92" s="11"/>
      <c r="G92" s="11"/>
      <c r="H92" s="11"/>
    </row>
    <row r="93" spans="1:11" ht="18" customHeight="1" x14ac:dyDescent="0.2">
      <c r="D93" s="164" t="s">
        <v>155</v>
      </c>
      <c r="E93" s="182"/>
      <c r="F93" s="182"/>
      <c r="G93" s="182"/>
      <c r="H93" s="182"/>
      <c r="I93" s="182"/>
      <c r="J93" s="182"/>
      <c r="K93" s="182"/>
    </row>
    <row r="94" spans="1:11" x14ac:dyDescent="0.2">
      <c r="D94" s="29"/>
      <c r="E94" s="29"/>
      <c r="F94" s="29"/>
      <c r="G94" s="29"/>
      <c r="H94" s="29"/>
    </row>
    <row r="95" spans="1:11" x14ac:dyDescent="0.2">
      <c r="C95" s="181" t="s">
        <v>120</v>
      </c>
      <c r="D95" s="155">
        <v>2019</v>
      </c>
      <c r="E95" s="155">
        <v>2020</v>
      </c>
      <c r="F95" s="155">
        <v>2021</v>
      </c>
      <c r="G95" s="155">
        <v>2022</v>
      </c>
      <c r="H95" s="155">
        <v>2023</v>
      </c>
      <c r="I95" s="155">
        <v>2024</v>
      </c>
      <c r="J95" s="155">
        <v>2025</v>
      </c>
      <c r="K95" s="155" t="s">
        <v>36</v>
      </c>
    </row>
    <row r="96" spans="1:11" ht="12" customHeight="1" thickBot="1" x14ac:dyDescent="0.25">
      <c r="C96" s="162"/>
      <c r="D96" s="156"/>
      <c r="E96" s="156"/>
      <c r="F96" s="156"/>
      <c r="G96" s="156"/>
      <c r="H96" s="156"/>
      <c r="I96" s="156"/>
      <c r="J96" s="156"/>
      <c r="K96" s="156"/>
    </row>
    <row r="97" spans="3:11" x14ac:dyDescent="0.2">
      <c r="C97" s="87" t="s">
        <v>123</v>
      </c>
      <c r="D97" s="47">
        <f t="shared" ref="D97:I106" si="2">+IFERROR(IF(D56&gt;0,+((D56/D14)*100)," "),"0")</f>
        <v>87.643298344338561</v>
      </c>
      <c r="E97" s="47">
        <f t="shared" si="2"/>
        <v>89.970105722577614</v>
      </c>
      <c r="F97" s="47">
        <f t="shared" si="2"/>
        <v>95.34650802614614</v>
      </c>
      <c r="G97" s="47">
        <f t="shared" si="2"/>
        <v>89.485704123848919</v>
      </c>
      <c r="H97" s="47">
        <f t="shared" si="2"/>
        <v>87.485623041308344</v>
      </c>
      <c r="I97" s="47">
        <f t="shared" si="2"/>
        <v>94.927668138715021</v>
      </c>
      <c r="J97" s="47">
        <f t="shared" ref="J97:K128" si="3">+IFERROR(IF(J56&gt;0,+((J56/J14)*100)," "),"")</f>
        <v>92.612943793376189</v>
      </c>
      <c r="K97" s="47">
        <f t="shared" si="3"/>
        <v>49.687190794618289</v>
      </c>
    </row>
    <row r="98" spans="3:11" x14ac:dyDescent="0.2">
      <c r="C98" s="88" t="s">
        <v>124</v>
      </c>
      <c r="D98" s="116">
        <f t="shared" si="2"/>
        <v>96.276199696472943</v>
      </c>
      <c r="E98" s="116">
        <f t="shared" si="2"/>
        <v>96.157790979184369</v>
      </c>
      <c r="F98" s="116">
        <f t="shared" si="2"/>
        <v>89.57169314361056</v>
      </c>
      <c r="G98" s="116">
        <f t="shared" si="2"/>
        <v>89.547708942619579</v>
      </c>
      <c r="H98" s="116">
        <f t="shared" si="2"/>
        <v>88.702494349879885</v>
      </c>
      <c r="I98" s="116">
        <f t="shared" si="2"/>
        <v>88.34769364421588</v>
      </c>
      <c r="J98" s="116">
        <f t="shared" si="3"/>
        <v>96.080904930505639</v>
      </c>
      <c r="K98" s="116">
        <f t="shared" si="3"/>
        <v>80.634481665453151</v>
      </c>
    </row>
    <row r="99" spans="3:11" x14ac:dyDescent="0.2">
      <c r="C99" s="87" t="s">
        <v>125</v>
      </c>
      <c r="D99" s="47" t="str">
        <f t="shared" si="2"/>
        <v xml:space="preserve"> </v>
      </c>
      <c r="E99" s="47" t="str">
        <f t="shared" si="2"/>
        <v xml:space="preserve"> </v>
      </c>
      <c r="F99" s="47" t="str">
        <f t="shared" si="2"/>
        <v xml:space="preserve"> </v>
      </c>
      <c r="G99" s="47" t="str">
        <f t="shared" si="2"/>
        <v xml:space="preserve"> </v>
      </c>
      <c r="H99" s="47" t="str">
        <f t="shared" si="2"/>
        <v xml:space="preserve"> </v>
      </c>
      <c r="I99" s="47" t="str">
        <f t="shared" si="2"/>
        <v xml:space="preserve"> </v>
      </c>
      <c r="J99" s="47" t="str">
        <f t="shared" si="3"/>
        <v xml:space="preserve"> </v>
      </c>
      <c r="K99" s="47" t="str">
        <f t="shared" si="3"/>
        <v xml:space="preserve"> </v>
      </c>
    </row>
    <row r="100" spans="3:11" x14ac:dyDescent="0.2">
      <c r="C100" s="88" t="s">
        <v>126</v>
      </c>
      <c r="D100" s="116">
        <f t="shared" si="2"/>
        <v>95.702432119752629</v>
      </c>
      <c r="E100" s="116">
        <f t="shared" si="2"/>
        <v>92.277144598712411</v>
      </c>
      <c r="F100" s="116">
        <f t="shared" si="2"/>
        <v>88.056906553593478</v>
      </c>
      <c r="G100" s="116">
        <f t="shared" si="2"/>
        <v>92.503195520807907</v>
      </c>
      <c r="H100" s="116">
        <f t="shared" si="2"/>
        <v>90.800892147716112</v>
      </c>
      <c r="I100" s="116">
        <f t="shared" si="2"/>
        <v>89.878039718602324</v>
      </c>
      <c r="J100" s="116">
        <f t="shared" si="3"/>
        <v>89.859487409393324</v>
      </c>
      <c r="K100" s="116">
        <f t="shared" si="3"/>
        <v>49.277780522420677</v>
      </c>
    </row>
    <row r="101" spans="3:11" x14ac:dyDescent="0.2">
      <c r="C101" s="87" t="s">
        <v>127</v>
      </c>
      <c r="D101" s="47" t="str">
        <f t="shared" si="2"/>
        <v xml:space="preserve"> </v>
      </c>
      <c r="E101" s="47" t="str">
        <f t="shared" si="2"/>
        <v xml:space="preserve"> </v>
      </c>
      <c r="F101" s="47" t="str">
        <f t="shared" si="2"/>
        <v xml:space="preserve"> </v>
      </c>
      <c r="G101" s="47" t="str">
        <f t="shared" si="2"/>
        <v xml:space="preserve"> </v>
      </c>
      <c r="H101" s="47" t="str">
        <f t="shared" si="2"/>
        <v xml:space="preserve"> </v>
      </c>
      <c r="I101" s="47" t="str">
        <f t="shared" si="2"/>
        <v xml:space="preserve"> </v>
      </c>
      <c r="J101" s="47" t="str">
        <f t="shared" si="3"/>
        <v xml:space="preserve"> </v>
      </c>
      <c r="K101" s="47" t="str">
        <f t="shared" si="3"/>
        <v xml:space="preserve"> </v>
      </c>
    </row>
    <row r="102" spans="3:11" x14ac:dyDescent="0.2">
      <c r="C102" s="88" t="s">
        <v>128</v>
      </c>
      <c r="D102" s="116">
        <f t="shared" si="2"/>
        <v>95.975098217118344</v>
      </c>
      <c r="E102" s="116">
        <f t="shared" si="2"/>
        <v>97.345157347036121</v>
      </c>
      <c r="F102" s="116">
        <f t="shared" si="2"/>
        <v>68.802355431766344</v>
      </c>
      <c r="G102" s="116">
        <f t="shared" si="2"/>
        <v>95.883190175169148</v>
      </c>
      <c r="H102" s="116">
        <f t="shared" si="2"/>
        <v>84.364029928868632</v>
      </c>
      <c r="I102" s="116">
        <f t="shared" si="2"/>
        <v>63.844573083479297</v>
      </c>
      <c r="J102" s="116">
        <f t="shared" si="3"/>
        <v>95.571637891183101</v>
      </c>
      <c r="K102" s="116">
        <f t="shared" si="3"/>
        <v>61.188810691582127</v>
      </c>
    </row>
    <row r="103" spans="3:11" x14ac:dyDescent="0.2">
      <c r="C103" s="87" t="s">
        <v>129</v>
      </c>
      <c r="D103" s="47">
        <f t="shared" si="2"/>
        <v>93.810286779939005</v>
      </c>
      <c r="E103" s="47">
        <f t="shared" si="2"/>
        <v>97.938683044510597</v>
      </c>
      <c r="F103" s="47">
        <f t="shared" si="2"/>
        <v>77.600750918172821</v>
      </c>
      <c r="G103" s="47">
        <f t="shared" si="2"/>
        <v>93.429980961898323</v>
      </c>
      <c r="H103" s="47">
        <f t="shared" si="2"/>
        <v>89.133701158437432</v>
      </c>
      <c r="I103" s="47">
        <f t="shared" si="2"/>
        <v>89.91369221519183</v>
      </c>
      <c r="J103" s="47">
        <f t="shared" si="3"/>
        <v>97.60503883734323</v>
      </c>
      <c r="K103" s="47">
        <f t="shared" si="3"/>
        <v>48.479456046298054</v>
      </c>
    </row>
    <row r="104" spans="3:11" x14ac:dyDescent="0.2">
      <c r="C104" s="88" t="s">
        <v>130</v>
      </c>
      <c r="D104" s="116" t="str">
        <f t="shared" si="2"/>
        <v xml:space="preserve"> </v>
      </c>
      <c r="E104" s="116" t="str">
        <f t="shared" si="2"/>
        <v xml:space="preserve"> </v>
      </c>
      <c r="F104" s="116" t="str">
        <f t="shared" si="2"/>
        <v xml:space="preserve"> </v>
      </c>
      <c r="G104" s="116" t="str">
        <f t="shared" si="2"/>
        <v xml:space="preserve"> </v>
      </c>
      <c r="H104" s="116" t="str">
        <f t="shared" si="2"/>
        <v xml:space="preserve"> </v>
      </c>
      <c r="I104" s="116" t="str">
        <f t="shared" si="2"/>
        <v xml:space="preserve"> </v>
      </c>
      <c r="J104" s="116" t="str">
        <f t="shared" si="3"/>
        <v xml:space="preserve"> </v>
      </c>
      <c r="K104" s="116" t="str">
        <f t="shared" si="3"/>
        <v xml:space="preserve"> </v>
      </c>
    </row>
    <row r="105" spans="3:11" x14ac:dyDescent="0.2">
      <c r="C105" s="87" t="s">
        <v>131</v>
      </c>
      <c r="D105" s="47">
        <f t="shared" si="2"/>
        <v>90.646256361790051</v>
      </c>
      <c r="E105" s="47">
        <f t="shared" si="2"/>
        <v>81.768224021664366</v>
      </c>
      <c r="F105" s="47">
        <f t="shared" si="2"/>
        <v>82.701821713619211</v>
      </c>
      <c r="G105" s="47">
        <f t="shared" si="2"/>
        <v>89.832025363674646</v>
      </c>
      <c r="H105" s="47">
        <f t="shared" si="2"/>
        <v>89.298697093881046</v>
      </c>
      <c r="I105" s="47">
        <f t="shared" si="2"/>
        <v>93.41786518852237</v>
      </c>
      <c r="J105" s="47">
        <f t="shared" si="3"/>
        <v>93.951383702914697</v>
      </c>
      <c r="K105" s="47">
        <f t="shared" si="3"/>
        <v>49.319613808686377</v>
      </c>
    </row>
    <row r="106" spans="3:11" x14ac:dyDescent="0.2">
      <c r="C106" s="88" t="s">
        <v>132</v>
      </c>
      <c r="D106" s="116">
        <f t="shared" si="2"/>
        <v>92.393800145553357</v>
      </c>
      <c r="E106" s="116">
        <f t="shared" si="2"/>
        <v>73.224543505727382</v>
      </c>
      <c r="F106" s="116">
        <f t="shared" si="2"/>
        <v>58.083442360069171</v>
      </c>
      <c r="G106" s="116">
        <f t="shared" si="2"/>
        <v>69.827567137514635</v>
      </c>
      <c r="H106" s="116">
        <f t="shared" si="2"/>
        <v>78.66192313479489</v>
      </c>
      <c r="I106" s="116">
        <f t="shared" si="2"/>
        <v>86.991392880846846</v>
      </c>
      <c r="J106" s="116">
        <f t="shared" si="3"/>
        <v>88.811702306880164</v>
      </c>
      <c r="K106" s="116">
        <f t="shared" si="3"/>
        <v>49.920702844290687</v>
      </c>
    </row>
    <row r="107" spans="3:11" x14ac:dyDescent="0.2">
      <c r="C107" s="87" t="s">
        <v>133</v>
      </c>
      <c r="D107" s="47">
        <f t="shared" ref="D107:I116" si="4">+IFERROR(IF(D66&gt;0,+((D66/D24)*100)," "),"0")</f>
        <v>99.491195239687428</v>
      </c>
      <c r="E107" s="47">
        <f t="shared" si="4"/>
        <v>96.856696002242046</v>
      </c>
      <c r="F107" s="47">
        <f t="shared" si="4"/>
        <v>90.61097546732546</v>
      </c>
      <c r="G107" s="47">
        <f t="shared" si="4"/>
        <v>93.142256421851897</v>
      </c>
      <c r="H107" s="47">
        <f t="shared" si="4"/>
        <v>84.394774120240143</v>
      </c>
      <c r="I107" s="47">
        <f t="shared" si="4"/>
        <v>88.827413938693084</v>
      </c>
      <c r="J107" s="47">
        <f t="shared" si="3"/>
        <v>99.211640260658712</v>
      </c>
      <c r="K107" s="47">
        <f t="shared" si="3"/>
        <v>39.449091171541212</v>
      </c>
    </row>
    <row r="108" spans="3:11" x14ac:dyDescent="0.2">
      <c r="C108" s="88" t="s">
        <v>134</v>
      </c>
      <c r="D108" s="116">
        <f t="shared" si="4"/>
        <v>90.521635535748516</v>
      </c>
      <c r="E108" s="116">
        <f t="shared" si="4"/>
        <v>85.772983475062247</v>
      </c>
      <c r="F108" s="116">
        <f t="shared" si="4"/>
        <v>79.306129553242968</v>
      </c>
      <c r="G108" s="116">
        <f t="shared" si="4"/>
        <v>89.621754698345413</v>
      </c>
      <c r="H108" s="116">
        <f t="shared" si="4"/>
        <v>86.200463354343654</v>
      </c>
      <c r="I108" s="116">
        <f t="shared" si="4"/>
        <v>78.375259070142405</v>
      </c>
      <c r="J108" s="116">
        <f t="shared" si="3"/>
        <v>92.888155461996874</v>
      </c>
      <c r="K108" s="116">
        <f t="shared" si="3"/>
        <v>41.49412422177047</v>
      </c>
    </row>
    <row r="109" spans="3:11" x14ac:dyDescent="0.2">
      <c r="C109" s="87" t="s">
        <v>135</v>
      </c>
      <c r="D109" s="47" t="str">
        <f t="shared" si="4"/>
        <v xml:space="preserve"> </v>
      </c>
      <c r="E109" s="47" t="str">
        <f t="shared" si="4"/>
        <v xml:space="preserve"> </v>
      </c>
      <c r="F109" s="47" t="str">
        <f t="shared" si="4"/>
        <v xml:space="preserve"> </v>
      </c>
      <c r="G109" s="47" t="str">
        <f t="shared" si="4"/>
        <v xml:space="preserve"> </v>
      </c>
      <c r="H109" s="47" t="str">
        <f t="shared" si="4"/>
        <v xml:space="preserve"> </v>
      </c>
      <c r="I109" s="47">
        <f t="shared" si="4"/>
        <v>94.496317062927943</v>
      </c>
      <c r="J109" s="47">
        <f t="shared" si="3"/>
        <v>99.48779855010271</v>
      </c>
      <c r="K109" s="47">
        <f t="shared" si="3"/>
        <v>62.560784174743709</v>
      </c>
    </row>
    <row r="110" spans="3:11" x14ac:dyDescent="0.2">
      <c r="C110" s="88" t="s">
        <v>136</v>
      </c>
      <c r="D110" s="116">
        <f t="shared" si="4"/>
        <v>96.992761663160692</v>
      </c>
      <c r="E110" s="116">
        <f t="shared" si="4"/>
        <v>97.06958833229568</v>
      </c>
      <c r="F110" s="116">
        <f t="shared" si="4"/>
        <v>89.287134542588447</v>
      </c>
      <c r="G110" s="116">
        <f t="shared" si="4"/>
        <v>95.739812254923962</v>
      </c>
      <c r="H110" s="116">
        <f t="shared" si="4"/>
        <v>95.92173686855989</v>
      </c>
      <c r="I110" s="116">
        <f t="shared" si="4"/>
        <v>2.7779151254255439</v>
      </c>
      <c r="J110" s="116">
        <f t="shared" si="3"/>
        <v>86.041566397993051</v>
      </c>
      <c r="K110" s="116">
        <f t="shared" si="3"/>
        <v>3.3802796590332815</v>
      </c>
    </row>
    <row r="111" spans="3:11" x14ac:dyDescent="0.2">
      <c r="C111" s="87" t="s">
        <v>137</v>
      </c>
      <c r="D111" s="47">
        <f t="shared" si="4"/>
        <v>86.695111342690794</v>
      </c>
      <c r="E111" s="47">
        <f t="shared" si="4"/>
        <v>83.564998636783358</v>
      </c>
      <c r="F111" s="47">
        <f t="shared" si="4"/>
        <v>55.944567465638059</v>
      </c>
      <c r="G111" s="47">
        <f t="shared" si="4"/>
        <v>33.20863193735174</v>
      </c>
      <c r="H111" s="47">
        <f t="shared" si="4"/>
        <v>31.08169842418782</v>
      </c>
      <c r="I111" s="47">
        <f t="shared" si="4"/>
        <v>68.855565230368583</v>
      </c>
      <c r="J111" s="47">
        <f t="shared" si="3"/>
        <v>75.114235065896636</v>
      </c>
      <c r="K111" s="47">
        <f t="shared" si="3"/>
        <v>63.720908893244278</v>
      </c>
    </row>
    <row r="112" spans="3:11" x14ac:dyDescent="0.2">
      <c r="C112" s="88" t="s">
        <v>138</v>
      </c>
      <c r="D112" s="116" t="str">
        <f t="shared" si="4"/>
        <v xml:space="preserve"> </v>
      </c>
      <c r="E112" s="116" t="str">
        <f t="shared" si="4"/>
        <v xml:space="preserve"> </v>
      </c>
      <c r="F112" s="116" t="str">
        <f t="shared" si="4"/>
        <v xml:space="preserve"> </v>
      </c>
      <c r="G112" s="116" t="str">
        <f t="shared" si="4"/>
        <v xml:space="preserve"> </v>
      </c>
      <c r="H112" s="116" t="str">
        <f t="shared" si="4"/>
        <v xml:space="preserve"> </v>
      </c>
      <c r="I112" s="116" t="str">
        <f t="shared" si="4"/>
        <v xml:space="preserve"> </v>
      </c>
      <c r="J112" s="116" t="str">
        <f t="shared" si="3"/>
        <v xml:space="preserve"> </v>
      </c>
      <c r="K112" s="116" t="str">
        <f t="shared" si="3"/>
        <v xml:space="preserve"> </v>
      </c>
    </row>
    <row r="113" spans="3:11" x14ac:dyDescent="0.2">
      <c r="C113" s="87" t="s">
        <v>160</v>
      </c>
      <c r="D113" s="47">
        <f t="shared" si="4"/>
        <v>98.848171235343656</v>
      </c>
      <c r="E113" s="47">
        <f t="shared" si="4"/>
        <v>98.778403110982453</v>
      </c>
      <c r="F113" s="47">
        <f t="shared" si="4"/>
        <v>99.881006839881508</v>
      </c>
      <c r="G113" s="47">
        <f t="shared" si="4"/>
        <v>99.179774109076234</v>
      </c>
      <c r="H113" s="47">
        <f t="shared" si="4"/>
        <v>92.813998018561179</v>
      </c>
      <c r="I113" s="47">
        <f t="shared" si="4"/>
        <v>88.912149402371483</v>
      </c>
      <c r="J113" s="47">
        <f t="shared" si="3"/>
        <v>94.872087580593529</v>
      </c>
      <c r="K113" s="47">
        <f t="shared" si="3"/>
        <v>86.206820799404724</v>
      </c>
    </row>
    <row r="114" spans="3:11" x14ac:dyDescent="0.2">
      <c r="C114" s="88" t="s">
        <v>161</v>
      </c>
      <c r="D114" s="116">
        <f t="shared" si="4"/>
        <v>93.727897837355556</v>
      </c>
      <c r="E114" s="116">
        <f t="shared" si="4"/>
        <v>92.346846405788071</v>
      </c>
      <c r="F114" s="116">
        <f t="shared" si="4"/>
        <v>82.797006222807141</v>
      </c>
      <c r="G114" s="116">
        <f t="shared" si="4"/>
        <v>78.37110984143051</v>
      </c>
      <c r="H114" s="116">
        <f t="shared" si="4"/>
        <v>72.745765081562553</v>
      </c>
      <c r="I114" s="116">
        <f t="shared" si="4"/>
        <v>74.881178791116824</v>
      </c>
      <c r="J114" s="116">
        <f t="shared" si="3"/>
        <v>87.203737521981509</v>
      </c>
      <c r="K114" s="116">
        <f t="shared" si="3"/>
        <v>37.099752845145609</v>
      </c>
    </row>
    <row r="115" spans="3:11" x14ac:dyDescent="0.2">
      <c r="C115" s="87" t="s">
        <v>140</v>
      </c>
      <c r="D115" s="47">
        <f t="shared" si="4"/>
        <v>92.931283215589119</v>
      </c>
      <c r="E115" s="47">
        <f t="shared" si="4"/>
        <v>93.181112506154776</v>
      </c>
      <c r="F115" s="47">
        <f t="shared" si="4"/>
        <v>87.797131628335649</v>
      </c>
      <c r="G115" s="47">
        <f t="shared" si="4"/>
        <v>84.04928649533727</v>
      </c>
      <c r="H115" s="47">
        <f t="shared" si="4"/>
        <v>84.762522460042476</v>
      </c>
      <c r="I115" s="47">
        <f t="shared" si="4"/>
        <v>98.670300270957739</v>
      </c>
      <c r="J115" s="47">
        <f t="shared" si="3"/>
        <v>98.44860936778386</v>
      </c>
      <c r="K115" s="47">
        <f t="shared" si="3"/>
        <v>55.71572531507649</v>
      </c>
    </row>
    <row r="116" spans="3:11" x14ac:dyDescent="0.2">
      <c r="C116" s="88" t="s">
        <v>141</v>
      </c>
      <c r="D116" s="116">
        <f t="shared" si="4"/>
        <v>83.734973784918225</v>
      </c>
      <c r="E116" s="116">
        <f t="shared" si="4"/>
        <v>70.345885157399152</v>
      </c>
      <c r="F116" s="116">
        <f t="shared" si="4"/>
        <v>71.662303836358447</v>
      </c>
      <c r="G116" s="116">
        <f t="shared" si="4"/>
        <v>53.975553973375369</v>
      </c>
      <c r="H116" s="116">
        <f t="shared" si="4"/>
        <v>51.251282002749974</v>
      </c>
      <c r="I116" s="116">
        <f t="shared" si="4"/>
        <v>97.520749363380276</v>
      </c>
      <c r="J116" s="116">
        <f t="shared" si="3"/>
        <v>89.271627977127579</v>
      </c>
      <c r="K116" s="116">
        <f t="shared" si="3"/>
        <v>28.497789223276389</v>
      </c>
    </row>
    <row r="117" spans="3:11" x14ac:dyDescent="0.2">
      <c r="C117" s="87" t="s">
        <v>142</v>
      </c>
      <c r="D117" s="47">
        <f t="shared" ref="D117:I126" si="5">+IFERROR(IF(D76&gt;0,+((D76/D34)*100)," "),"0")</f>
        <v>95.175860838299997</v>
      </c>
      <c r="E117" s="47">
        <f t="shared" si="5"/>
        <v>89.301774360030933</v>
      </c>
      <c r="F117" s="47">
        <f t="shared" si="5"/>
        <v>40.806828683047101</v>
      </c>
      <c r="G117" s="47">
        <f t="shared" si="5"/>
        <v>67.737644237030906</v>
      </c>
      <c r="H117" s="47">
        <f t="shared" si="5"/>
        <v>90.033775489126128</v>
      </c>
      <c r="I117" s="47">
        <f t="shared" si="5"/>
        <v>87.576029135226648</v>
      </c>
      <c r="J117" s="47">
        <f t="shared" si="3"/>
        <v>87.708718364392169</v>
      </c>
      <c r="K117" s="47">
        <f t="shared" si="3"/>
        <v>40.661706261879011</v>
      </c>
    </row>
    <row r="118" spans="3:11" x14ac:dyDescent="0.2">
      <c r="C118" s="88" t="s">
        <v>143</v>
      </c>
      <c r="D118" s="116">
        <f t="shared" si="5"/>
        <v>60.474264110027235</v>
      </c>
      <c r="E118" s="116">
        <f t="shared" si="5"/>
        <v>33.997097763331396</v>
      </c>
      <c r="F118" s="116">
        <f t="shared" si="5"/>
        <v>60.227991300864701</v>
      </c>
      <c r="G118" s="116">
        <f t="shared" si="5"/>
        <v>58.728066904221087</v>
      </c>
      <c r="H118" s="116">
        <f t="shared" si="5"/>
        <v>10.818742756804509</v>
      </c>
      <c r="I118" s="116">
        <f t="shared" si="5"/>
        <v>17.780774409516674</v>
      </c>
      <c r="J118" s="116">
        <f t="shared" si="3"/>
        <v>55.425190969172434</v>
      </c>
      <c r="K118" s="116">
        <f t="shared" si="3"/>
        <v>38.793744564609504</v>
      </c>
    </row>
    <row r="119" spans="3:11" x14ac:dyDescent="0.2">
      <c r="C119" s="87" t="s">
        <v>144</v>
      </c>
      <c r="D119" s="47" t="str">
        <f t="shared" si="5"/>
        <v xml:space="preserve"> </v>
      </c>
      <c r="E119" s="47" t="str">
        <f t="shared" si="5"/>
        <v xml:space="preserve"> </v>
      </c>
      <c r="F119" s="47" t="str">
        <f t="shared" si="5"/>
        <v xml:space="preserve"> </v>
      </c>
      <c r="G119" s="47" t="str">
        <f t="shared" si="5"/>
        <v xml:space="preserve"> </v>
      </c>
      <c r="H119" s="47" t="str">
        <f t="shared" si="5"/>
        <v xml:space="preserve"> </v>
      </c>
      <c r="I119" s="47" t="str">
        <f t="shared" si="5"/>
        <v xml:space="preserve"> </v>
      </c>
      <c r="J119" s="47" t="str">
        <f t="shared" si="3"/>
        <v xml:space="preserve"> </v>
      </c>
      <c r="K119" s="47" t="str">
        <f t="shared" si="3"/>
        <v xml:space="preserve"> </v>
      </c>
    </row>
    <row r="120" spans="3:11" x14ac:dyDescent="0.2">
      <c r="C120" s="88" t="s">
        <v>145</v>
      </c>
      <c r="D120" s="116">
        <f t="shared" si="5"/>
        <v>94.437783470980179</v>
      </c>
      <c r="E120" s="116">
        <f t="shared" si="5"/>
        <v>95.930372718482303</v>
      </c>
      <c r="F120" s="116">
        <f t="shared" si="5"/>
        <v>90.554242041542224</v>
      </c>
      <c r="G120" s="116">
        <f t="shared" si="5"/>
        <v>86.398584388123453</v>
      </c>
      <c r="H120" s="116">
        <f t="shared" si="5"/>
        <v>82.814565913971506</v>
      </c>
      <c r="I120" s="116">
        <f t="shared" si="5"/>
        <v>73.50662843991843</v>
      </c>
      <c r="J120" s="116">
        <f t="shared" si="3"/>
        <v>94.558702150315113</v>
      </c>
      <c r="K120" s="116">
        <f t="shared" si="3"/>
        <v>57.041789096709437</v>
      </c>
    </row>
    <row r="121" spans="3:11" x14ac:dyDescent="0.2">
      <c r="C121" s="87" t="s">
        <v>146</v>
      </c>
      <c r="D121" s="47">
        <f t="shared" si="5"/>
        <v>97.665923003076415</v>
      </c>
      <c r="E121" s="47">
        <f t="shared" si="5"/>
        <v>89.955444220862034</v>
      </c>
      <c r="F121" s="47">
        <f t="shared" si="5"/>
        <v>96.372268210150438</v>
      </c>
      <c r="G121" s="47">
        <f t="shared" si="5"/>
        <v>95.180230046664335</v>
      </c>
      <c r="H121" s="47">
        <f t="shared" si="5"/>
        <v>92.091126225492062</v>
      </c>
      <c r="I121" s="47">
        <f t="shared" si="5"/>
        <v>96.733516740111753</v>
      </c>
      <c r="J121" s="47">
        <f t="shared" si="3"/>
        <v>94.244772328672568</v>
      </c>
      <c r="K121" s="47">
        <f t="shared" si="3"/>
        <v>70.869292857462852</v>
      </c>
    </row>
    <row r="122" spans="3:11" x14ac:dyDescent="0.2">
      <c r="C122" s="88" t="s">
        <v>162</v>
      </c>
      <c r="D122" s="116">
        <f t="shared" si="5"/>
        <v>91.473054731637319</v>
      </c>
      <c r="E122" s="116">
        <f t="shared" si="5"/>
        <v>91.129625703568138</v>
      </c>
      <c r="F122" s="116">
        <f t="shared" si="5"/>
        <v>85.457231607861118</v>
      </c>
      <c r="G122" s="116">
        <f t="shared" si="5"/>
        <v>87.584556905552262</v>
      </c>
      <c r="H122" s="116">
        <f t="shared" si="5"/>
        <v>88.997108071908769</v>
      </c>
      <c r="I122" s="116">
        <f t="shared" si="5"/>
        <v>89.756883370273371</v>
      </c>
      <c r="J122" s="116">
        <f t="shared" si="3"/>
        <v>94.741961067689743</v>
      </c>
      <c r="K122" s="116">
        <f t="shared" si="3"/>
        <v>41.3191393539419</v>
      </c>
    </row>
    <row r="123" spans="3:11" x14ac:dyDescent="0.2">
      <c r="C123" s="87" t="s">
        <v>148</v>
      </c>
      <c r="D123" s="47" t="str">
        <f t="shared" si="5"/>
        <v xml:space="preserve"> </v>
      </c>
      <c r="E123" s="47" t="str">
        <f t="shared" si="5"/>
        <v xml:space="preserve"> </v>
      </c>
      <c r="F123" s="47" t="str">
        <f t="shared" si="5"/>
        <v xml:space="preserve"> </v>
      </c>
      <c r="G123" s="47" t="str">
        <f t="shared" si="5"/>
        <v xml:space="preserve"> </v>
      </c>
      <c r="H123" s="47" t="str">
        <f t="shared" si="5"/>
        <v xml:space="preserve"> </v>
      </c>
      <c r="I123" s="47" t="str">
        <f t="shared" si="5"/>
        <v xml:space="preserve"> </v>
      </c>
      <c r="J123" s="47" t="str">
        <f t="shared" si="3"/>
        <v xml:space="preserve"> </v>
      </c>
      <c r="K123" s="47" t="str">
        <f t="shared" si="3"/>
        <v xml:space="preserve"> </v>
      </c>
    </row>
    <row r="124" spans="3:11" x14ac:dyDescent="0.2">
      <c r="C124" s="88" t="s">
        <v>149</v>
      </c>
      <c r="D124" s="116">
        <f t="shared" si="5"/>
        <v>93.072635780883147</v>
      </c>
      <c r="E124" s="116">
        <f t="shared" si="5"/>
        <v>99.335284901892081</v>
      </c>
      <c r="F124" s="116">
        <f t="shared" si="5"/>
        <v>86.263827811955281</v>
      </c>
      <c r="G124" s="116">
        <f t="shared" si="5"/>
        <v>86.878075076587606</v>
      </c>
      <c r="H124" s="116">
        <f t="shared" si="5"/>
        <v>97.526460942612516</v>
      </c>
      <c r="I124" s="116">
        <f t="shared" si="5"/>
        <v>93.712958931205833</v>
      </c>
      <c r="J124" s="116">
        <f t="shared" si="3"/>
        <v>96.249391807182178</v>
      </c>
      <c r="K124" s="116">
        <f t="shared" si="3"/>
        <v>80.881309083142511</v>
      </c>
    </row>
    <row r="125" spans="3:11" x14ac:dyDescent="0.2">
      <c r="C125" s="87" t="s">
        <v>163</v>
      </c>
      <c r="D125" s="47">
        <f t="shared" si="5"/>
        <v>97.851080270677031</v>
      </c>
      <c r="E125" s="47">
        <f t="shared" si="5"/>
        <v>97.179590813080836</v>
      </c>
      <c r="F125" s="47">
        <f t="shared" si="5"/>
        <v>95.459031727305231</v>
      </c>
      <c r="G125" s="47">
        <f t="shared" si="5"/>
        <v>95.862949704428644</v>
      </c>
      <c r="H125" s="47">
        <f t="shared" si="5"/>
        <v>97.136481300078202</v>
      </c>
      <c r="I125" s="47">
        <f t="shared" si="5"/>
        <v>97.151007616973132</v>
      </c>
      <c r="J125" s="47">
        <f t="shared" si="3"/>
        <v>96.507092728403691</v>
      </c>
      <c r="K125" s="47">
        <f t="shared" si="3"/>
        <v>39.89727013896271</v>
      </c>
    </row>
    <row r="126" spans="3:11" x14ac:dyDescent="0.2">
      <c r="C126" s="88" t="s">
        <v>150</v>
      </c>
      <c r="D126" s="116">
        <f t="shared" si="5"/>
        <v>96.130059349958884</v>
      </c>
      <c r="E126" s="116">
        <f t="shared" si="5"/>
        <v>96.571589673810948</v>
      </c>
      <c r="F126" s="116">
        <f t="shared" si="5"/>
        <v>87.299567581781261</v>
      </c>
      <c r="G126" s="116">
        <f t="shared" si="5"/>
        <v>89.467148218617069</v>
      </c>
      <c r="H126" s="116">
        <f t="shared" si="5"/>
        <v>73.531344382557222</v>
      </c>
      <c r="I126" s="116">
        <f t="shared" si="5"/>
        <v>88.542174461722951</v>
      </c>
      <c r="J126" s="116">
        <f t="shared" si="3"/>
        <v>94.133717356835433</v>
      </c>
      <c r="K126" s="116">
        <f t="shared" si="3"/>
        <v>34.799061405957914</v>
      </c>
    </row>
    <row r="127" spans="3:11" x14ac:dyDescent="0.2">
      <c r="C127" s="87" t="s">
        <v>151</v>
      </c>
      <c r="D127" s="47" t="str">
        <f t="shared" ref="D127:I127" si="6">+IFERROR(IF(D86&gt;0,+((D86/D44)*100)," "),"0")</f>
        <v xml:space="preserve"> </v>
      </c>
      <c r="E127" s="47" t="str">
        <f t="shared" si="6"/>
        <v xml:space="preserve"> </v>
      </c>
      <c r="F127" s="47" t="str">
        <f t="shared" si="6"/>
        <v xml:space="preserve"> </v>
      </c>
      <c r="G127" s="47" t="str">
        <f t="shared" si="6"/>
        <v xml:space="preserve"> </v>
      </c>
      <c r="H127" s="47" t="str">
        <f t="shared" si="6"/>
        <v xml:space="preserve"> </v>
      </c>
      <c r="I127" s="47" t="str">
        <f t="shared" si="6"/>
        <v xml:space="preserve"> </v>
      </c>
      <c r="J127" s="47" t="str">
        <f t="shared" si="3"/>
        <v xml:space="preserve"> </v>
      </c>
      <c r="K127" s="47" t="str">
        <f t="shared" si="3"/>
        <v xml:space="preserve"> </v>
      </c>
    </row>
    <row r="128" spans="3:11" x14ac:dyDescent="0.2">
      <c r="C128" s="91" t="s">
        <v>154</v>
      </c>
      <c r="D128" s="74">
        <f t="shared" ref="D128:I128" si="7">+IFERROR(IF(D87&gt;0,+((D87/D45)*100)," "),"")</f>
        <v>94.95867351738471</v>
      </c>
      <c r="E128" s="74">
        <f t="shared" si="7"/>
        <v>95.245188649918006</v>
      </c>
      <c r="F128" s="74">
        <f t="shared" si="7"/>
        <v>84.098346723890472</v>
      </c>
      <c r="G128" s="74">
        <f t="shared" si="7"/>
        <v>89.38045010082007</v>
      </c>
      <c r="H128" s="74">
        <f t="shared" si="7"/>
        <v>87.515131410330085</v>
      </c>
      <c r="I128" s="74">
        <f t="shared" si="7"/>
        <v>91.800887360486996</v>
      </c>
      <c r="J128" s="74">
        <f t="shared" si="3"/>
        <v>95.959013295376224</v>
      </c>
      <c r="K128" s="74">
        <f t="shared" si="3"/>
        <v>49.693337131204963</v>
      </c>
    </row>
    <row r="129" spans="1:11" s="31" customFormat="1" x14ac:dyDescent="0.2">
      <c r="A129" s="5"/>
      <c r="B129" s="5"/>
      <c r="C129" s="72" t="str">
        <f>+'C1 Aprop Resumen 2000-2026'!B20</f>
        <v>* Información con corte a 30 de Junio</v>
      </c>
      <c r="D129" s="47"/>
      <c r="E129" s="47"/>
      <c r="F129" s="47"/>
      <c r="G129" s="47"/>
      <c r="H129" s="47"/>
      <c r="I129" s="47"/>
    </row>
    <row r="130" spans="1:11" x14ac:dyDescent="0.2">
      <c r="C130" s="1" t="s">
        <v>52</v>
      </c>
      <c r="D130" s="11"/>
      <c r="E130" s="11"/>
      <c r="F130" s="11"/>
      <c r="G130" s="11"/>
      <c r="H130" s="11"/>
    </row>
    <row r="131" spans="1:11" x14ac:dyDescent="0.2">
      <c r="D131" s="11"/>
      <c r="E131" s="11"/>
      <c r="F131" s="11"/>
      <c r="G131" s="11"/>
      <c r="H131" s="11"/>
    </row>
    <row r="132" spans="1:11" x14ac:dyDescent="0.2">
      <c r="E132" s="3"/>
      <c r="F132" s="3"/>
      <c r="G132" s="3"/>
      <c r="H132" s="3"/>
    </row>
    <row r="133" spans="1:11" x14ac:dyDescent="0.2">
      <c r="E133" s="3"/>
      <c r="F133" s="3"/>
      <c r="G133" s="3"/>
      <c r="H133" s="3"/>
    </row>
    <row r="134" spans="1:11" x14ac:dyDescent="0.2">
      <c r="E134" s="3"/>
      <c r="F134" s="3"/>
      <c r="G134" s="3"/>
      <c r="H134" s="3"/>
    </row>
    <row r="135" spans="1:11" ht="18" customHeight="1" x14ac:dyDescent="0.2">
      <c r="D135" s="177" t="s">
        <v>156</v>
      </c>
      <c r="E135" s="182"/>
      <c r="F135" s="182"/>
      <c r="G135" s="182"/>
      <c r="H135" s="182"/>
      <c r="I135" s="182"/>
      <c r="J135" s="182"/>
      <c r="K135" s="182"/>
    </row>
    <row r="136" spans="1:11" x14ac:dyDescent="0.2">
      <c r="C136" s="2"/>
      <c r="D136" s="2"/>
      <c r="E136" s="2"/>
      <c r="F136" s="2"/>
      <c r="G136" s="2"/>
      <c r="H136" s="2"/>
      <c r="I136" s="2"/>
    </row>
    <row r="137" spans="1:11" x14ac:dyDescent="0.2">
      <c r="C137" s="181" t="s">
        <v>120</v>
      </c>
      <c r="D137" s="155">
        <v>2019</v>
      </c>
      <c r="E137" s="155">
        <v>2020</v>
      </c>
      <c r="F137" s="155">
        <v>2021</v>
      </c>
      <c r="G137" s="155">
        <v>2022</v>
      </c>
      <c r="H137" s="155">
        <v>2023</v>
      </c>
      <c r="I137" s="155">
        <v>2024</v>
      </c>
      <c r="J137" s="155">
        <v>2025</v>
      </c>
      <c r="K137" s="155" t="s">
        <v>36</v>
      </c>
    </row>
    <row r="138" spans="1:11" ht="12" customHeight="1" thickBot="1" x14ac:dyDescent="0.25">
      <c r="C138" s="162"/>
      <c r="D138" s="156"/>
      <c r="E138" s="156"/>
      <c r="F138" s="156"/>
      <c r="G138" s="156"/>
      <c r="H138" s="156"/>
      <c r="I138" s="156"/>
      <c r="J138" s="156"/>
      <c r="K138" s="156"/>
    </row>
    <row r="139" spans="1:11" x14ac:dyDescent="0.2">
      <c r="C139" s="87" t="s">
        <v>123</v>
      </c>
      <c r="D139" s="42">
        <f>49.61057772652*Deflactores!$T$5</f>
        <v>77.161548152574881</v>
      </c>
      <c r="E139" s="42">
        <f>83.59030179765*Deflactores!$U$5</f>
        <v>127.95170871370844</v>
      </c>
      <c r="F139" s="42">
        <f>86.5332466953299*Deflactores!$V$5</f>
        <v>125.40851700140857</v>
      </c>
      <c r="G139" s="42">
        <f>68.28185885982*Deflactores!$W$5</f>
        <v>87.480241381610782</v>
      </c>
      <c r="H139" s="42">
        <f>60.07193128048*Deflactores!$X$5</f>
        <v>70.426409126765392</v>
      </c>
      <c r="I139" s="42">
        <f>98.4904136306699*Deflactores!$Y$5</f>
        <v>109.75951323961425</v>
      </c>
      <c r="J139" s="42">
        <f>102.27154009939*Deflactores!$Z$5</f>
        <v>108.44163973612258</v>
      </c>
      <c r="K139" s="42">
        <f>24.8605123104*Deflactores!$AA$5</f>
        <v>24.860512310400001</v>
      </c>
    </row>
    <row r="140" spans="1:11" x14ac:dyDescent="0.2">
      <c r="C140" s="88" t="s">
        <v>124</v>
      </c>
      <c r="D140" s="50">
        <f>121.821190618349*Deflactores!$T$5</f>
        <v>189.47394077366064</v>
      </c>
      <c r="E140" s="50">
        <f>136.79034628072*Deflactores!$U$5</f>
        <v>209.38503828502809</v>
      </c>
      <c r="F140" s="50">
        <f>171.11267016216*Deflactores!$V$5</f>
        <v>247.9854509647767</v>
      </c>
      <c r="G140" s="50">
        <f>201.72709720802*Deflactores!$W$5</f>
        <v>258.44544146342196</v>
      </c>
      <c r="H140" s="50">
        <f>206.87078075747*Deflactores!$X$5</f>
        <v>242.52868072402271</v>
      </c>
      <c r="I140" s="50">
        <f>226.36622079013*Deflactores!$Y$5</f>
        <v>252.26664496491384</v>
      </c>
      <c r="J140" s="50">
        <f>244.53433325218*Deflactores!$Z$5</f>
        <v>259.28722735450435</v>
      </c>
      <c r="K140" s="50">
        <f>155.07025507534*Deflactores!$AA$5</f>
        <v>155.07025507533999</v>
      </c>
    </row>
    <row r="141" spans="1:11" x14ac:dyDescent="0.2">
      <c r="C141" s="87" t="s">
        <v>125</v>
      </c>
      <c r="D141" s="42">
        <f>0*Deflactores!$T$5</f>
        <v>0</v>
      </c>
      <c r="E141" s="42">
        <f>0*Deflactores!$U$5</f>
        <v>0</v>
      </c>
      <c r="F141" s="42">
        <f>0*Deflactores!$V$5</f>
        <v>0</v>
      </c>
      <c r="G141" s="42">
        <f>0*Deflactores!$W$5</f>
        <v>0</v>
      </c>
      <c r="H141" s="42">
        <f>0*Deflactores!$X$5</f>
        <v>0</v>
      </c>
      <c r="I141" s="42">
        <f>0*Deflactores!$Y$5</f>
        <v>0</v>
      </c>
      <c r="J141" s="42">
        <f>0*Deflactores!$Z$5</f>
        <v>0</v>
      </c>
      <c r="K141" s="42">
        <f>0*Deflactores!$AA$5</f>
        <v>0</v>
      </c>
    </row>
    <row r="142" spans="1:11" x14ac:dyDescent="0.2">
      <c r="C142" s="88" t="s">
        <v>126</v>
      </c>
      <c r="D142" s="50">
        <f>334.10304250885*Deflactores!$T$5</f>
        <v>519.64538983160048</v>
      </c>
      <c r="E142" s="50">
        <f>345.55115459238*Deflactores!$U$5</f>
        <v>528.93529186100909</v>
      </c>
      <c r="F142" s="50">
        <f>369.67123296363*Deflactores!$V$5</f>
        <v>535.74692819832751</v>
      </c>
      <c r="G142" s="50">
        <f>403.41904846892*Deflactores!$W$5</f>
        <v>516.84585521393478</v>
      </c>
      <c r="H142" s="50">
        <f>433.94006209724*Deflactores!$X$5</f>
        <v>508.73743690815479</v>
      </c>
      <c r="I142" s="50">
        <f>453.698495143369*Deflactores!$Y$5</f>
        <v>505.60987763965142</v>
      </c>
      <c r="J142" s="50">
        <f>481.789806698059*Deflactores!$Z$5</f>
        <v>510.85645718948825</v>
      </c>
      <c r="K142" s="50">
        <f>188.075317415269*Deflactores!$AA$5</f>
        <v>188.07531741526901</v>
      </c>
    </row>
    <row r="143" spans="1:11" x14ac:dyDescent="0.2">
      <c r="C143" s="87" t="s">
        <v>127</v>
      </c>
      <c r="D143" s="42">
        <f>0*Deflactores!$T$5</f>
        <v>0</v>
      </c>
      <c r="E143" s="42">
        <f>0*Deflactores!$U$5</f>
        <v>0</v>
      </c>
      <c r="F143" s="42">
        <f>0*Deflactores!$V$5</f>
        <v>0</v>
      </c>
      <c r="G143" s="42">
        <f>0*Deflactores!$W$5</f>
        <v>0</v>
      </c>
      <c r="H143" s="42">
        <f>0*Deflactores!$X$5</f>
        <v>0</v>
      </c>
      <c r="I143" s="42">
        <f>0*Deflactores!$Y$5</f>
        <v>0</v>
      </c>
      <c r="J143" s="42">
        <f>0*Deflactores!$Z$5</f>
        <v>0</v>
      </c>
      <c r="K143" s="42">
        <f>0*Deflactores!$AA$5</f>
        <v>0</v>
      </c>
    </row>
    <row r="144" spans="1:11" x14ac:dyDescent="0.2">
      <c r="C144" s="88" t="s">
        <v>128</v>
      </c>
      <c r="D144" s="50">
        <f>9.28942754715999*Deflactores!$T$5</f>
        <v>14.448261718324501</v>
      </c>
      <c r="E144" s="50">
        <f>10.29691158123*Deflactores!$U$5</f>
        <v>15.761486715069996</v>
      </c>
      <c r="F144" s="50">
        <f>10.1643318368199*Deflactores!$V$5</f>
        <v>14.73068249078629</v>
      </c>
      <c r="G144" s="50">
        <f>13.1794641353*Deflactores!$W$5</f>
        <v>16.885051506920345</v>
      </c>
      <c r="H144" s="50">
        <f>11.7315578921799*Deflactores!$X$5</f>
        <v>13.753702905793997</v>
      </c>
      <c r="I144" s="50">
        <f>10.34179552521*Deflactores!$Y$5</f>
        <v>11.525085549211228</v>
      </c>
      <c r="J144" s="50">
        <f>17.56177829004*Deflactores!$Z$5</f>
        <v>18.621290269056342</v>
      </c>
      <c r="K144" s="50">
        <f>4.17909161131*Deflactores!$AA$5</f>
        <v>4.1790916113099996</v>
      </c>
    </row>
    <row r="145" spans="3:11" x14ac:dyDescent="0.2">
      <c r="C145" s="87" t="s">
        <v>129</v>
      </c>
      <c r="D145" s="42">
        <f>2031.34138262102*Deflactores!$T$5</f>
        <v>3159.4360132928191</v>
      </c>
      <c r="E145" s="42">
        <f>1806.67559357634*Deflactores!$U$5</f>
        <v>2765.4790605857702</v>
      </c>
      <c r="F145" s="42">
        <f>1749.70744599179*Deflactores!$V$5</f>
        <v>2535.7677467104081</v>
      </c>
      <c r="G145" s="42">
        <f>2438.22402907456*Deflactores!$W$5</f>
        <v>3123.7642057134872</v>
      </c>
      <c r="H145" s="42">
        <f>2249.97417191694*Deflactores!$X$5</f>
        <v>2637.797689843333</v>
      </c>
      <c r="I145" s="42">
        <f>2501.24948020647*Deflactores!$Y$5</f>
        <v>2787.4380390743918</v>
      </c>
      <c r="J145" s="42">
        <f>2599.64048179404*Deflactores!$Z$5</f>
        <v>2756.4782567680422</v>
      </c>
      <c r="K145" s="42">
        <f>1018.49712245201*Deflactores!$AA$5</f>
        <v>1018.49712245201</v>
      </c>
    </row>
    <row r="146" spans="3:11" x14ac:dyDescent="0.2">
      <c r="C146" s="88" t="s">
        <v>130</v>
      </c>
      <c r="D146" s="50">
        <f>0*Deflactores!$T$5</f>
        <v>0</v>
      </c>
      <c r="E146" s="50">
        <f>0*Deflactores!$U$5</f>
        <v>0</v>
      </c>
      <c r="F146" s="50">
        <f>0*Deflactores!$V$5</f>
        <v>0</v>
      </c>
      <c r="G146" s="50">
        <f>0*Deflactores!$W$5</f>
        <v>0</v>
      </c>
      <c r="H146" s="50">
        <f>0*Deflactores!$X$5</f>
        <v>0</v>
      </c>
      <c r="I146" s="50">
        <f>0*Deflactores!$Y$5</f>
        <v>0</v>
      </c>
      <c r="J146" s="50">
        <f>0*Deflactores!$Z$5</f>
        <v>0</v>
      </c>
      <c r="K146" s="50">
        <f>0*Deflactores!$AA$5</f>
        <v>0</v>
      </c>
    </row>
    <row r="147" spans="3:11" x14ac:dyDescent="0.2">
      <c r="C147" s="87" t="s">
        <v>131</v>
      </c>
      <c r="D147" s="42">
        <f>19.96924571948*Deflactores!$T$5</f>
        <v>31.059060099003229</v>
      </c>
      <c r="E147" s="42">
        <f>16.55172919757*Deflactores!$U$5</f>
        <v>25.335738565968413</v>
      </c>
      <c r="F147" s="42">
        <f>19.7144775911099*Deflactores!$V$5</f>
        <v>28.5712543164294</v>
      </c>
      <c r="G147" s="42">
        <f>23.33597948013*Deflactores!$W$5</f>
        <v>29.897210648425364</v>
      </c>
      <c r="H147" s="42">
        <f>30.10181859116*Deflactores!$X$5</f>
        <v>35.290408454864767</v>
      </c>
      <c r="I147" s="42">
        <f>37.9719214156*Deflactores!$Y$5</f>
        <v>42.31660176571026</v>
      </c>
      <c r="J147" s="42">
        <f>42.5251876634099*Deflactores!$Z$5</f>
        <v>45.090756194977907</v>
      </c>
      <c r="K147" s="42">
        <f>18.5616597379699*Deflactores!$AA$5</f>
        <v>18.561659737969901</v>
      </c>
    </row>
    <row r="148" spans="3:11" x14ac:dyDescent="0.2">
      <c r="C148" s="88" t="s">
        <v>132</v>
      </c>
      <c r="D148" s="50">
        <f>313.17791891757*Deflactores!$T$5</f>
        <v>487.0996101696955</v>
      </c>
      <c r="E148" s="50">
        <f>204.14320955294*Deflactores!$U$5</f>
        <v>312.48209329151689</v>
      </c>
      <c r="F148" s="50">
        <f>247.77738365886*Deflactores!$V$5</f>
        <v>359.09197236700555</v>
      </c>
      <c r="G148" s="50">
        <f>297.44479535998*Deflactores!$W$5</f>
        <v>381.07548520631269</v>
      </c>
      <c r="H148" s="50">
        <f>357.84885846881*Deflactores!$X$5</f>
        <v>419.53054571194741</v>
      </c>
      <c r="I148" s="50">
        <f>440.227254720059*Deflactores!$Y$5</f>
        <v>490.59728162050055</v>
      </c>
      <c r="J148" s="50">
        <f>463.574945478709*Deflactores!$Z$5</f>
        <v>491.54268313003217</v>
      </c>
      <c r="K148" s="50">
        <f>169.33057915815*Deflactores!$AA$5</f>
        <v>169.33057915814999</v>
      </c>
    </row>
    <row r="149" spans="3:11" x14ac:dyDescent="0.2">
      <c r="C149" s="87" t="s">
        <v>133</v>
      </c>
      <c r="D149" s="42">
        <f>57.1027592465399*Deflactores!$T$5</f>
        <v>88.814472823432141</v>
      </c>
      <c r="E149" s="42">
        <f>47.07793453358*Deflactores!$U$5</f>
        <v>72.062213399653132</v>
      </c>
      <c r="F149" s="42">
        <f>79.47330531121*Deflactores!$V$5</f>
        <v>115.17687988028422</v>
      </c>
      <c r="G149" s="42">
        <f>35.41600876138*Deflactores!$W$5</f>
        <v>45.373706090504221</v>
      </c>
      <c r="H149" s="42">
        <f>47.12565268805*Deflactores!$X$5</f>
        <v>55.248606559331876</v>
      </c>
      <c r="I149" s="42">
        <f>42.42664916712*Deflactores!$Y$5</f>
        <v>47.281031618298243</v>
      </c>
      <c r="J149" s="42">
        <f>37.33652000296*Deflactores!$Z$5</f>
        <v>39.58905329113815</v>
      </c>
      <c r="K149" s="42">
        <f>12.85030601054*Deflactores!$AA$5</f>
        <v>12.850306010540001</v>
      </c>
    </row>
    <row r="150" spans="3:11" x14ac:dyDescent="0.2">
      <c r="C150" s="88" t="s">
        <v>134</v>
      </c>
      <c r="D150" s="50">
        <f>224.778987212819*Deflactores!$T$5</f>
        <v>349.60880200025008</v>
      </c>
      <c r="E150" s="50">
        <f>247.558724183219*Deflactores!$U$5</f>
        <v>378.93823906637732</v>
      </c>
      <c r="F150" s="50">
        <f>266.95374552969*Deflactores!$V$5</f>
        <v>386.88336117471266</v>
      </c>
      <c r="G150" s="50">
        <f>324.817976983119*Deflactores!$W$5</f>
        <v>416.14501283430133</v>
      </c>
      <c r="H150" s="50">
        <f>350.006053039969*Deflactores!$X$5</f>
        <v>410.33589170200298</v>
      </c>
      <c r="I150" s="50">
        <f>378.109309925339*Deflactores!$Y$5</f>
        <v>421.37191102067032</v>
      </c>
      <c r="J150" s="50">
        <f>391.39056520795*Deflactores!$Z$5</f>
        <v>415.00337852691689</v>
      </c>
      <c r="K150" s="50">
        <f>198.35634027669*Deflactores!$AA$5</f>
        <v>198.35634027668999</v>
      </c>
    </row>
    <row r="151" spans="3:11" x14ac:dyDescent="0.2">
      <c r="C151" s="87" t="s">
        <v>135</v>
      </c>
      <c r="D151" s="42">
        <f>0*Deflactores!$T$5</f>
        <v>0</v>
      </c>
      <c r="E151" s="42">
        <f>0*Deflactores!$U$5</f>
        <v>0</v>
      </c>
      <c r="F151" s="42">
        <f>0*Deflactores!$V$5</f>
        <v>0</v>
      </c>
      <c r="G151" s="42">
        <f>0*Deflactores!$W$5</f>
        <v>0</v>
      </c>
      <c r="H151" s="42">
        <f>0*Deflactores!$X$5</f>
        <v>0</v>
      </c>
      <c r="I151" s="42">
        <f>3975.39102456501*Deflactores!$Y$5</f>
        <v>4430.2482618218137</v>
      </c>
      <c r="J151" s="42">
        <f>4196.82774082473*Deflactores!$Z$5</f>
        <v>4450.0247230343139</v>
      </c>
      <c r="K151" s="42">
        <f>1909.80902579311*Deflactores!$AA$5</f>
        <v>1909.8090257931101</v>
      </c>
    </row>
    <row r="152" spans="3:11" x14ac:dyDescent="0.2">
      <c r="C152" s="88" t="s">
        <v>136</v>
      </c>
      <c r="D152" s="50">
        <f>2456.13971288237*Deflactores!$T$5</f>
        <v>3820.1438364567607</v>
      </c>
      <c r="E152" s="50">
        <f>2379.93853794639*Deflactores!$U$5</f>
        <v>3642.9728810047991</v>
      </c>
      <c r="F152" s="50">
        <f>2530.57636761098*Deflactores!$V$5</f>
        <v>3667.4439194251527</v>
      </c>
      <c r="G152" s="50">
        <f>2953.84750370085*Deflactores!$W$5</f>
        <v>3784.3623027122139</v>
      </c>
      <c r="H152" s="50">
        <f>3509.56740052714*Deflactores!$X$5</f>
        <v>4114.5044672102622</v>
      </c>
      <c r="I152" s="50">
        <f>0.83410458289*Deflactores!$Y$5</f>
        <v>0.92954135975350327</v>
      </c>
      <c r="J152" s="50">
        <f>31.62720305825*Deflactores!$Z$5</f>
        <v>33.535290038371073</v>
      </c>
      <c r="K152" s="50">
        <f>0.216073099259999*Deflactores!$AA$5</f>
        <v>0.21607309925999901</v>
      </c>
    </row>
    <row r="153" spans="3:11" x14ac:dyDescent="0.2">
      <c r="C153" s="87" t="s">
        <v>137</v>
      </c>
      <c r="D153" s="42">
        <f>27.79769840714*Deflactores!$T$5</f>
        <v>43.235002341581172</v>
      </c>
      <c r="E153" s="42">
        <f>28.04238609993*Deflactores!$U$5</f>
        <v>42.92449172610192</v>
      </c>
      <c r="F153" s="42">
        <f>58.62941256624*Deflactores!$V$5</f>
        <v>84.968817921317168</v>
      </c>
      <c r="G153" s="42">
        <f>31.6200882098199*Deflactores!$W$5</f>
        <v>40.510510336012281</v>
      </c>
      <c r="H153" s="42">
        <f>12.2204430265699*Deflactores!$X$5</f>
        <v>14.326856186479876</v>
      </c>
      <c r="I153" s="42">
        <f>43.72305862044*Deflactores!$Y$5</f>
        <v>48.72577395727577</v>
      </c>
      <c r="J153" s="42">
        <f>43.45905880279*Deflactores!$Z$5</f>
        <v>46.080968306364923</v>
      </c>
      <c r="K153" s="42">
        <f>23.61772142125*Deflactores!$AA$5</f>
        <v>23.61772142125</v>
      </c>
    </row>
    <row r="154" spans="3:11" x14ac:dyDescent="0.2">
      <c r="C154" s="88" t="s">
        <v>138</v>
      </c>
      <c r="D154" s="50">
        <f>0*Deflactores!$T$5</f>
        <v>0</v>
      </c>
      <c r="E154" s="50">
        <f>0*Deflactores!$U$5</f>
        <v>0</v>
      </c>
      <c r="F154" s="50">
        <f>0*Deflactores!$V$5</f>
        <v>0</v>
      </c>
      <c r="G154" s="50">
        <f>0*Deflactores!$W$5</f>
        <v>0</v>
      </c>
      <c r="H154" s="50">
        <f>0*Deflactores!$X$5</f>
        <v>0</v>
      </c>
      <c r="I154" s="50">
        <f>0*Deflactores!$Y$5</f>
        <v>0</v>
      </c>
      <c r="J154" s="50">
        <f>0*Deflactores!$Z$5</f>
        <v>0</v>
      </c>
      <c r="K154" s="50">
        <f>0*Deflactores!$AA$5</f>
        <v>0</v>
      </c>
    </row>
    <row r="155" spans="3:11" x14ac:dyDescent="0.2">
      <c r="C155" s="87" t="s">
        <v>160</v>
      </c>
      <c r="D155" s="42">
        <f>84.2431983062399*Deflactores!$T$5</f>
        <v>131.02721033540803</v>
      </c>
      <c r="E155" s="42">
        <f>54.02429625702*Deflactores!$U$5</f>
        <v>82.69501209452082</v>
      </c>
      <c r="F155" s="42">
        <f>106.49085893182*Deflactores!$V$5</f>
        <v>154.33213479052898</v>
      </c>
      <c r="G155" s="42">
        <f>109.88018076664*Deflactores!$W$5</f>
        <v>140.77450287717653</v>
      </c>
      <c r="H155" s="42">
        <f>140.13500993934*Deflactores!$X$5</f>
        <v>164.28979945544435</v>
      </c>
      <c r="I155" s="42">
        <f>182.97525315366*Deflactores!$Y$5</f>
        <v>203.91095925692187</v>
      </c>
      <c r="J155" s="42">
        <f>161.13235430921*Deflactores!$Z$5</f>
        <v>170.85356003098687</v>
      </c>
      <c r="K155" s="42">
        <f>66.60845186588*Deflactores!$AA$5</f>
        <v>66.608451865879999</v>
      </c>
    </row>
    <row r="156" spans="3:11" x14ac:dyDescent="0.2">
      <c r="C156" s="88" t="s">
        <v>161</v>
      </c>
      <c r="D156" s="50">
        <f>395.880859350459*Deflactores!$T$5</f>
        <v>615.73118861552734</v>
      </c>
      <c r="E156" s="50">
        <f>414.63186890001*Deflactores!$U$5</f>
        <v>634.67716914507082</v>
      </c>
      <c r="F156" s="50">
        <f>427.00114778586*Deflactores!$V$5</f>
        <v>618.83244587209049</v>
      </c>
      <c r="G156" s="50">
        <f>520.36673021889*Deflactores!$W$5</f>
        <v>666.67498405341496</v>
      </c>
      <c r="H156" s="50">
        <f>587.02299024045*Deflactores!$X$5</f>
        <v>688.20696115899534</v>
      </c>
      <c r="I156" s="50">
        <f>666.50934930516*Deflactores!$Y$5</f>
        <v>742.77017480821803</v>
      </c>
      <c r="J156" s="50">
        <f>706.45754667322*Deflactores!$Z$5</f>
        <v>749.07852850119809</v>
      </c>
      <c r="K156" s="50">
        <f>258.699919235999*Deflactores!$AA$5</f>
        <v>258.699919235999</v>
      </c>
    </row>
    <row r="157" spans="3:11" x14ac:dyDescent="0.2">
      <c r="C157" s="87" t="s">
        <v>140</v>
      </c>
      <c r="D157" s="42">
        <f>699.49102921225*Deflactores!$T$5</f>
        <v>1087.9496511890602</v>
      </c>
      <c r="E157" s="42">
        <f>1042.73026013433*Deflactores!$U$5</f>
        <v>1596.1076302206636</v>
      </c>
      <c r="F157" s="42">
        <f>1267.83259333367*Deflactores!$V$5</f>
        <v>1837.4094513734033</v>
      </c>
      <c r="G157" s="42">
        <f>964.60817992651*Deflactores!$W$5</f>
        <v>1235.8210193410921</v>
      </c>
      <c r="H157" s="42">
        <f>1636.04083366758*Deflactores!$X$5</f>
        <v>1918.041898170294</v>
      </c>
      <c r="I157" s="42">
        <f>4541.92028395739*Deflactores!$Y$5</f>
        <v>5061.5988009725943</v>
      </c>
      <c r="J157" s="42">
        <f>3763.50392846767*Deflactores!$Z$5</f>
        <v>3990.5582409314611</v>
      </c>
      <c r="K157" s="42">
        <f>1761.29531727396*Deflactores!$AA$5</f>
        <v>1761.2953172739601</v>
      </c>
    </row>
    <row r="158" spans="3:11" x14ac:dyDescent="0.2">
      <c r="C158" s="88" t="s">
        <v>141</v>
      </c>
      <c r="D158" s="50">
        <f>16.4553359166*Deflactores!$T$5</f>
        <v>25.593719180109048</v>
      </c>
      <c r="E158" s="50">
        <f>12.89562348719*Deflactores!$U$5</f>
        <v>19.739336078829417</v>
      </c>
      <c r="F158" s="50">
        <f>11.9064471589599*Deflactores!$V$5</f>
        <v>17.255447333647542</v>
      </c>
      <c r="G158" s="50">
        <f>16.07636319398*Deflactores!$W$5</f>
        <v>20.596453527063819</v>
      </c>
      <c r="H158" s="50">
        <f>23.34408193986*Deflactores!$X$5</f>
        <v>27.367854342973921</v>
      </c>
      <c r="I158" s="50">
        <f>17.14936840246*Deflactores!$Y$5</f>
        <v>19.111568921614118</v>
      </c>
      <c r="J158" s="50">
        <f>17.2380957990599*Deflactores!$Z$5</f>
        <v>18.278079831023991</v>
      </c>
      <c r="K158" s="50">
        <f>6.348155179*Deflactores!$AA$5</f>
        <v>6.3481551789999999</v>
      </c>
    </row>
    <row r="159" spans="3:11" x14ac:dyDescent="0.2">
      <c r="C159" s="87" t="s">
        <v>142</v>
      </c>
      <c r="D159" s="42">
        <f>132.20875046588*Deflactores!$T$5</f>
        <v>205.63017672361119</v>
      </c>
      <c r="E159" s="42">
        <f>306.27322875795*Deflactores!$U$5</f>
        <v>468.81255492662808</v>
      </c>
      <c r="F159" s="42">
        <f>290.51699137718*Deflactores!$V$5</f>
        <v>421.03245219261379</v>
      </c>
      <c r="G159" s="42">
        <f>202.81481433027*Deflactores!$W$5</f>
        <v>259.83898519521591</v>
      </c>
      <c r="H159" s="42">
        <f>293.54689345355*Deflactores!$X$5</f>
        <v>344.14498045226713</v>
      </c>
      <c r="I159" s="42">
        <f>259.38453810125*Deflactores!$Y$5</f>
        <v>289.06285997168197</v>
      </c>
      <c r="J159" s="42">
        <f>225.84207716947*Deflactores!$Z$5</f>
        <v>239.46725693060466</v>
      </c>
      <c r="K159" s="42">
        <f>107.790319604599*Deflactores!$AA$5</f>
        <v>107.79031960459901</v>
      </c>
    </row>
    <row r="160" spans="3:11" x14ac:dyDescent="0.2">
      <c r="C160" s="88" t="s">
        <v>143</v>
      </c>
      <c r="D160" s="50">
        <f>34.37731507223*Deflactores!$T$5</f>
        <v>53.468574119912468</v>
      </c>
      <c r="E160" s="50">
        <f>9.04283904153*Deflactores!$U$5</f>
        <v>13.841877372182491</v>
      </c>
      <c r="F160" s="50">
        <f>49.21251642515*Deflactores!$V$5</f>
        <v>71.321358419787572</v>
      </c>
      <c r="G160" s="50">
        <f>69.58122759627*Deflactores!$W$5</f>
        <v>89.14494548613321</v>
      </c>
      <c r="H160" s="50">
        <f>6.69529607481*Deflactores!$X$5</f>
        <v>7.8493507789488168</v>
      </c>
      <c r="I160" s="50">
        <f>9.3469045964*Deflactores!$Y$5</f>
        <v>10.416360953108112</v>
      </c>
      <c r="J160" s="50">
        <f>4.44491553261*Deflactores!$Z$5</f>
        <v>4.7130797910773223</v>
      </c>
      <c r="K160" s="50">
        <f>1.74264593479999*Deflactores!$AA$5</f>
        <v>1.7426459347999901</v>
      </c>
    </row>
    <row r="161" spans="1:11" x14ac:dyDescent="0.2">
      <c r="C161" s="87" t="s">
        <v>144</v>
      </c>
      <c r="D161" s="42">
        <f>0*Deflactores!$T$5</f>
        <v>0</v>
      </c>
      <c r="E161" s="42">
        <f>0*Deflactores!$U$5</f>
        <v>0</v>
      </c>
      <c r="F161" s="42">
        <f>0*Deflactores!$V$5</f>
        <v>0</v>
      </c>
      <c r="G161" s="42">
        <f>0*Deflactores!$W$5</f>
        <v>0</v>
      </c>
      <c r="H161" s="42">
        <f>0*Deflactores!$X$5</f>
        <v>0</v>
      </c>
      <c r="I161" s="42">
        <f>0*Deflactores!$Y$5</f>
        <v>0</v>
      </c>
      <c r="J161" s="42">
        <f>0*Deflactores!$Z$5</f>
        <v>0</v>
      </c>
      <c r="K161" s="42">
        <f>0*Deflactores!$AA$5</f>
        <v>0</v>
      </c>
    </row>
    <row r="162" spans="1:11" x14ac:dyDescent="0.2">
      <c r="C162" s="88" t="s">
        <v>145</v>
      </c>
      <c r="D162" s="50">
        <f>91.47373231699*Deflactores!$T$5</f>
        <v>142.27318294461392</v>
      </c>
      <c r="E162" s="50">
        <f>73.58368807993*Deflactores!$U$5</f>
        <v>112.63458105552951</v>
      </c>
      <c r="F162" s="50">
        <f>74.94174735737*Deflactores!$V$5</f>
        <v>108.60950855885568</v>
      </c>
      <c r="G162" s="50">
        <f>99.19816010856*Deflactores!$W$5</f>
        <v>127.08908538538545</v>
      </c>
      <c r="H162" s="50">
        <f>127.391837396459*Deflactores!$X$5</f>
        <v>149.35011191838785</v>
      </c>
      <c r="I162" s="50">
        <f>118.10396811954*Deflactores!$Y$5</f>
        <v>131.61721607828582</v>
      </c>
      <c r="J162" s="50">
        <f>168.1990992228*Deflactores!$Z$5</f>
        <v>178.3466456468079</v>
      </c>
      <c r="K162" s="50">
        <f>65.95324776753*Deflactores!$AA$5</f>
        <v>65.953247767530002</v>
      </c>
    </row>
    <row r="163" spans="1:11" x14ac:dyDescent="0.2">
      <c r="C163" s="87" t="s">
        <v>146</v>
      </c>
      <c r="D163" s="42">
        <f>215.32947305473*Deflactores!$T$5</f>
        <v>334.911550423233</v>
      </c>
      <c r="E163" s="42">
        <f>119.46329284322*Deflactores!$U$5</f>
        <v>182.86251059193881</v>
      </c>
      <c r="F163" s="42">
        <f>218.12428682316*Deflactores!$V$5</f>
        <v>316.11715007982798</v>
      </c>
      <c r="G163" s="42">
        <f>192.19723051931*Deflactores!$W$5</f>
        <v>246.23612185520182</v>
      </c>
      <c r="H163" s="42">
        <f>220.86208339093*Deflactores!$X$5</f>
        <v>258.93163602239235</v>
      </c>
      <c r="I163" s="42">
        <f>388.63239332129*Deflactores!$Y$5</f>
        <v>433.09902707940296</v>
      </c>
      <c r="J163" s="42">
        <f>541.55910581915*Deflactores!$Z$5</f>
        <v>574.23167180218525</v>
      </c>
      <c r="K163" s="42">
        <f>273.83248926908*Deflactores!$AA$5</f>
        <v>273.83248926907999</v>
      </c>
    </row>
    <row r="164" spans="1:11" x14ac:dyDescent="0.2">
      <c r="C164" s="88" t="s">
        <v>162</v>
      </c>
      <c r="D164" s="50">
        <f>548.24235006656*Deflactores!$T$5</f>
        <v>852.70582268039027</v>
      </c>
      <c r="E164" s="50">
        <f>473.635573172769*Deflactores!$U$5</f>
        <v>724.99416309986589</v>
      </c>
      <c r="F164" s="50">
        <f>487.87872383837*Deflactores!$V$5</f>
        <v>707.05942016170502</v>
      </c>
      <c r="G164" s="50">
        <f>557.27973769128*Deflactores!$W$5</f>
        <v>713.96659060494756</v>
      </c>
      <c r="H164" s="50">
        <f>655.11827281907*Deflactores!$X$5</f>
        <v>768.03969049298507</v>
      </c>
      <c r="I164" s="50">
        <f>702.60511774495*Deflactores!$Y$5</f>
        <v>782.99595747999945</v>
      </c>
      <c r="J164" s="50">
        <f>762.3533202902*Deflactores!$Z$5</f>
        <v>808.34652563367274</v>
      </c>
      <c r="K164" s="50">
        <f>350.80466191053*Deflactores!$AA$5</f>
        <v>350.80466191053</v>
      </c>
    </row>
    <row r="165" spans="1:11" x14ac:dyDescent="0.2">
      <c r="C165" s="87" t="s">
        <v>148</v>
      </c>
      <c r="D165" s="42">
        <f>0*Deflactores!$T$5</f>
        <v>0</v>
      </c>
      <c r="E165" s="42">
        <f>0*Deflactores!$U$5</f>
        <v>0</v>
      </c>
      <c r="F165" s="42">
        <f>0*Deflactores!$V$5</f>
        <v>0</v>
      </c>
      <c r="G165" s="42">
        <f>0*Deflactores!$W$5</f>
        <v>0</v>
      </c>
      <c r="H165" s="42">
        <f>0*Deflactores!$X$5</f>
        <v>0</v>
      </c>
      <c r="I165" s="42">
        <f>0*Deflactores!$Y$5</f>
        <v>0</v>
      </c>
      <c r="J165" s="42">
        <f>0*Deflactores!$Z$5</f>
        <v>0</v>
      </c>
      <c r="K165" s="42">
        <f>0*Deflactores!$AA$5</f>
        <v>0</v>
      </c>
    </row>
    <row r="166" spans="1:11" x14ac:dyDescent="0.2">
      <c r="C166" s="88" t="s">
        <v>149</v>
      </c>
      <c r="D166" s="50">
        <f>1398.74309314629*Deflactores!$T$5</f>
        <v>2175.5276290038846</v>
      </c>
      <c r="E166" s="50">
        <f>1446.65410521725*Deflactores!$U$5</f>
        <v>2214.3940229852346</v>
      </c>
      <c r="F166" s="50">
        <f>1896.87109434472*Deflactores!$V$5</f>
        <v>2749.0450199119664</v>
      </c>
      <c r="G166" s="50">
        <f>1923.36549638492*Deflactores!$W$5</f>
        <v>2464.1461245839605</v>
      </c>
      <c r="H166" s="50">
        <f>2211.3509788327*Deflactores!$X$5</f>
        <v>2592.5170947309093</v>
      </c>
      <c r="I166" s="50">
        <f>2599.87672683293*Deflactores!$Y$5</f>
        <v>2897.3500415001049</v>
      </c>
      <c r="J166" s="50">
        <f>1502.19468582512*Deflactores!$Z$5</f>
        <v>1592.8229375978385</v>
      </c>
      <c r="K166" s="50">
        <f>1078.30875420987*Deflactores!$AA$5</f>
        <v>1078.3087542098699</v>
      </c>
    </row>
    <row r="167" spans="1:11" x14ac:dyDescent="0.2">
      <c r="C167" s="87" t="s">
        <v>163</v>
      </c>
      <c r="D167" s="42">
        <f>1446.879506759*Deflactores!$T$5</f>
        <v>2250.3963438441847</v>
      </c>
      <c r="E167" s="42">
        <f>1462.99955831022*Deflactores!$U$5</f>
        <v>2239.4140146346022</v>
      </c>
      <c r="F167" s="42">
        <f>1516.27015030322*Deflactores!$V$5</f>
        <v>2197.4581815071551</v>
      </c>
      <c r="G167" s="42">
        <f>1642.93222241793*Deflactores!$W$5</f>
        <v>2104.8651836764834</v>
      </c>
      <c r="H167" s="42">
        <f>2120.33202555315*Deflactores!$X$5</f>
        <v>2485.809387731676</v>
      </c>
      <c r="I167" s="42">
        <f>2072.51670108476*Deflactores!$Y$5</f>
        <v>2309.6504106994389</v>
      </c>
      <c r="J167" s="42">
        <f>2679.1369046797*Deflactores!$Z$5</f>
        <v>2840.7707436368164</v>
      </c>
      <c r="K167" s="42">
        <f>844.74027361642*Deflactores!$AA$5</f>
        <v>844.74027361642004</v>
      </c>
    </row>
    <row r="168" spans="1:11" x14ac:dyDescent="0.2">
      <c r="C168" s="88" t="s">
        <v>150</v>
      </c>
      <c r="D168" s="50">
        <f>2243.91091664753*Deflactores!$T$5</f>
        <v>3490.0549072306121</v>
      </c>
      <c r="E168" s="50">
        <f>2072.55515565501*Deflactores!$U$5</f>
        <v>3172.4610136162923</v>
      </c>
      <c r="F168" s="50">
        <f>2290.43020684739*Deflactores!$V$5</f>
        <v>3319.4115152906038</v>
      </c>
      <c r="G168" s="50">
        <f>1928.22927244582*Deflactores!$W$5</f>
        <v>2470.3774180920523</v>
      </c>
      <c r="H168" s="50">
        <f>1913.07986061319*Deflactores!$X$5</f>
        <v>2242.8335844015046</v>
      </c>
      <c r="I168" s="50">
        <f>2386.91321570537*Deflactores!$Y$5</f>
        <v>2660.0196206246942</v>
      </c>
      <c r="J168" s="50">
        <f>3061.48649292441*Deflactores!$Z$5</f>
        <v>3246.1876979663716</v>
      </c>
      <c r="K168" s="50">
        <f>1276.27997891989*Deflactores!$AA$5</f>
        <v>1276.27997891989</v>
      </c>
    </row>
    <row r="169" spans="1:11" x14ac:dyDescent="0.2">
      <c r="C169" s="87" t="s">
        <v>151</v>
      </c>
      <c r="D169" s="42">
        <f>0*Deflactores!$T$5</f>
        <v>0</v>
      </c>
      <c r="E169" s="42">
        <f>0*Deflactores!$U$5</f>
        <v>0</v>
      </c>
      <c r="F169" s="42">
        <f>0*Deflactores!$V$5</f>
        <v>0</v>
      </c>
      <c r="G169" s="42">
        <f>0*Deflactores!$W$5</f>
        <v>0</v>
      </c>
      <c r="H169" s="42">
        <f>0*Deflactores!$X$5</f>
        <v>0</v>
      </c>
      <c r="I169" s="42">
        <f>0*Deflactores!$Y$5</f>
        <v>0</v>
      </c>
      <c r="J169" s="42">
        <f>0*Deflactores!$Z$5</f>
        <v>0</v>
      </c>
      <c r="K169" s="42">
        <f>0*Deflactores!$AA$5</f>
        <v>0</v>
      </c>
    </row>
    <row r="170" spans="1:11" x14ac:dyDescent="0.2">
      <c r="C170" s="79" t="s">
        <v>152</v>
      </c>
      <c r="D170" s="44">
        <f t="shared" ref="D170:K170" si="8">SUM(D139:D169)</f>
        <v>20145.395893950252</v>
      </c>
      <c r="E170" s="44">
        <f t="shared" si="8"/>
        <v>19584.862129036359</v>
      </c>
      <c r="F170" s="44">
        <f t="shared" si="8"/>
        <v>20619.659615942794</v>
      </c>
      <c r="G170" s="44">
        <f t="shared" si="8"/>
        <v>19240.31643778527</v>
      </c>
      <c r="H170" s="44">
        <f t="shared" si="8"/>
        <v>20169.863044989739</v>
      </c>
      <c r="I170" s="44">
        <f t="shared" si="8"/>
        <v>24689.67256197787</v>
      </c>
      <c r="J170" s="44">
        <f t="shared" si="8"/>
        <v>23588.206692139371</v>
      </c>
      <c r="K170" s="44">
        <f t="shared" si="8"/>
        <v>9815.8282191488579</v>
      </c>
    </row>
    <row r="171" spans="1:11" s="31" customFormat="1" x14ac:dyDescent="0.2">
      <c r="A171" s="5"/>
      <c r="B171" s="5"/>
      <c r="C171" s="72" t="str">
        <f>+'C1 Aprop Resumen 2000-2026'!B20</f>
        <v>* Información con corte a 30 de Junio</v>
      </c>
      <c r="D171" s="123">
        <f>+D170-'C7 Ejec. Prop 19-26'!D98</f>
        <v>0</v>
      </c>
      <c r="E171" s="123">
        <f>+E170-'C7 Ejec. Prop 19-26'!E98</f>
        <v>-3.637978807091713E-11</v>
      </c>
      <c r="F171" s="123">
        <f>+F170-'C7 Ejec. Prop 19-26'!F98</f>
        <v>0</v>
      </c>
      <c r="G171" s="123">
        <f>+G170-'C7 Ejec. Prop 19-26'!G98</f>
        <v>0</v>
      </c>
      <c r="H171" s="123">
        <f>+H170-'C7 Ejec. Prop 19-26'!H98</f>
        <v>0</v>
      </c>
      <c r="I171" s="123">
        <f>+I170-'C7 Ejec. Prop 19-26'!I98</f>
        <v>4.0017766878008842E-11</v>
      </c>
      <c r="J171" s="123">
        <f>+J170-'C7 Ejec. Prop 19-26'!J98</f>
        <v>5.8207660913467407E-11</v>
      </c>
      <c r="K171" s="123">
        <f>+K170-'C7 Ejec. Prop 19-26'!K98</f>
        <v>0</v>
      </c>
    </row>
    <row r="172" spans="1:11" x14ac:dyDescent="0.2">
      <c r="C172" s="1" t="s">
        <v>52</v>
      </c>
      <c r="D172" s="11"/>
      <c r="E172" s="11"/>
      <c r="F172" s="11"/>
      <c r="G172" s="11"/>
      <c r="H172" s="11"/>
    </row>
    <row r="173" spans="1:11" x14ac:dyDescent="0.2">
      <c r="B173" s="9"/>
      <c r="D173" s="11"/>
      <c r="E173" s="11"/>
      <c r="F173" s="11"/>
      <c r="G173" s="11"/>
      <c r="H173" s="11"/>
    </row>
    <row r="174" spans="1:11" x14ac:dyDescent="0.2">
      <c r="D174" s="11"/>
      <c r="E174" s="11"/>
      <c r="F174" s="11"/>
      <c r="G174" s="11"/>
      <c r="H174" s="11"/>
    </row>
    <row r="175" spans="1:11" x14ac:dyDescent="0.2">
      <c r="D175" s="11"/>
      <c r="E175" s="11"/>
      <c r="F175" s="11"/>
      <c r="G175" s="11"/>
      <c r="H175" s="11"/>
    </row>
    <row r="176" spans="1:11" ht="18" customHeight="1" x14ac:dyDescent="0.2">
      <c r="D176" s="164" t="s">
        <v>157</v>
      </c>
      <c r="E176" s="182"/>
      <c r="F176" s="182"/>
      <c r="G176" s="182"/>
      <c r="H176" s="182"/>
      <c r="I176" s="182"/>
      <c r="J176" s="182"/>
      <c r="K176" s="182"/>
    </row>
    <row r="177" spans="3:11" x14ac:dyDescent="0.2">
      <c r="D177" s="28"/>
      <c r="E177" s="28"/>
      <c r="F177" s="28"/>
      <c r="G177" s="28"/>
      <c r="H177" s="28"/>
    </row>
    <row r="178" spans="3:11" ht="0.75" customHeight="1" x14ac:dyDescent="0.2">
      <c r="D178" s="29"/>
      <c r="E178" s="29"/>
      <c r="F178" s="29"/>
      <c r="G178" s="29"/>
      <c r="H178" s="29"/>
    </row>
    <row r="179" spans="3:11" x14ac:dyDescent="0.2">
      <c r="C179" s="181" t="s">
        <v>120</v>
      </c>
      <c r="D179" s="155">
        <v>2019</v>
      </c>
      <c r="E179" s="155">
        <v>2020</v>
      </c>
      <c r="F179" s="155">
        <v>2021</v>
      </c>
      <c r="G179" s="155">
        <v>2022</v>
      </c>
      <c r="H179" s="155">
        <v>2023</v>
      </c>
      <c r="I179" s="155">
        <v>2024</v>
      </c>
      <c r="J179" s="155">
        <v>2025</v>
      </c>
      <c r="K179" s="155" t="s">
        <v>36</v>
      </c>
    </row>
    <row r="180" spans="3:11" ht="12" customHeight="1" thickBot="1" x14ac:dyDescent="0.25">
      <c r="C180" s="162"/>
      <c r="D180" s="156"/>
      <c r="E180" s="156"/>
      <c r="F180" s="156"/>
      <c r="G180" s="156"/>
      <c r="H180" s="156"/>
      <c r="I180" s="156"/>
      <c r="J180" s="156"/>
      <c r="K180" s="156"/>
    </row>
    <row r="181" spans="3:11" x14ac:dyDescent="0.2">
      <c r="C181" s="87" t="s">
        <v>123</v>
      </c>
      <c r="D181" s="47">
        <f t="shared" ref="D181:D211" si="9">+IFERROR(IF(D139&gt;0,+((D139/D14)*100),""),"0")</f>
        <v>71.623279004580056</v>
      </c>
      <c r="E181" s="47">
        <f t="shared" ref="E181:K190" si="10">+IFERROR(IF(E139&gt;0,+((E139/E14)*100)," "),"0")</f>
        <v>88.948786844435929</v>
      </c>
      <c r="F181" s="47">
        <f t="shared" si="10"/>
        <v>94.903818683107247</v>
      </c>
      <c r="G181" s="47">
        <f t="shared" si="10"/>
        <v>88.701318623753494</v>
      </c>
      <c r="H181" s="47">
        <f t="shared" si="10"/>
        <v>73.762851635186593</v>
      </c>
      <c r="I181" s="47">
        <f t="shared" si="10"/>
        <v>78.826566718366436</v>
      </c>
      <c r="J181" s="47">
        <f t="shared" si="10"/>
        <v>83.131979920218214</v>
      </c>
      <c r="K181" s="47">
        <f t="shared" si="10"/>
        <v>24.97740255798697</v>
      </c>
    </row>
    <row r="182" spans="3:11" x14ac:dyDescent="0.2">
      <c r="C182" s="88" t="s">
        <v>124</v>
      </c>
      <c r="D182" s="116">
        <f t="shared" si="9"/>
        <v>94.334344926980137</v>
      </c>
      <c r="E182" s="116">
        <f t="shared" si="10"/>
        <v>91.330009037862013</v>
      </c>
      <c r="F182" s="116">
        <f t="shared" si="10"/>
        <v>84.732825067387523</v>
      </c>
      <c r="G182" s="116">
        <f t="shared" si="10"/>
        <v>84.669599989604009</v>
      </c>
      <c r="H182" s="116">
        <f t="shared" si="10"/>
        <v>81.20420890692246</v>
      </c>
      <c r="I182" s="116">
        <f t="shared" si="10"/>
        <v>80.762161985705575</v>
      </c>
      <c r="J182" s="116">
        <f t="shared" si="10"/>
        <v>91.461226372012774</v>
      </c>
      <c r="K182" s="116">
        <f t="shared" si="10"/>
        <v>52.532341786653788</v>
      </c>
    </row>
    <row r="183" spans="3:11" x14ac:dyDescent="0.2">
      <c r="C183" s="87" t="s">
        <v>125</v>
      </c>
      <c r="D183" s="47" t="str">
        <f t="shared" si="9"/>
        <v/>
      </c>
      <c r="E183" s="47" t="str">
        <f t="shared" si="10"/>
        <v xml:space="preserve"> </v>
      </c>
      <c r="F183" s="47" t="str">
        <f t="shared" si="10"/>
        <v xml:space="preserve"> </v>
      </c>
      <c r="G183" s="47" t="str">
        <f t="shared" si="10"/>
        <v xml:space="preserve"> </v>
      </c>
      <c r="H183" s="47" t="str">
        <f t="shared" si="10"/>
        <v xml:space="preserve"> </v>
      </c>
      <c r="I183" s="47" t="str">
        <f t="shared" si="10"/>
        <v xml:space="preserve"> </v>
      </c>
      <c r="J183" s="47" t="str">
        <f t="shared" si="10"/>
        <v xml:space="preserve"> </v>
      </c>
      <c r="K183" s="47" t="str">
        <f t="shared" si="10"/>
        <v xml:space="preserve"> </v>
      </c>
    </row>
    <row r="184" spans="3:11" x14ac:dyDescent="0.2">
      <c r="C184" s="88" t="s">
        <v>126</v>
      </c>
      <c r="D184" s="116">
        <f t="shared" si="9"/>
        <v>94.966124051802566</v>
      </c>
      <c r="E184" s="116">
        <f t="shared" si="10"/>
        <v>90.903978343851691</v>
      </c>
      <c r="F184" s="116">
        <f t="shared" si="10"/>
        <v>87.265226864075132</v>
      </c>
      <c r="G184" s="116">
        <f t="shared" si="10"/>
        <v>90.722619834234436</v>
      </c>
      <c r="H184" s="116">
        <f t="shared" si="10"/>
        <v>88.835453144095951</v>
      </c>
      <c r="I184" s="116">
        <f t="shared" si="10"/>
        <v>88.445695312859215</v>
      </c>
      <c r="J184" s="116">
        <f t="shared" si="10"/>
        <v>88.482279968909637</v>
      </c>
      <c r="K184" s="116">
        <f t="shared" si="10"/>
        <v>32.410738408207777</v>
      </c>
    </row>
    <row r="185" spans="3:11" x14ac:dyDescent="0.2">
      <c r="C185" s="87" t="s">
        <v>127</v>
      </c>
      <c r="D185" s="47" t="str">
        <f t="shared" si="9"/>
        <v/>
      </c>
      <c r="E185" s="47" t="str">
        <f t="shared" si="10"/>
        <v xml:space="preserve"> </v>
      </c>
      <c r="F185" s="47" t="str">
        <f t="shared" si="10"/>
        <v xml:space="preserve"> </v>
      </c>
      <c r="G185" s="47" t="str">
        <f t="shared" si="10"/>
        <v xml:space="preserve"> </v>
      </c>
      <c r="H185" s="47" t="str">
        <f t="shared" si="10"/>
        <v xml:space="preserve"> </v>
      </c>
      <c r="I185" s="47" t="str">
        <f t="shared" si="10"/>
        <v xml:space="preserve"> </v>
      </c>
      <c r="J185" s="47" t="str">
        <f t="shared" si="10"/>
        <v xml:space="preserve"> </v>
      </c>
      <c r="K185" s="47" t="str">
        <f t="shared" si="10"/>
        <v xml:space="preserve"> </v>
      </c>
    </row>
    <row r="186" spans="3:11" x14ac:dyDescent="0.2">
      <c r="C186" s="88" t="s">
        <v>128</v>
      </c>
      <c r="D186" s="116">
        <f t="shared" si="9"/>
        <v>92.141774844339452</v>
      </c>
      <c r="E186" s="116">
        <f t="shared" si="10"/>
        <v>90.645734425950593</v>
      </c>
      <c r="F186" s="116">
        <f t="shared" si="10"/>
        <v>61.955396309385883</v>
      </c>
      <c r="G186" s="116">
        <f t="shared" si="10"/>
        <v>55.548724624006887</v>
      </c>
      <c r="H186" s="116">
        <f t="shared" si="10"/>
        <v>73.397239814052455</v>
      </c>
      <c r="I186" s="116">
        <f t="shared" si="10"/>
        <v>55.362626013660545</v>
      </c>
      <c r="J186" s="116">
        <f t="shared" si="10"/>
        <v>88.818952210015027</v>
      </c>
      <c r="K186" s="116">
        <f t="shared" si="10"/>
        <v>17.422046436135673</v>
      </c>
    </row>
    <row r="187" spans="3:11" x14ac:dyDescent="0.2">
      <c r="C187" s="87" t="s">
        <v>129</v>
      </c>
      <c r="D187" s="47">
        <f t="shared" si="9"/>
        <v>92.080529538048182</v>
      </c>
      <c r="E187" s="47">
        <f t="shared" si="10"/>
        <v>95.467754084217646</v>
      </c>
      <c r="F187" s="47">
        <f t="shared" si="10"/>
        <v>74.382031376474714</v>
      </c>
      <c r="G187" s="47">
        <f t="shared" si="10"/>
        <v>88.812845523740293</v>
      </c>
      <c r="H187" s="47">
        <f t="shared" si="10"/>
        <v>84.940883370295879</v>
      </c>
      <c r="I187" s="47">
        <f t="shared" si="10"/>
        <v>85.407550274173545</v>
      </c>
      <c r="J187" s="47">
        <f t="shared" si="10"/>
        <v>93.998966897719072</v>
      </c>
      <c r="K187" s="47">
        <f t="shared" si="10"/>
        <v>31.586007295721846</v>
      </c>
    </row>
    <row r="188" spans="3:11" x14ac:dyDescent="0.2">
      <c r="C188" s="88" t="s">
        <v>130</v>
      </c>
      <c r="D188" s="116" t="str">
        <f t="shared" si="9"/>
        <v/>
      </c>
      <c r="E188" s="116" t="str">
        <f t="shared" si="10"/>
        <v xml:space="preserve"> </v>
      </c>
      <c r="F188" s="116" t="str">
        <f t="shared" si="10"/>
        <v xml:space="preserve"> </v>
      </c>
      <c r="G188" s="116" t="str">
        <f t="shared" si="10"/>
        <v xml:space="preserve"> </v>
      </c>
      <c r="H188" s="116" t="str">
        <f t="shared" si="10"/>
        <v xml:space="preserve"> </v>
      </c>
      <c r="I188" s="116" t="str">
        <f t="shared" si="10"/>
        <v xml:space="preserve"> </v>
      </c>
      <c r="J188" s="116" t="str">
        <f t="shared" si="10"/>
        <v xml:space="preserve"> </v>
      </c>
      <c r="K188" s="116" t="str">
        <f t="shared" si="10"/>
        <v xml:space="preserve"> </v>
      </c>
    </row>
    <row r="189" spans="3:11" x14ac:dyDescent="0.2">
      <c r="C189" s="87" t="s">
        <v>131</v>
      </c>
      <c r="D189" s="47">
        <f t="shared" si="9"/>
        <v>83.466303874552466</v>
      </c>
      <c r="E189" s="47">
        <f t="shared" si="10"/>
        <v>65.683751930347114</v>
      </c>
      <c r="F189" s="47">
        <f t="shared" si="10"/>
        <v>66.836983767318415</v>
      </c>
      <c r="G189" s="47">
        <f t="shared" si="10"/>
        <v>71.587060493951284</v>
      </c>
      <c r="H189" s="47">
        <f t="shared" si="10"/>
        <v>76.083576271480041</v>
      </c>
      <c r="I189" s="47">
        <f t="shared" si="10"/>
        <v>76.887312017802927</v>
      </c>
      <c r="J189" s="47">
        <f t="shared" si="10"/>
        <v>72.033015984416693</v>
      </c>
      <c r="K189" s="47">
        <f t="shared" si="10"/>
        <v>23.381356778634789</v>
      </c>
    </row>
    <row r="190" spans="3:11" x14ac:dyDescent="0.2">
      <c r="C190" s="88" t="s">
        <v>132</v>
      </c>
      <c r="D190" s="116">
        <f t="shared" si="9"/>
        <v>85.050742965668931</v>
      </c>
      <c r="E190" s="116">
        <f t="shared" si="10"/>
        <v>67.309730756216652</v>
      </c>
      <c r="F190" s="116">
        <f t="shared" si="10"/>
        <v>55.203054950749454</v>
      </c>
      <c r="G190" s="116">
        <f t="shared" si="10"/>
        <v>65.035178549979747</v>
      </c>
      <c r="H190" s="116">
        <f t="shared" si="10"/>
        <v>68.775195689736478</v>
      </c>
      <c r="I190" s="116">
        <f t="shared" si="10"/>
        <v>83.968715431824549</v>
      </c>
      <c r="J190" s="116">
        <f t="shared" si="10"/>
        <v>83.337039301668199</v>
      </c>
      <c r="K190" s="116">
        <f t="shared" si="10"/>
        <v>28.280733565907401</v>
      </c>
    </row>
    <row r="191" spans="3:11" x14ac:dyDescent="0.2">
      <c r="C191" s="87" t="s">
        <v>133</v>
      </c>
      <c r="D191" s="47">
        <f t="shared" si="9"/>
        <v>83.825457908891536</v>
      </c>
      <c r="E191" s="47">
        <f t="shared" ref="E191:K200" si="11">+IFERROR(IF(E149&gt;0,+((E149/E24)*100)," "),"0")</f>
        <v>75.376781876334491</v>
      </c>
      <c r="F191" s="47">
        <f t="shared" si="11"/>
        <v>81.606173079795397</v>
      </c>
      <c r="G191" s="47">
        <f t="shared" si="11"/>
        <v>75.345930751822181</v>
      </c>
      <c r="H191" s="47">
        <f t="shared" si="11"/>
        <v>79.448678104943198</v>
      </c>
      <c r="I191" s="47">
        <f t="shared" si="11"/>
        <v>87.454453564967352</v>
      </c>
      <c r="J191" s="47">
        <f t="shared" si="11"/>
        <v>90.041905711646351</v>
      </c>
      <c r="K191" s="47">
        <f t="shared" si="11"/>
        <v>30.190167699012786</v>
      </c>
    </row>
    <row r="192" spans="3:11" x14ac:dyDescent="0.2">
      <c r="C192" s="88" t="s">
        <v>134</v>
      </c>
      <c r="D192" s="116">
        <f t="shared" si="9"/>
        <v>88.963246675566083</v>
      </c>
      <c r="E192" s="116">
        <f t="shared" si="11"/>
        <v>84.388442389497527</v>
      </c>
      <c r="F192" s="116">
        <f t="shared" si="11"/>
        <v>77.115277043842781</v>
      </c>
      <c r="G192" s="116">
        <f t="shared" si="11"/>
        <v>88.95436660490607</v>
      </c>
      <c r="H192" s="116">
        <f t="shared" si="11"/>
        <v>85.932370593976032</v>
      </c>
      <c r="I192" s="116">
        <f t="shared" si="11"/>
        <v>76.663185097357527</v>
      </c>
      <c r="J192" s="116">
        <f t="shared" si="11"/>
        <v>88.532095040488457</v>
      </c>
      <c r="K192" s="116">
        <f t="shared" si="11"/>
        <v>33.112653460025882</v>
      </c>
    </row>
    <row r="193" spans="3:11" x14ac:dyDescent="0.2">
      <c r="C193" s="87" t="s">
        <v>135</v>
      </c>
      <c r="D193" s="47" t="str">
        <f t="shared" si="9"/>
        <v/>
      </c>
      <c r="E193" s="47" t="str">
        <f t="shared" si="11"/>
        <v xml:space="preserve"> </v>
      </c>
      <c r="F193" s="47" t="str">
        <f t="shared" si="11"/>
        <v xml:space="preserve"> </v>
      </c>
      <c r="G193" s="47" t="str">
        <f t="shared" si="11"/>
        <v xml:space="preserve"> </v>
      </c>
      <c r="H193" s="47" t="str">
        <f t="shared" si="11"/>
        <v xml:space="preserve"> </v>
      </c>
      <c r="I193" s="47">
        <f t="shared" si="11"/>
        <v>87.675894697187744</v>
      </c>
      <c r="J193" s="47">
        <f t="shared" si="11"/>
        <v>95.53060630714225</v>
      </c>
      <c r="K193" s="47">
        <f t="shared" si="11"/>
        <v>41.204952652281783</v>
      </c>
    </row>
    <row r="194" spans="3:11" x14ac:dyDescent="0.2">
      <c r="C194" s="88" t="s">
        <v>136</v>
      </c>
      <c r="D194" s="116">
        <f t="shared" si="9"/>
        <v>93.035994914301853</v>
      </c>
      <c r="E194" s="116">
        <f t="shared" si="11"/>
        <v>92.588107471130925</v>
      </c>
      <c r="F194" s="116">
        <f t="shared" si="11"/>
        <v>84.978297443306019</v>
      </c>
      <c r="G194" s="116">
        <f t="shared" si="11"/>
        <v>92.289905132882936</v>
      </c>
      <c r="H194" s="116">
        <f t="shared" si="11"/>
        <v>90.05962027877581</v>
      </c>
      <c r="I194" s="116">
        <f t="shared" si="11"/>
        <v>1.3009201506773245</v>
      </c>
      <c r="J194" s="116">
        <f t="shared" si="11"/>
        <v>86.041566397993051</v>
      </c>
      <c r="K194" s="116">
        <f t="shared" si="11"/>
        <v>0.3194594375867667</v>
      </c>
    </row>
    <row r="195" spans="3:11" x14ac:dyDescent="0.2">
      <c r="C195" s="87" t="s">
        <v>137</v>
      </c>
      <c r="D195" s="47">
        <f t="shared" si="9"/>
        <v>61.565474023021871</v>
      </c>
      <c r="E195" s="47">
        <f t="shared" si="11"/>
        <v>72.974030608825331</v>
      </c>
      <c r="F195" s="47">
        <f t="shared" si="11"/>
        <v>53.304583753540768</v>
      </c>
      <c r="G195" s="47">
        <f t="shared" si="11"/>
        <v>32.141291791237435</v>
      </c>
      <c r="H195" s="47">
        <f t="shared" si="11"/>
        <v>22.270805580213544</v>
      </c>
      <c r="I195" s="47">
        <f t="shared" si="11"/>
        <v>66.008994918351178</v>
      </c>
      <c r="J195" s="47">
        <f t="shared" si="11"/>
        <v>70.553171797436264</v>
      </c>
      <c r="K195" s="47">
        <f t="shared" si="11"/>
        <v>34.938777747978818</v>
      </c>
    </row>
    <row r="196" spans="3:11" x14ac:dyDescent="0.2">
      <c r="C196" s="88" t="s">
        <v>138</v>
      </c>
      <c r="D196" s="116" t="str">
        <f t="shared" si="9"/>
        <v/>
      </c>
      <c r="E196" s="116" t="str">
        <f t="shared" si="11"/>
        <v xml:space="preserve"> </v>
      </c>
      <c r="F196" s="116" t="str">
        <f t="shared" si="11"/>
        <v xml:space="preserve"> </v>
      </c>
      <c r="G196" s="116" t="str">
        <f t="shared" si="11"/>
        <v xml:space="preserve"> </v>
      </c>
      <c r="H196" s="116" t="str">
        <f t="shared" si="11"/>
        <v xml:space="preserve"> </v>
      </c>
      <c r="I196" s="116" t="str">
        <f t="shared" si="11"/>
        <v xml:space="preserve"> </v>
      </c>
      <c r="J196" s="116" t="str">
        <f t="shared" si="11"/>
        <v xml:space="preserve"> </v>
      </c>
      <c r="K196" s="116" t="str">
        <f t="shared" si="11"/>
        <v xml:space="preserve"> </v>
      </c>
    </row>
    <row r="197" spans="3:11" x14ac:dyDescent="0.2">
      <c r="C197" s="87" t="s">
        <v>160</v>
      </c>
      <c r="D197" s="47">
        <f t="shared" si="9"/>
        <v>79.049369598101933</v>
      </c>
      <c r="E197" s="47">
        <f t="shared" si="11"/>
        <v>46.544666557463714</v>
      </c>
      <c r="F197" s="47">
        <f t="shared" si="11"/>
        <v>81.201338003968402</v>
      </c>
      <c r="G197" s="47">
        <f t="shared" si="11"/>
        <v>66.924871578796342</v>
      </c>
      <c r="H197" s="47">
        <f t="shared" si="11"/>
        <v>80.724658285339771</v>
      </c>
      <c r="I197" s="47">
        <f t="shared" si="11"/>
        <v>79.908212582377189</v>
      </c>
      <c r="J197" s="47">
        <f t="shared" si="11"/>
        <v>73.925377635303136</v>
      </c>
      <c r="K197" s="47">
        <f t="shared" si="11"/>
        <v>28.422785205385537</v>
      </c>
    </row>
    <row r="198" spans="3:11" x14ac:dyDescent="0.2">
      <c r="C198" s="88" t="s">
        <v>161</v>
      </c>
      <c r="D198" s="116">
        <f t="shared" si="9"/>
        <v>89.098092540804984</v>
      </c>
      <c r="E198" s="116">
        <f t="shared" si="11"/>
        <v>86.614197019853009</v>
      </c>
      <c r="F198" s="116">
        <f t="shared" si="11"/>
        <v>77.290199807455608</v>
      </c>
      <c r="G198" s="116">
        <f t="shared" si="11"/>
        <v>73.583931550843886</v>
      </c>
      <c r="H198" s="116">
        <f t="shared" si="11"/>
        <v>54.533285778077733</v>
      </c>
      <c r="I198" s="116">
        <f t="shared" si="11"/>
        <v>71.705286276468954</v>
      </c>
      <c r="J198" s="116">
        <f t="shared" si="11"/>
        <v>83.308859858308153</v>
      </c>
      <c r="K198" s="116">
        <f t="shared" si="11"/>
        <v>25.478449563045132</v>
      </c>
    </row>
    <row r="199" spans="3:11" x14ac:dyDescent="0.2">
      <c r="C199" s="87" t="s">
        <v>140</v>
      </c>
      <c r="D199" s="47">
        <f t="shared" si="9"/>
        <v>86.476187223922466</v>
      </c>
      <c r="E199" s="47">
        <f t="shared" si="11"/>
        <v>90.255539751842463</v>
      </c>
      <c r="F199" s="47">
        <f t="shared" si="11"/>
        <v>82.05299773450578</v>
      </c>
      <c r="G199" s="47">
        <f t="shared" si="11"/>
        <v>80.494362138508237</v>
      </c>
      <c r="H199" s="47">
        <f t="shared" si="11"/>
        <v>81.130206749422712</v>
      </c>
      <c r="I199" s="47">
        <f t="shared" si="11"/>
        <v>95.742011352116705</v>
      </c>
      <c r="J199" s="47">
        <f t="shared" si="11"/>
        <v>94.951451364829609</v>
      </c>
      <c r="K199" s="47">
        <f t="shared" si="11"/>
        <v>51.485040759438149</v>
      </c>
    </row>
    <row r="200" spans="3:11" x14ac:dyDescent="0.2">
      <c r="C200" s="88" t="s">
        <v>141</v>
      </c>
      <c r="D200" s="116">
        <f t="shared" si="9"/>
        <v>79.390823161094218</v>
      </c>
      <c r="E200" s="116">
        <f t="shared" si="11"/>
        <v>60.409535237691479</v>
      </c>
      <c r="F200" s="116">
        <f t="shared" si="11"/>
        <v>56.878484770122284</v>
      </c>
      <c r="G200" s="116">
        <f t="shared" si="11"/>
        <v>52.575072862152595</v>
      </c>
      <c r="H200" s="116">
        <f t="shared" si="11"/>
        <v>46.861551620716654</v>
      </c>
      <c r="I200" s="116">
        <f t="shared" si="11"/>
        <v>96.616160013859158</v>
      </c>
      <c r="J200" s="116">
        <f t="shared" si="11"/>
        <v>88.071609157129373</v>
      </c>
      <c r="K200" s="116">
        <f t="shared" si="11"/>
        <v>28.497789223276389</v>
      </c>
    </row>
    <row r="201" spans="3:11" x14ac:dyDescent="0.2">
      <c r="C201" s="87" t="s">
        <v>142</v>
      </c>
      <c r="D201" s="47">
        <f t="shared" si="9"/>
        <v>93.448784289647378</v>
      </c>
      <c r="E201" s="47">
        <f t="shared" ref="E201:K210" si="12">+IFERROR(IF(E159&gt;0,+((E159/E34)*100)," "),"0")</f>
        <v>89.155297328457848</v>
      </c>
      <c r="F201" s="47">
        <f t="shared" si="12"/>
        <v>40.031188138507936</v>
      </c>
      <c r="G201" s="47">
        <f t="shared" si="12"/>
        <v>66.84276226738703</v>
      </c>
      <c r="H201" s="47">
        <f t="shared" si="12"/>
        <v>89.246440579437632</v>
      </c>
      <c r="I201" s="47">
        <f t="shared" si="12"/>
        <v>87.222774825987798</v>
      </c>
      <c r="J201" s="47">
        <f t="shared" si="12"/>
        <v>87.14867308668542</v>
      </c>
      <c r="K201" s="47">
        <f t="shared" si="12"/>
        <v>30.277167136975823</v>
      </c>
    </row>
    <row r="202" spans="3:11" x14ac:dyDescent="0.2">
      <c r="C202" s="88" t="s">
        <v>143</v>
      </c>
      <c r="D202" s="116">
        <f t="shared" si="9"/>
        <v>52.544152794046241</v>
      </c>
      <c r="E202" s="116">
        <f t="shared" si="12"/>
        <v>24.324556812749826</v>
      </c>
      <c r="F202" s="116">
        <f t="shared" si="12"/>
        <v>35.086537670138675</v>
      </c>
      <c r="G202" s="116">
        <f t="shared" si="12"/>
        <v>53.5511412386359</v>
      </c>
      <c r="H202" s="116">
        <f t="shared" si="12"/>
        <v>7.8253599561365812</v>
      </c>
      <c r="I202" s="116">
        <f t="shared" si="12"/>
        <v>16.651080893497301</v>
      </c>
      <c r="J202" s="116">
        <f t="shared" si="12"/>
        <v>49.498392997229637</v>
      </c>
      <c r="K202" s="116">
        <f t="shared" si="12"/>
        <v>13.413841467380719</v>
      </c>
    </row>
    <row r="203" spans="3:11" x14ac:dyDescent="0.2">
      <c r="C203" s="87" t="s">
        <v>144</v>
      </c>
      <c r="D203" s="47" t="str">
        <f t="shared" si="9"/>
        <v/>
      </c>
      <c r="E203" s="47" t="str">
        <f t="shared" si="12"/>
        <v xml:space="preserve"> </v>
      </c>
      <c r="F203" s="47" t="str">
        <f t="shared" si="12"/>
        <v xml:space="preserve"> </v>
      </c>
      <c r="G203" s="47" t="str">
        <f t="shared" si="12"/>
        <v xml:space="preserve"> </v>
      </c>
      <c r="H203" s="47" t="str">
        <f t="shared" si="12"/>
        <v xml:space="preserve"> </v>
      </c>
      <c r="I203" s="47" t="str">
        <f t="shared" si="12"/>
        <v xml:space="preserve"> </v>
      </c>
      <c r="J203" s="47" t="str">
        <f t="shared" si="12"/>
        <v xml:space="preserve"> </v>
      </c>
      <c r="K203" s="47" t="str">
        <f t="shared" si="12"/>
        <v xml:space="preserve"> </v>
      </c>
    </row>
    <row r="204" spans="3:11" x14ac:dyDescent="0.2">
      <c r="C204" s="88" t="s">
        <v>145</v>
      </c>
      <c r="D204" s="116">
        <f t="shared" si="9"/>
        <v>94.0558430583676</v>
      </c>
      <c r="E204" s="116">
        <f t="shared" si="12"/>
        <v>94.48439026420408</v>
      </c>
      <c r="F204" s="116">
        <f t="shared" si="12"/>
        <v>69.109525399390094</v>
      </c>
      <c r="G204" s="116">
        <f t="shared" si="12"/>
        <v>72.494147714224312</v>
      </c>
      <c r="H204" s="116">
        <f t="shared" si="12"/>
        <v>73.268320856207126</v>
      </c>
      <c r="I204" s="116">
        <f t="shared" si="12"/>
        <v>53.776348813812092</v>
      </c>
      <c r="J204" s="116">
        <f t="shared" si="12"/>
        <v>66.944969684160597</v>
      </c>
      <c r="K204" s="116">
        <f t="shared" si="12"/>
        <v>25.434026057681379</v>
      </c>
    </row>
    <row r="205" spans="3:11" x14ac:dyDescent="0.2">
      <c r="C205" s="87" t="s">
        <v>146</v>
      </c>
      <c r="D205" s="47">
        <f t="shared" si="9"/>
        <v>96.56636428059609</v>
      </c>
      <c r="E205" s="47">
        <f t="shared" si="12"/>
        <v>63.000543185309034</v>
      </c>
      <c r="F205" s="47">
        <f t="shared" si="12"/>
        <v>95.962210600224608</v>
      </c>
      <c r="G205" s="47">
        <f t="shared" si="12"/>
        <v>94.467631600079642</v>
      </c>
      <c r="H205" s="47">
        <f t="shared" si="12"/>
        <v>90.384696905010713</v>
      </c>
      <c r="I205" s="47">
        <f t="shared" si="12"/>
        <v>92.395047743711956</v>
      </c>
      <c r="J205" s="47">
        <f t="shared" si="12"/>
        <v>89.626128910276066</v>
      </c>
      <c r="K205" s="47">
        <f t="shared" si="12"/>
        <v>41.67894328841966</v>
      </c>
    </row>
    <row r="206" spans="3:11" x14ac:dyDescent="0.2">
      <c r="C206" s="88" t="s">
        <v>162</v>
      </c>
      <c r="D206" s="116">
        <f t="shared" si="9"/>
        <v>88.604159938784619</v>
      </c>
      <c r="E206" s="116">
        <f t="shared" si="12"/>
        <v>87.62437659853039</v>
      </c>
      <c r="F206" s="116">
        <f t="shared" si="12"/>
        <v>83.087784450868611</v>
      </c>
      <c r="G206" s="116">
        <f t="shared" si="12"/>
        <v>83.106935158337919</v>
      </c>
      <c r="H206" s="116">
        <f t="shared" si="12"/>
        <v>83.268299227002061</v>
      </c>
      <c r="I206" s="116">
        <f t="shared" si="12"/>
        <v>84.054964784186765</v>
      </c>
      <c r="J206" s="116">
        <f t="shared" si="12"/>
        <v>88.345581885141002</v>
      </c>
      <c r="K206" s="116">
        <f t="shared" si="12"/>
        <v>30.293091611640687</v>
      </c>
    </row>
    <row r="207" spans="3:11" x14ac:dyDescent="0.2">
      <c r="C207" s="87" t="s">
        <v>148</v>
      </c>
      <c r="D207" s="47" t="str">
        <f t="shared" si="9"/>
        <v/>
      </c>
      <c r="E207" s="47" t="str">
        <f t="shared" si="12"/>
        <v xml:space="preserve"> </v>
      </c>
      <c r="F207" s="47" t="str">
        <f t="shared" si="12"/>
        <v xml:space="preserve"> </v>
      </c>
      <c r="G207" s="47" t="str">
        <f t="shared" si="12"/>
        <v xml:space="preserve"> </v>
      </c>
      <c r="H207" s="47" t="str">
        <f t="shared" si="12"/>
        <v xml:space="preserve"> </v>
      </c>
      <c r="I207" s="47" t="str">
        <f t="shared" si="12"/>
        <v xml:space="preserve"> </v>
      </c>
      <c r="J207" s="47" t="str">
        <f t="shared" si="12"/>
        <v xml:space="preserve"> </v>
      </c>
      <c r="K207" s="47" t="str">
        <f t="shared" si="12"/>
        <v xml:space="preserve"> </v>
      </c>
    </row>
    <row r="208" spans="3:11" x14ac:dyDescent="0.2">
      <c r="C208" s="88" t="s">
        <v>149</v>
      </c>
      <c r="D208" s="116">
        <f t="shared" si="9"/>
        <v>89.523052455642812</v>
      </c>
      <c r="E208" s="116">
        <f t="shared" si="12"/>
        <v>94.444317304854124</v>
      </c>
      <c r="F208" s="116">
        <f t="shared" si="12"/>
        <v>79.697518179196464</v>
      </c>
      <c r="G208" s="116">
        <f t="shared" si="12"/>
        <v>80.480964933864414</v>
      </c>
      <c r="H208" s="116">
        <f t="shared" si="12"/>
        <v>91.531259033104234</v>
      </c>
      <c r="I208" s="116">
        <f t="shared" si="12"/>
        <v>83.151344091963438</v>
      </c>
      <c r="J208" s="116">
        <f t="shared" si="12"/>
        <v>71.992743647907929</v>
      </c>
      <c r="K208" s="116">
        <f t="shared" si="12"/>
        <v>54.540421732240588</v>
      </c>
    </row>
    <row r="209" spans="1:11" x14ac:dyDescent="0.2">
      <c r="C209" s="87" t="s">
        <v>163</v>
      </c>
      <c r="D209" s="47">
        <f t="shared" si="9"/>
        <v>87.270515717403427</v>
      </c>
      <c r="E209" s="47">
        <f t="shared" si="12"/>
        <v>90.595882222460915</v>
      </c>
      <c r="F209" s="47">
        <f t="shared" si="12"/>
        <v>88.890757377441858</v>
      </c>
      <c r="G209" s="47">
        <f t="shared" si="12"/>
        <v>93.113723087075954</v>
      </c>
      <c r="H209" s="47">
        <f t="shared" si="12"/>
        <v>91.907932992861291</v>
      </c>
      <c r="I209" s="47">
        <f t="shared" si="12"/>
        <v>90.704262151569154</v>
      </c>
      <c r="J209" s="47">
        <f t="shared" si="12"/>
        <v>87.256640569871905</v>
      </c>
      <c r="K209" s="47">
        <f t="shared" si="12"/>
        <v>27.667760856471258</v>
      </c>
    </row>
    <row r="210" spans="1:11" x14ac:dyDescent="0.2">
      <c r="C210" s="88" t="s">
        <v>150</v>
      </c>
      <c r="D210" s="116">
        <f t="shared" si="9"/>
        <v>76.262397240165157</v>
      </c>
      <c r="E210" s="116">
        <f t="shared" si="12"/>
        <v>71.975222090810647</v>
      </c>
      <c r="F210" s="116">
        <f t="shared" si="12"/>
        <v>65.147873613847409</v>
      </c>
      <c r="G210" s="116">
        <f t="shared" si="12"/>
        <v>55.878510372112757</v>
      </c>
      <c r="H210" s="116">
        <f t="shared" si="12"/>
        <v>53.15352262017975</v>
      </c>
      <c r="I210" s="116">
        <f t="shared" si="12"/>
        <v>57.131744268121977</v>
      </c>
      <c r="J210" s="116">
        <f t="shared" si="12"/>
        <v>63.460301125560633</v>
      </c>
      <c r="K210" s="116">
        <f t="shared" si="12"/>
        <v>17.620221658405764</v>
      </c>
    </row>
    <row r="211" spans="1:11" x14ac:dyDescent="0.2">
      <c r="C211" s="87" t="s">
        <v>151</v>
      </c>
      <c r="D211" s="47" t="str">
        <f t="shared" si="9"/>
        <v/>
      </c>
      <c r="E211" s="47" t="str">
        <f t="shared" ref="E211:K211" si="13">+IFERROR(IF(E169&gt;0,+((E169/E44)*100)," "),"0")</f>
        <v xml:space="preserve"> </v>
      </c>
      <c r="F211" s="47" t="str">
        <f t="shared" si="13"/>
        <v xml:space="preserve"> </v>
      </c>
      <c r="G211" s="47" t="str">
        <f t="shared" si="13"/>
        <v xml:space="preserve"> </v>
      </c>
      <c r="H211" s="47" t="str">
        <f t="shared" si="13"/>
        <v xml:space="preserve"> </v>
      </c>
      <c r="I211" s="47" t="str">
        <f t="shared" si="13"/>
        <v xml:space="preserve"> </v>
      </c>
      <c r="J211" s="47" t="str">
        <f t="shared" si="13"/>
        <v xml:space="preserve"> </v>
      </c>
      <c r="K211" s="47" t="str">
        <f t="shared" si="13"/>
        <v xml:space="preserve"> </v>
      </c>
    </row>
    <row r="212" spans="1:11" x14ac:dyDescent="0.2">
      <c r="C212" s="91" t="s">
        <v>154</v>
      </c>
      <c r="D212" s="74">
        <f t="shared" ref="D212:K212" si="14">+IFERROR(IF(D170&gt;0,+((D170/D45)*100)," "),"")</f>
        <v>87.200538224514858</v>
      </c>
      <c r="E212" s="74">
        <f t="shared" si="14"/>
        <v>86.408679619437123</v>
      </c>
      <c r="F212" s="74">
        <f t="shared" si="14"/>
        <v>75.94040994561486</v>
      </c>
      <c r="G212" s="74">
        <f t="shared" si="14"/>
        <v>79.545294240649866</v>
      </c>
      <c r="H212" s="74">
        <f t="shared" si="14"/>
        <v>79.188538065649254</v>
      </c>
      <c r="I212" s="74">
        <f t="shared" si="14"/>
        <v>82.101128618604221</v>
      </c>
      <c r="J212" s="74">
        <f t="shared" si="14"/>
        <v>84.497214983176889</v>
      </c>
      <c r="K212" s="74">
        <f t="shared" si="14"/>
        <v>33.024100909241881</v>
      </c>
    </row>
    <row r="213" spans="1:11" s="31" customFormat="1" x14ac:dyDescent="0.2">
      <c r="A213" s="5"/>
      <c r="B213" s="5"/>
      <c r="C213" s="72" t="str">
        <f>+'C1 Aprop Resumen 2000-2026'!B20</f>
        <v>* Información con corte a 30 de Junio</v>
      </c>
      <c r="D213" s="69"/>
      <c r="E213" s="69"/>
      <c r="F213" s="69"/>
      <c r="G213" s="69"/>
      <c r="H213" s="69"/>
      <c r="I213" s="69"/>
    </row>
    <row r="214" spans="1:11" x14ac:dyDescent="0.2">
      <c r="C214" s="1" t="s">
        <v>52</v>
      </c>
      <c r="D214" s="11"/>
      <c r="E214" s="11"/>
      <c r="F214" s="11"/>
      <c r="G214" s="11"/>
      <c r="H214" s="11"/>
    </row>
    <row r="215" spans="1:11" x14ac:dyDescent="0.2">
      <c r="E215" s="3"/>
      <c r="F215" s="3"/>
      <c r="G215" s="3"/>
      <c r="H215" s="3"/>
    </row>
    <row r="216" spans="1:11" x14ac:dyDescent="0.2">
      <c r="E216" s="3"/>
      <c r="F216" s="3"/>
      <c r="G216" s="3"/>
      <c r="H216" s="3"/>
    </row>
    <row r="217" spans="1:11" x14ac:dyDescent="0.2">
      <c r="E217" s="3"/>
      <c r="F217" s="3"/>
      <c r="G217" s="3"/>
      <c r="H217" s="3"/>
    </row>
    <row r="218" spans="1:11" ht="18" customHeight="1" x14ac:dyDescent="0.2">
      <c r="D218" s="164" t="s">
        <v>158</v>
      </c>
      <c r="E218" s="182"/>
      <c r="F218" s="182"/>
      <c r="G218" s="182"/>
      <c r="H218" s="182"/>
      <c r="I218" s="182"/>
      <c r="J218" s="182"/>
      <c r="K218" s="182"/>
    </row>
    <row r="219" spans="1:11" ht="15.75" customHeight="1" x14ac:dyDescent="0.2">
      <c r="C219" s="2"/>
      <c r="D219" s="2"/>
      <c r="E219" s="2"/>
      <c r="F219" s="2"/>
      <c r="G219" s="2"/>
      <c r="H219" s="2"/>
      <c r="I219" s="2"/>
    </row>
    <row r="220" spans="1:11" x14ac:dyDescent="0.2">
      <c r="C220" s="181" t="s">
        <v>120</v>
      </c>
      <c r="D220" s="155">
        <v>2019</v>
      </c>
      <c r="E220" s="155">
        <v>2020</v>
      </c>
      <c r="F220" s="155">
        <v>2021</v>
      </c>
      <c r="G220" s="155">
        <v>2022</v>
      </c>
      <c r="H220" s="155">
        <v>2023</v>
      </c>
      <c r="I220" s="155">
        <v>2024</v>
      </c>
      <c r="J220" s="155">
        <v>2025</v>
      </c>
      <c r="K220" s="155" t="s">
        <v>36</v>
      </c>
    </row>
    <row r="221" spans="1:11" ht="12" customHeight="1" thickBot="1" x14ac:dyDescent="0.25">
      <c r="C221" s="162"/>
      <c r="D221" s="156"/>
      <c r="E221" s="156"/>
      <c r="F221" s="156"/>
      <c r="G221" s="156"/>
      <c r="H221" s="156"/>
      <c r="I221" s="156"/>
      <c r="J221" s="156"/>
      <c r="K221" s="156"/>
    </row>
    <row r="222" spans="1:11" x14ac:dyDescent="0.2">
      <c r="C222" s="87" t="s">
        <v>123</v>
      </c>
      <c r="D222" s="42">
        <f>47.04287889152*Deflactores!$T$5</f>
        <v>73.167891428995716</v>
      </c>
      <c r="E222" s="42">
        <f>83.16287019781*Deflactores!$U$5</f>
        <v>127.29743899124526</v>
      </c>
      <c r="F222" s="42">
        <f>85.7415511326*Deflactores!$V$5</f>
        <v>124.26115029288646</v>
      </c>
      <c r="G222" s="42">
        <f>67.44785075045*Deflactores!$W$5</f>
        <v>86.411740436554624</v>
      </c>
      <c r="H222" s="42">
        <f>50.8432701442399*Deflactores!$X$5</f>
        <v>59.607022251412523</v>
      </c>
      <c r="I222" s="42">
        <f>83.70171116223*Deflactores!$Y$5</f>
        <v>93.278713489211114</v>
      </c>
      <c r="J222" s="42">
        <f>97.30148735229*Deflactores!$Z$5</f>
        <v>103.17174090652865</v>
      </c>
      <c r="K222" s="42">
        <f>21.9386420394*Deflactores!$AA$5</f>
        <v>21.938642039400001</v>
      </c>
    </row>
    <row r="223" spans="1:11" x14ac:dyDescent="0.2">
      <c r="C223" s="88" t="s">
        <v>124</v>
      </c>
      <c r="D223" s="50">
        <f>119.08895152514*Deflactores!$T$5</f>
        <v>185.22436723478421</v>
      </c>
      <c r="E223" s="50">
        <f>134.57995443697*Deflactores!$U$5</f>
        <v>206.00159059728918</v>
      </c>
      <c r="F223" s="50">
        <f>167.68443572062*Deflactores!$V$5</f>
        <v>243.01707391126803</v>
      </c>
      <c r="G223" s="50">
        <f>200.85603072802*Deflactores!$W$5</f>
        <v>257.32946267780824</v>
      </c>
      <c r="H223" s="50">
        <f>204.45975726587*Deflactores!$X$5</f>
        <v>239.70207396751846</v>
      </c>
      <c r="I223" s="50">
        <f>221.93537707853*Deflactores!$Y$5</f>
        <v>247.32883192201501</v>
      </c>
      <c r="J223" s="50">
        <f>243.70465191115*Deflactores!$Z$5</f>
        <v>258.40749087070526</v>
      </c>
      <c r="K223" s="50">
        <f>154.98728136834*Deflactores!$AA$5</f>
        <v>154.98728136834001</v>
      </c>
    </row>
    <row r="224" spans="1:11" x14ac:dyDescent="0.2">
      <c r="C224" s="87" t="s">
        <v>125</v>
      </c>
      <c r="D224" s="42">
        <f>0*Deflactores!$T$5</f>
        <v>0</v>
      </c>
      <c r="E224" s="42">
        <f>0*Deflactores!$U$5</f>
        <v>0</v>
      </c>
      <c r="F224" s="42">
        <f>0*Deflactores!$V$5</f>
        <v>0</v>
      </c>
      <c r="G224" s="42">
        <f>0*Deflactores!$W$5</f>
        <v>0</v>
      </c>
      <c r="H224" s="42">
        <f>0*Deflactores!$X$5</f>
        <v>0</v>
      </c>
      <c r="I224" s="42">
        <f>0*Deflactores!$Y$5</f>
        <v>0</v>
      </c>
      <c r="J224" s="42">
        <f>0*Deflactores!$Z$5</f>
        <v>0</v>
      </c>
      <c r="K224" s="42">
        <f>0*Deflactores!$AA$5</f>
        <v>0</v>
      </c>
    </row>
    <row r="225" spans="3:11" x14ac:dyDescent="0.2">
      <c r="C225" s="88" t="s">
        <v>126</v>
      </c>
      <c r="D225" s="50">
        <f>324.208885192899*Deflactores!$T$5</f>
        <v>504.25656488437971</v>
      </c>
      <c r="E225" s="50">
        <f>331.11232960092*Deflactores!$U$5</f>
        <v>506.83377661648063</v>
      </c>
      <c r="F225" s="50">
        <f>364.35573398554*Deflactores!$V$5</f>
        <v>528.04342845201836</v>
      </c>
      <c r="G225" s="50">
        <f>395.18000721132*Deflactores!$W$5</f>
        <v>506.29029433725191</v>
      </c>
      <c r="H225" s="50">
        <f>424.98625075621*Deflactores!$X$5</f>
        <v>498.24027513383112</v>
      </c>
      <c r="I225" s="50">
        <f>423.26204099433*Deflactores!$Y$5</f>
        <v>471.69093802928853</v>
      </c>
      <c r="J225" s="50">
        <f>465.107812579189*Deflactores!$Z$5</f>
        <v>493.1680289663426</v>
      </c>
      <c r="K225" s="50">
        <f>187.64651706965*Deflactores!$AA$5</f>
        <v>187.64651706965</v>
      </c>
    </row>
    <row r="226" spans="3:11" x14ac:dyDescent="0.2">
      <c r="C226" s="87" t="s">
        <v>127</v>
      </c>
      <c r="D226" s="42">
        <f>0*Deflactores!$T$5</f>
        <v>0</v>
      </c>
      <c r="E226" s="42">
        <f>0*Deflactores!$U$5</f>
        <v>0</v>
      </c>
      <c r="F226" s="42">
        <f>0*Deflactores!$V$5</f>
        <v>0</v>
      </c>
      <c r="G226" s="42">
        <f>0*Deflactores!$W$5</f>
        <v>0</v>
      </c>
      <c r="H226" s="42">
        <f>0*Deflactores!$X$5</f>
        <v>0</v>
      </c>
      <c r="I226" s="42">
        <f>0*Deflactores!$Y$5</f>
        <v>0</v>
      </c>
      <c r="J226" s="42">
        <f>0*Deflactores!$Z$5</f>
        <v>0</v>
      </c>
      <c r="K226" s="42">
        <f>0*Deflactores!$AA$5</f>
        <v>0</v>
      </c>
    </row>
    <row r="227" spans="3:11" x14ac:dyDescent="0.2">
      <c r="C227" s="88" t="s">
        <v>128</v>
      </c>
      <c r="D227" s="50">
        <f>9.28540520616*Deflactores!$T$5</f>
        <v>14.442005591647893</v>
      </c>
      <c r="E227" s="50">
        <f>10.10470917212*Deflactores!$U$5</f>
        <v>15.467282409837935</v>
      </c>
      <c r="F227" s="50">
        <f>9.96112853679*Deflactores!$V$5</f>
        <v>14.436189616893957</v>
      </c>
      <c r="G227" s="50">
        <f>12.80936869458*Deflactores!$W$5</f>
        <v>16.410898649499082</v>
      </c>
      <c r="H227" s="50">
        <f>11.0427388461699*Deflactores!$X$5</f>
        <v>12.946153507688132</v>
      </c>
      <c r="I227" s="50">
        <f>9.61580464812*Deflactores!$Y$5</f>
        <v>10.716028075002537</v>
      </c>
      <c r="J227" s="50">
        <f>17.03901063849*Deflactores!$Z$5</f>
        <v>18.066983750546978</v>
      </c>
      <c r="K227" s="50">
        <f>4.16520356131*Deflactores!$AA$5</f>
        <v>4.1652035613100002</v>
      </c>
    </row>
    <row r="228" spans="3:11" x14ac:dyDescent="0.2">
      <c r="C228" s="87" t="s">
        <v>129</v>
      </c>
      <c r="D228" s="42">
        <f>1842.44130144725*Deflactores!$T$5</f>
        <v>2865.63127693468</v>
      </c>
      <c r="E228" s="42">
        <f>1694.39016682*Deflactores!$U$5</f>
        <v>2593.6037125112939</v>
      </c>
      <c r="F228" s="42">
        <f>1684.78500428361*Deflactores!$V$5</f>
        <v>2441.6787410892584</v>
      </c>
      <c r="G228" s="42">
        <f>2405.27241792815*Deflactores!$W$5</f>
        <v>3081.5477964777806</v>
      </c>
      <c r="H228" s="42">
        <f>2146.74523871694*Deflactores!$X$5</f>
        <v>2516.7753932682754</v>
      </c>
      <c r="I228" s="42">
        <f>2316.64109589137*Deflactores!$Y$5</f>
        <v>2581.7070886657598</v>
      </c>
      <c r="J228" s="42">
        <f>2438.90514701402*Deflactores!$Z$5</f>
        <v>2586.0456686781322</v>
      </c>
      <c r="K228" s="42">
        <f>932.24125502831*Deflactores!$AA$5</f>
        <v>932.24125502830998</v>
      </c>
    </row>
    <row r="229" spans="3:11" x14ac:dyDescent="0.2">
      <c r="C229" s="88" t="s">
        <v>130</v>
      </c>
      <c r="D229" s="50">
        <f>0*Deflactores!$T$5</f>
        <v>0</v>
      </c>
      <c r="E229" s="50">
        <f>0*Deflactores!$U$5</f>
        <v>0</v>
      </c>
      <c r="F229" s="50">
        <f>0*Deflactores!$V$5</f>
        <v>0</v>
      </c>
      <c r="G229" s="50">
        <f>0*Deflactores!$W$5</f>
        <v>0</v>
      </c>
      <c r="H229" s="50">
        <f>0*Deflactores!$X$5</f>
        <v>0</v>
      </c>
      <c r="I229" s="50">
        <f>0*Deflactores!$Y$5</f>
        <v>0</v>
      </c>
      <c r="J229" s="50">
        <f>0*Deflactores!$Z$5</f>
        <v>0</v>
      </c>
      <c r="K229" s="50">
        <f>0*Deflactores!$AA$5</f>
        <v>0</v>
      </c>
    </row>
    <row r="230" spans="3:11" x14ac:dyDescent="0.2">
      <c r="C230" s="87" t="s">
        <v>131</v>
      </c>
      <c r="D230" s="42">
        <f>19.89355809348*Deflactores!$T$5</f>
        <v>30.941339752541086</v>
      </c>
      <c r="E230" s="42">
        <f>16.09597709657*Deflactores!$U$5</f>
        <v>24.638118640944381</v>
      </c>
      <c r="F230" s="42">
        <f>18.5509067745999*Deflactores!$V$5</f>
        <v>26.884946497211601</v>
      </c>
      <c r="G230" s="42">
        <f>22.90962665413*Deflactores!$W$5</f>
        <v>29.350982869114581</v>
      </c>
      <c r="H230" s="42">
        <f>29.93287088091*Deflactores!$X$5</f>
        <v>35.092339567957467</v>
      </c>
      <c r="I230" s="42">
        <f>37.8150805181099*Deflactores!$Y$5</f>
        <v>42.141815409048874</v>
      </c>
      <c r="J230" s="42">
        <f>42.5204241624099*Deflactores!$Z$5</f>
        <v>45.085705309278694</v>
      </c>
      <c r="K230" s="42">
        <f>18.5136333559699*Deflactores!$AA$5</f>
        <v>18.513633355969901</v>
      </c>
    </row>
    <row r="231" spans="3:11" x14ac:dyDescent="0.2">
      <c r="C231" s="88" t="s">
        <v>132</v>
      </c>
      <c r="D231" s="50">
        <f>300.913184625479*Deflactores!$T$5</f>
        <v>468.02372093344042</v>
      </c>
      <c r="E231" s="50">
        <f>190.43597631758*Deflactores!$U$5</f>
        <v>291.50042584345238</v>
      </c>
      <c r="F231" s="50">
        <f>240.38502537422*Deflactores!$V$5</f>
        <v>348.37857924905364</v>
      </c>
      <c r="G231" s="50">
        <f>293.31150283918*Deflactores!$W$5</f>
        <v>375.78006071936801</v>
      </c>
      <c r="H231" s="50">
        <f>347.5187612029*Deflactores!$X$5</f>
        <v>407.41987037887952</v>
      </c>
      <c r="I231" s="50">
        <f>424.31521621453*Deflactores!$Y$5</f>
        <v>472.8646157027182</v>
      </c>
      <c r="J231" s="50">
        <f>453.48318144046*Deflactores!$Z$5</f>
        <v>480.84207728138426</v>
      </c>
      <c r="K231" s="50">
        <f>165.41220131347*Deflactores!$AA$5</f>
        <v>165.41220131347001</v>
      </c>
    </row>
    <row r="232" spans="3:11" x14ac:dyDescent="0.2">
      <c r="C232" s="87" t="s">
        <v>133</v>
      </c>
      <c r="D232" s="42">
        <f>39.9936900255399*Deflactores!$T$5</f>
        <v>62.203973026002501</v>
      </c>
      <c r="E232" s="42">
        <f>37.67520897296*Deflactores!$U$5</f>
        <v>57.669457587384805</v>
      </c>
      <c r="F232" s="42">
        <f>79.42526686462*Deflactores!$V$5</f>
        <v>115.10726004541181</v>
      </c>
      <c r="G232" s="42">
        <f>33.98189991703*Deflactores!$W$5</f>
        <v>43.536377845987658</v>
      </c>
      <c r="H232" s="42">
        <f>47.02711145243*Deflactores!$X$5</f>
        <v>55.133079969330488</v>
      </c>
      <c r="I232" s="42">
        <f>42.19948008393*Deflactores!$Y$5</f>
        <v>47.027870248832137</v>
      </c>
      <c r="J232" s="42">
        <f>37.32047077296*Deflactores!$Z$5</f>
        <v>39.572035802049683</v>
      </c>
      <c r="K232" s="42">
        <f>12.63868761634*Deflactores!$AA$5</f>
        <v>12.63868761634</v>
      </c>
    </row>
    <row r="233" spans="3:11" x14ac:dyDescent="0.2">
      <c r="C233" s="88" t="s">
        <v>134</v>
      </c>
      <c r="D233" s="50">
        <f>220.254156904269*Deflactores!$T$5</f>
        <v>342.57113125067576</v>
      </c>
      <c r="E233" s="50">
        <f>245.07458892639*Deflactores!$U$5</f>
        <v>375.13577222570643</v>
      </c>
      <c r="F233" s="50">
        <f>262.468781359329*Deflactores!$V$5</f>
        <v>380.38351600664981</v>
      </c>
      <c r="G233" s="50">
        <f>318.32212297622*Deflactores!$W$5</f>
        <v>407.82276024785892</v>
      </c>
      <c r="H233" s="50">
        <f>343.46095039343*Deflactores!$X$5</f>
        <v>402.66262289015748</v>
      </c>
      <c r="I233" s="50">
        <f>365.01244173838*Deflactores!$Y$5</f>
        <v>406.77652224959127</v>
      </c>
      <c r="J233" s="50">
        <f>379.92950580542*Deflactores!$Z$5</f>
        <v>402.85086695316312</v>
      </c>
      <c r="K233" s="50">
        <f>198.27370439869*Deflactores!$AA$5</f>
        <v>198.27370439869</v>
      </c>
    </row>
    <row r="234" spans="3:11" x14ac:dyDescent="0.2">
      <c r="C234" s="87" t="s">
        <v>135</v>
      </c>
      <c r="D234" s="42">
        <f>0*Deflactores!$T$5</f>
        <v>0</v>
      </c>
      <c r="E234" s="42">
        <f>0*Deflactores!$U$5</f>
        <v>0</v>
      </c>
      <c r="F234" s="42">
        <f>0*Deflactores!$V$5</f>
        <v>0</v>
      </c>
      <c r="G234" s="42">
        <f>0*Deflactores!$W$5</f>
        <v>0</v>
      </c>
      <c r="H234" s="42">
        <f>0*Deflactores!$X$5</f>
        <v>0</v>
      </c>
      <c r="I234" s="42">
        <f>3769.5021705729*Deflactores!$Y$5</f>
        <v>4200.8019678872852</v>
      </c>
      <c r="J234" s="42">
        <f>4180.70057208256*Deflactores!$Z$5</f>
        <v>4432.9245931154474</v>
      </c>
      <c r="K234" s="42">
        <f>1909.80794100811*Deflactores!$AA$5</f>
        <v>1909.80794100811</v>
      </c>
    </row>
    <row r="235" spans="3:11" x14ac:dyDescent="0.2">
      <c r="C235" s="88" t="s">
        <v>136</v>
      </c>
      <c r="D235" s="50">
        <f>2399.65100420614*Deflactores!$T$5</f>
        <v>3732.2844239212827</v>
      </c>
      <c r="E235" s="50">
        <f>2348.60680257425*Deflactores!$U$5</f>
        <v>3595.0133810195539</v>
      </c>
      <c r="F235" s="50">
        <f>2495.5347253631*Deflactores!$V$5</f>
        <v>3616.6597346704425</v>
      </c>
      <c r="G235" s="50">
        <f>2902.27205544258*Deflactores!$W$5</f>
        <v>3718.2857087480561</v>
      </c>
      <c r="H235" s="50">
        <f>3438.89025333179*Deflactores!$X$5</f>
        <v>4031.6448424538708</v>
      </c>
      <c r="I235" s="50">
        <f>0.83410458289*Deflactores!$Y$5</f>
        <v>0.92954135975350327</v>
      </c>
      <c r="J235" s="50">
        <f>31.62720305825*Deflactores!$Z$5</f>
        <v>33.535290038371073</v>
      </c>
      <c r="K235" s="50">
        <f>0.216073099259999*Deflactores!$AA$5</f>
        <v>0.21607309925999901</v>
      </c>
    </row>
    <row r="236" spans="3:11" x14ac:dyDescent="0.2">
      <c r="C236" s="87" t="s">
        <v>137</v>
      </c>
      <c r="D236" s="42">
        <f>27.5338719147799*Deflactores!$T$5</f>
        <v>42.824661210171882</v>
      </c>
      <c r="E236" s="42">
        <f>27.67561214605*Deflactores!$U$5</f>
        <v>42.363070686802018</v>
      </c>
      <c r="F236" s="42">
        <f>55.4399327904199*Deflactores!$V$5</f>
        <v>80.346456644386478</v>
      </c>
      <c r="G236" s="42">
        <f>31.34284590821*Deflactores!$W$5</f>
        <v>40.155317553170519</v>
      </c>
      <c r="H236" s="42">
        <f>11.82195870426*Deflactores!$X$5</f>
        <v>13.859685923839793</v>
      </c>
      <c r="I236" s="42">
        <f>43.30530063568*Deflactores!$Y$5</f>
        <v>48.260216839898192</v>
      </c>
      <c r="J236" s="42">
        <f>43.32607957355*Deflactores!$Z$5</f>
        <v>45.939966365300798</v>
      </c>
      <c r="K236" s="42">
        <f>23.61755347825*Deflactores!$AA$5</f>
        <v>23.617553478249999</v>
      </c>
    </row>
    <row r="237" spans="3:11" x14ac:dyDescent="0.2">
      <c r="C237" s="88" t="s">
        <v>138</v>
      </c>
      <c r="D237" s="50">
        <f>0*Deflactores!$T$5</f>
        <v>0</v>
      </c>
      <c r="E237" s="50">
        <f>0*Deflactores!$U$5</f>
        <v>0</v>
      </c>
      <c r="F237" s="50">
        <f>0*Deflactores!$V$5</f>
        <v>0</v>
      </c>
      <c r="G237" s="50">
        <f>0*Deflactores!$W$5</f>
        <v>0</v>
      </c>
      <c r="H237" s="50">
        <f>0*Deflactores!$X$5</f>
        <v>0</v>
      </c>
      <c r="I237" s="50">
        <f>0*Deflactores!$Y$5</f>
        <v>0</v>
      </c>
      <c r="J237" s="50">
        <f>0*Deflactores!$Z$5</f>
        <v>0</v>
      </c>
      <c r="K237" s="50">
        <f>0*Deflactores!$AA$5</f>
        <v>0</v>
      </c>
    </row>
    <row r="238" spans="3:11" x14ac:dyDescent="0.2">
      <c r="C238" s="87" t="s">
        <v>160</v>
      </c>
      <c r="D238" s="42">
        <f>80.4385918922399*Deflactores!$T$5</f>
        <v>125.10973598883284</v>
      </c>
      <c r="E238" s="42">
        <f>54.02429625702*Deflactores!$U$5</f>
        <v>82.69501209452082</v>
      </c>
      <c r="F238" s="42">
        <f>106.49085893182*Deflactores!$V$5</f>
        <v>154.33213479052898</v>
      </c>
      <c r="G238" s="42">
        <f>109.88018076664*Deflactores!$W$5</f>
        <v>140.77450287717653</v>
      </c>
      <c r="H238" s="42">
        <f>140.13500993934*Deflactores!$X$5</f>
        <v>164.28979945544435</v>
      </c>
      <c r="I238" s="42">
        <f>182.96925315366*Deflactores!$Y$5</f>
        <v>203.90427274749254</v>
      </c>
      <c r="J238" s="42">
        <f>160.82773407621*Deflactores!$Z$5</f>
        <v>170.53056188769875</v>
      </c>
      <c r="K238" s="42">
        <f>62.9808166528799*Deflactores!$AA$5</f>
        <v>62.980816652879902</v>
      </c>
    </row>
    <row r="239" spans="3:11" x14ac:dyDescent="0.2">
      <c r="C239" s="88" t="s">
        <v>161</v>
      </c>
      <c r="D239" s="50">
        <f>387.977197497639*Deflactores!$T$5</f>
        <v>603.43827019800949</v>
      </c>
      <c r="E239" s="50">
        <f>413.482726998609*Deflactores!$U$5</f>
        <v>632.91817717259642</v>
      </c>
      <c r="F239" s="50">
        <f>418.99247860268*Deflactores!$V$5</f>
        <v>607.22586269425528</v>
      </c>
      <c r="G239" s="50">
        <f>509.42421444549*Deflactores!$W$5</f>
        <v>652.65582966653278</v>
      </c>
      <c r="H239" s="50">
        <f>582.99483978978*Deflactores!$X$5</f>
        <v>683.48448652540173</v>
      </c>
      <c r="I239" s="50">
        <f>642.48950683703*Deflactores!$Y$5</f>
        <v>716.00202428262025</v>
      </c>
      <c r="J239" s="50">
        <f>693.36450709543*Deflactores!$Z$5</f>
        <v>735.1955784687093</v>
      </c>
      <c r="K239" s="50">
        <f>246.632613769479*Deflactores!$AA$5</f>
        <v>246.63261376947901</v>
      </c>
    </row>
    <row r="240" spans="3:11" x14ac:dyDescent="0.2">
      <c r="C240" s="87" t="s">
        <v>140</v>
      </c>
      <c r="D240" s="42">
        <f>683.00558861372*Deflactores!$T$5</f>
        <v>1062.3091088520596</v>
      </c>
      <c r="E240" s="42">
        <f>1036.58844069615*Deflactores!$U$5</f>
        <v>1586.706344726701</v>
      </c>
      <c r="F240" s="42">
        <f>1251.71506946325*Deflactores!$V$5</f>
        <v>1814.0510909337361</v>
      </c>
      <c r="G240" s="42">
        <f>950.96118853137*Deflactores!$W$5</f>
        <v>1218.3369888633845</v>
      </c>
      <c r="H240" s="42">
        <f>1549.54198741726*Deflactores!$X$5</f>
        <v>1816.633419948158</v>
      </c>
      <c r="I240" s="42">
        <f>4450.55169958082*Deflactores!$Y$5</f>
        <v>4959.7759841432207</v>
      </c>
      <c r="J240" s="42">
        <f>3752.10854764135*Deflactores!$Z$5</f>
        <v>3978.4753703594251</v>
      </c>
      <c r="K240" s="42">
        <f>1757.10099585592*Deflactores!$AA$5</f>
        <v>1757.10099585592</v>
      </c>
    </row>
    <row r="241" spans="1:11" x14ac:dyDescent="0.2">
      <c r="C241" s="88" t="s">
        <v>141</v>
      </c>
      <c r="D241" s="50">
        <f>15.66657665377*Deflactores!$T$5</f>
        <v>24.366926656644605</v>
      </c>
      <c r="E241" s="50">
        <f>10.24848976612*Deflactores!$U$5</f>
        <v>15.687367423129384</v>
      </c>
      <c r="F241" s="50">
        <f>11.5963572428999*Deflactores!$V$5</f>
        <v>16.806048773033101</v>
      </c>
      <c r="G241" s="50">
        <f>15.18933317819*Deflactores!$W$5</f>
        <v>19.460022838301402</v>
      </c>
      <c r="H241" s="50">
        <f>19.92280871214*Deflactores!$X$5</f>
        <v>23.356863137366513</v>
      </c>
      <c r="I241" s="50">
        <f>16.9207066514599*Deflactores!$Y$5</f>
        <v>18.856744095916834</v>
      </c>
      <c r="J241" s="50">
        <f>17.07866379906*Deflactores!$Z$5</f>
        <v>18.109029208635821</v>
      </c>
      <c r="K241" s="50">
        <f>6.348155179*Deflactores!$AA$5</f>
        <v>6.3481551789999999</v>
      </c>
    </row>
    <row r="242" spans="1:11" x14ac:dyDescent="0.2">
      <c r="C242" s="87" t="s">
        <v>142</v>
      </c>
      <c r="D242" s="42">
        <f>129.0190560466*Deflactores!$T$5</f>
        <v>200.66910247686431</v>
      </c>
      <c r="E242" s="42">
        <f>292.23587417981*Deflactores!$U$5</f>
        <v>447.32557060587402</v>
      </c>
      <c r="F242" s="42">
        <f>286.8417833563*Deflactores!$V$5</f>
        <v>415.70614808209081</v>
      </c>
      <c r="G242" s="42">
        <f>195.5213611001*Deflactores!$W$5</f>
        <v>250.49487740824694</v>
      </c>
      <c r="H242" s="42">
        <f>288.08312965936*Deflactores!$X$5</f>
        <v>337.73943869358772</v>
      </c>
      <c r="I242" s="42">
        <f>254.41541833531*Deflactores!$Y$5</f>
        <v>283.52518227663086</v>
      </c>
      <c r="J242" s="42">
        <f>218.74019772588*Deflactores!$Z$5</f>
        <v>231.93691709879297</v>
      </c>
      <c r="K242" s="42">
        <f>106.592717310459*Deflactores!$AA$5</f>
        <v>106.59271731045899</v>
      </c>
    </row>
    <row r="243" spans="1:11" x14ac:dyDescent="0.2">
      <c r="C243" s="88" t="s">
        <v>143</v>
      </c>
      <c r="D243" s="50">
        <f>28.57912246323*Deflactores!$T$5</f>
        <v>44.450386090263805</v>
      </c>
      <c r="E243" s="50">
        <f>9.04283904153*Deflactores!$U$5</f>
        <v>13.841877372182491</v>
      </c>
      <c r="F243" s="50">
        <f>49.21251642515*Deflactores!$V$5</f>
        <v>71.321358419787572</v>
      </c>
      <c r="G243" s="50">
        <f>69.58122759627*Deflactores!$W$5</f>
        <v>89.14494548613321</v>
      </c>
      <c r="H243" s="50">
        <f>6.69529607481*Deflactores!$X$5</f>
        <v>7.8493507789488168</v>
      </c>
      <c r="I243" s="50">
        <f>9.34254185839999*Deflactores!$Y$5</f>
        <v>10.411499038312337</v>
      </c>
      <c r="J243" s="50">
        <f>4.44491553261*Deflactores!$Z$5</f>
        <v>4.7130797910773223</v>
      </c>
      <c r="K243" s="50">
        <f>1.74264593479999*Deflactores!$AA$5</f>
        <v>1.7426459347999901</v>
      </c>
    </row>
    <row r="244" spans="1:11" x14ac:dyDescent="0.2">
      <c r="C244" s="87" t="s">
        <v>144</v>
      </c>
      <c r="D244" s="42">
        <f>0*Deflactores!$T$5</f>
        <v>0</v>
      </c>
      <c r="E244" s="42">
        <f>0*Deflactores!$U$5</f>
        <v>0</v>
      </c>
      <c r="F244" s="42">
        <f>0*Deflactores!$V$5</f>
        <v>0</v>
      </c>
      <c r="G244" s="42">
        <f>0*Deflactores!$W$5</f>
        <v>0</v>
      </c>
      <c r="H244" s="42">
        <f>0*Deflactores!$X$5</f>
        <v>0</v>
      </c>
      <c r="I244" s="42">
        <f>0*Deflactores!$Y$5</f>
        <v>0</v>
      </c>
      <c r="J244" s="42">
        <f>0*Deflactores!$Z$5</f>
        <v>0</v>
      </c>
      <c r="K244" s="42">
        <f>0*Deflactores!$AA$5</f>
        <v>0</v>
      </c>
    </row>
    <row r="245" spans="1:11" x14ac:dyDescent="0.2">
      <c r="C245" s="88" t="s">
        <v>145</v>
      </c>
      <c r="D245" s="50">
        <f>83.55486578564*Deflactores!$T$5</f>
        <v>129.95661601122904</v>
      </c>
      <c r="E245" s="50">
        <f>64.99266201322*Deflactores!$U$5</f>
        <v>99.48429398633678</v>
      </c>
      <c r="F245" s="50">
        <f>72.16398354687*Deflactores!$V$5</f>
        <v>104.58382764015062</v>
      </c>
      <c r="G245" s="50">
        <f>95.78450708156*Deflactores!$W$5</f>
        <v>122.71563692071935</v>
      </c>
      <c r="H245" s="50">
        <f>122.43214121835*Deflactores!$X$5</f>
        <v>143.53552289588612</v>
      </c>
      <c r="I245" s="50">
        <f>99.59645834548*Deflactores!$Y$5</f>
        <v>110.99210964208281</v>
      </c>
      <c r="J245" s="50">
        <f>168.05354704046*Deflactores!$Z$5</f>
        <v>178.19231221929931</v>
      </c>
      <c r="K245" s="50">
        <f>65.95324776753*Deflactores!$AA$5</f>
        <v>65.953247767530002</v>
      </c>
    </row>
    <row r="246" spans="1:11" x14ac:dyDescent="0.2">
      <c r="C246" s="87" t="s">
        <v>146</v>
      </c>
      <c r="D246" s="42">
        <f>199.926914895319*Deflactores!$T$5</f>
        <v>310.95526352728524</v>
      </c>
      <c r="E246" s="42">
        <f>118.67051286893*Deflactores!$U$5</f>
        <v>181.64900196518488</v>
      </c>
      <c r="F246" s="42">
        <f>214.987206378989*Deflactores!$V$5</f>
        <v>311.57072866098576</v>
      </c>
      <c r="G246" s="42">
        <f>191.54014891702*Deflactores!$W$5</f>
        <v>245.39429273491155</v>
      </c>
      <c r="H246" s="42">
        <f>216.333400858849*Deflactores!$X$5</f>
        <v>253.62235360028365</v>
      </c>
      <c r="I246" s="42">
        <f>371.149246120469*Deflactores!$Y$5</f>
        <v>413.61548897736498</v>
      </c>
      <c r="J246" s="42">
        <f>531.670297824*Deflactores!$Z$5</f>
        <v>563.74626644906755</v>
      </c>
      <c r="K246" s="42">
        <f>270.44593016339*Deflactores!$AA$5</f>
        <v>270.44593016339002</v>
      </c>
    </row>
    <row r="247" spans="1:11" x14ac:dyDescent="0.2">
      <c r="C247" s="88" t="s">
        <v>162</v>
      </c>
      <c r="D247" s="50">
        <f>538.85919096775*Deflactores!$T$5</f>
        <v>838.11177609183255</v>
      </c>
      <c r="E247" s="50">
        <f>459.823443801829*Deflactores!$U$5</f>
        <v>703.85193109471413</v>
      </c>
      <c r="F247" s="50">
        <f>473.776284333869*Deflactores!$V$5</f>
        <v>686.62142561160579</v>
      </c>
      <c r="G247" s="50">
        <f>543.64104906403*Deflactores!$W$5</f>
        <v>696.493197332367</v>
      </c>
      <c r="H247" s="50">
        <f>637.55581559218*Deflactores!$X$5</f>
        <v>747.45002787406111</v>
      </c>
      <c r="I247" s="50">
        <f>679.979155137639*Deflactores!$Y$5</f>
        <v>757.78117209318259</v>
      </c>
      <c r="J247" s="50">
        <f>736.1380413505*Deflactores!$Z$5</f>
        <v>780.54966414514729</v>
      </c>
      <c r="K247" s="50">
        <f>349.62604836732*Deflactores!$AA$5</f>
        <v>349.62604836731998</v>
      </c>
    </row>
    <row r="248" spans="1:11" x14ac:dyDescent="0.2">
      <c r="C248" s="87" t="s">
        <v>148</v>
      </c>
      <c r="D248" s="42">
        <f>0*Deflactores!$T$5</f>
        <v>0</v>
      </c>
      <c r="E248" s="42">
        <f>0*Deflactores!$U$5</f>
        <v>0</v>
      </c>
      <c r="F248" s="42">
        <f>0*Deflactores!$V$5</f>
        <v>0</v>
      </c>
      <c r="G248" s="42">
        <f>0*Deflactores!$W$5</f>
        <v>0</v>
      </c>
      <c r="H248" s="42">
        <f>0*Deflactores!$X$5</f>
        <v>0</v>
      </c>
      <c r="I248" s="42">
        <f>0*Deflactores!$Y$5</f>
        <v>0</v>
      </c>
      <c r="J248" s="42">
        <f>0*Deflactores!$Z$5</f>
        <v>0</v>
      </c>
      <c r="K248" s="42">
        <f>0*Deflactores!$AA$5</f>
        <v>0</v>
      </c>
    </row>
    <row r="249" spans="1:11" x14ac:dyDescent="0.2">
      <c r="C249" s="88" t="s">
        <v>149</v>
      </c>
      <c r="D249" s="50">
        <f>1273.12870390146*Deflactores!$T$5</f>
        <v>1980.1539569252802</v>
      </c>
      <c r="E249" s="50">
        <f>1178.53004123154*Deflactores!$U$5</f>
        <v>1803.9764099793233</v>
      </c>
      <c r="F249" s="50">
        <f>1822.15727607938*Deflactores!$V$5</f>
        <v>2640.7658381408437</v>
      </c>
      <c r="G249" s="50">
        <f>1798.86725608395*Deflactores!$W$5</f>
        <v>2304.6434939441924</v>
      </c>
      <c r="H249" s="50">
        <f>2088.20359728176*Deflactores!$X$5</f>
        <v>2448.143046966366</v>
      </c>
      <c r="I249" s="50">
        <f>2309.23198837994*Deflactores!$Y$5</f>
        <v>2573.4502441261075</v>
      </c>
      <c r="J249" s="50">
        <f>1461.5845282764*Deflactores!$Z$5</f>
        <v>1549.7627463633494</v>
      </c>
      <c r="K249" s="50">
        <f>888.269899639109*Deflactores!$AA$5</f>
        <v>888.26989963910898</v>
      </c>
    </row>
    <row r="250" spans="1:11" x14ac:dyDescent="0.2">
      <c r="C250" s="87" t="s">
        <v>163</v>
      </c>
      <c r="D250" s="42">
        <f>1434.06150267184*Deflactores!$T$5</f>
        <v>2230.4599293754095</v>
      </c>
      <c r="E250" s="42">
        <f>1460.76372051493*Deflactores!$U$5</f>
        <v>2235.9916168185659</v>
      </c>
      <c r="F250" s="42">
        <f>1512.82188874172*Deflactores!$V$5</f>
        <v>2192.4607801016209</v>
      </c>
      <c r="G250" s="42">
        <f>1639.23656998591*Deflactores!$W$5</f>
        <v>2100.1304478005995</v>
      </c>
      <c r="H250" s="42">
        <f>2102.98797606795*Deflactores!$X$5</f>
        <v>2465.4757793571362</v>
      </c>
      <c r="I250" s="42">
        <f>2047.17723763615*Deflactores!$Y$5</f>
        <v>2281.4116504856597</v>
      </c>
      <c r="J250" s="42">
        <f>2640.59044621319*Deflactores!$Z$5</f>
        <v>2799.8987556129105</v>
      </c>
      <c r="K250" s="42">
        <f>842.95047794673*Deflactores!$AA$5</f>
        <v>842.95047794672996</v>
      </c>
    </row>
    <row r="251" spans="1:11" x14ac:dyDescent="0.2">
      <c r="C251" s="88" t="s">
        <v>150</v>
      </c>
      <c r="D251" s="50">
        <f>2074.94867731764*Deflactores!$T$5</f>
        <v>3227.2603871206215</v>
      </c>
      <c r="E251" s="50">
        <f>1914.76087728529*Deflactores!$U$5</f>
        <v>2930.9252480016758</v>
      </c>
      <c r="F251" s="50">
        <f>2152.52079434794*Deflactores!$V$5</f>
        <v>3119.5459657754609</v>
      </c>
      <c r="G251" s="50">
        <f>1772.18332065874*Deflactores!$W$5</f>
        <v>2270.4570035500024</v>
      </c>
      <c r="H251" s="50">
        <f>1781.10406621439*Deflactores!$X$5</f>
        <v>2088.1093880415988</v>
      </c>
      <c r="I251" s="50">
        <f>2290.55331390058*Deflactores!$Y$5</f>
        <v>2552.6343886205791</v>
      </c>
      <c r="J251" s="50">
        <f>2897.35780756318*Deflactores!$Z$5</f>
        <v>3072.1570365427829</v>
      </c>
      <c r="K251" s="50">
        <f>1230.31422262776*Deflactores!$AA$5</f>
        <v>1230.31422262776</v>
      </c>
    </row>
    <row r="252" spans="1:11" x14ac:dyDescent="0.2">
      <c r="C252" s="87" t="s">
        <v>151</v>
      </c>
      <c r="D252" s="42">
        <f>0*Deflactores!$T$5</f>
        <v>0</v>
      </c>
      <c r="E252" s="42">
        <f>0*Deflactores!$U$5</f>
        <v>0</v>
      </c>
      <c r="F252" s="42">
        <f>0*Deflactores!$V$5</f>
        <v>0</v>
      </c>
      <c r="G252" s="42">
        <f>0*Deflactores!$W$5</f>
        <v>0</v>
      </c>
      <c r="H252" s="42">
        <f>0*Deflactores!$X$5</f>
        <v>0</v>
      </c>
      <c r="I252" s="42">
        <f>0*Deflactores!$Y$5</f>
        <v>0</v>
      </c>
      <c r="J252" s="42">
        <f>0*Deflactores!$Z$5</f>
        <v>0</v>
      </c>
      <c r="K252" s="42">
        <f>0*Deflactores!$AA$5</f>
        <v>0</v>
      </c>
    </row>
    <row r="253" spans="1:11" x14ac:dyDescent="0.2">
      <c r="C253" s="79" t="s">
        <v>152</v>
      </c>
      <c r="D253" s="44">
        <f t="shared" ref="D253:K253" si="15">SUM(D222:D252)</f>
        <v>19098.812815482939</v>
      </c>
      <c r="E253" s="44">
        <f t="shared" si="15"/>
        <v>18570.576878370797</v>
      </c>
      <c r="F253" s="44">
        <f t="shared" si="15"/>
        <v>20054.188286099579</v>
      </c>
      <c r="G253" s="44">
        <f t="shared" si="15"/>
        <v>18673.622639985017</v>
      </c>
      <c r="H253" s="44">
        <f t="shared" si="15"/>
        <v>19452.772836587003</v>
      </c>
      <c r="I253" s="44">
        <f t="shared" si="15"/>
        <v>23505.884910407574</v>
      </c>
      <c r="J253" s="44">
        <f t="shared" si="15"/>
        <v>23022.877766184149</v>
      </c>
      <c r="K253" s="44">
        <f t="shared" si="15"/>
        <v>9458.4164645514775</v>
      </c>
    </row>
    <row r="254" spans="1:11" s="31" customFormat="1" x14ac:dyDescent="0.2">
      <c r="A254" s="5"/>
      <c r="B254" s="5"/>
      <c r="C254" s="72" t="str">
        <f>+'C1 Aprop Resumen 2000-2026'!B20</f>
        <v>* Información con corte a 30 de Junio</v>
      </c>
      <c r="D254" s="123">
        <f>+D253-'C7 Ejec. Prop 19-26'!D131</f>
        <v>0</v>
      </c>
      <c r="E254" s="123">
        <f>+E253-'C7 Ejec. Prop 19-26'!E131</f>
        <v>0</v>
      </c>
      <c r="F254" s="123">
        <f>+F253-'C7 Ejec. Prop 19-26'!F131</f>
        <v>-6.184563972055912E-11</v>
      </c>
      <c r="G254" s="123">
        <f>+G253-'C7 Ejec. Prop 19-26'!G131</f>
        <v>0</v>
      </c>
      <c r="H254" s="123">
        <f>+H253-'C7 Ejec. Prop 19-26'!H131</f>
        <v>0</v>
      </c>
      <c r="I254" s="123">
        <f>+I253-'C7 Ejec. Prop 19-26'!I131</f>
        <v>0</v>
      </c>
      <c r="J254" s="123">
        <f>+J253-'C7 Ejec. Prop 19-26'!J131</f>
        <v>5.4569682106375694E-11</v>
      </c>
      <c r="K254" s="123">
        <f>+K253-'C7 Ejec. Prop 19-26'!K131</f>
        <v>0</v>
      </c>
    </row>
    <row r="255" spans="1:11" x14ac:dyDescent="0.2">
      <c r="C255" s="1" t="s">
        <v>52</v>
      </c>
      <c r="E255" s="3"/>
      <c r="F255" s="3"/>
      <c r="G255" s="3"/>
      <c r="H255" s="3"/>
    </row>
    <row r="256" spans="1:11" x14ac:dyDescent="0.2">
      <c r="B256" s="9"/>
      <c r="E256" s="3"/>
      <c r="F256" s="3"/>
      <c r="G256" s="3"/>
      <c r="H256" s="3"/>
    </row>
    <row r="257" spans="3:11" x14ac:dyDescent="0.2">
      <c r="E257" s="3"/>
      <c r="F257" s="3"/>
      <c r="G257" s="3"/>
      <c r="H257" s="3"/>
    </row>
    <row r="258" spans="3:11" x14ac:dyDescent="0.2">
      <c r="E258" s="3"/>
      <c r="F258" s="3"/>
      <c r="G258" s="3"/>
      <c r="H258" s="3"/>
    </row>
    <row r="259" spans="3:11" ht="18" customHeight="1" x14ac:dyDescent="0.2">
      <c r="D259" s="164" t="s">
        <v>159</v>
      </c>
      <c r="E259" s="182"/>
      <c r="F259" s="182"/>
      <c r="G259" s="182"/>
      <c r="H259" s="182"/>
      <c r="I259" s="182"/>
      <c r="J259" s="182"/>
      <c r="K259" s="182"/>
    </row>
    <row r="260" spans="3:11" x14ac:dyDescent="0.2">
      <c r="D260" s="28"/>
      <c r="E260" s="28"/>
      <c r="F260" s="28"/>
      <c r="G260" s="28"/>
      <c r="H260" s="28"/>
    </row>
    <row r="261" spans="3:11" x14ac:dyDescent="0.2">
      <c r="D261" s="29"/>
      <c r="E261" s="29"/>
      <c r="F261" s="29"/>
      <c r="G261" s="29"/>
      <c r="H261" s="29"/>
    </row>
    <row r="262" spans="3:11" ht="13.5" customHeight="1" x14ac:dyDescent="0.2">
      <c r="C262" s="181" t="s">
        <v>120</v>
      </c>
      <c r="D262" s="155">
        <v>2019</v>
      </c>
      <c r="E262" s="155">
        <v>2020</v>
      </c>
      <c r="F262" s="155">
        <v>2021</v>
      </c>
      <c r="G262" s="155">
        <v>2022</v>
      </c>
      <c r="H262" s="155">
        <v>2023</v>
      </c>
      <c r="I262" s="155">
        <v>2024</v>
      </c>
      <c r="J262" s="155">
        <v>2025</v>
      </c>
      <c r="K262" s="155" t="s">
        <v>36</v>
      </c>
    </row>
    <row r="263" spans="3:11" ht="12" customHeight="1" thickBot="1" x14ac:dyDescent="0.25">
      <c r="C263" s="162"/>
      <c r="D263" s="156"/>
      <c r="E263" s="156"/>
      <c r="F263" s="156"/>
      <c r="G263" s="156"/>
      <c r="H263" s="156"/>
      <c r="I263" s="156"/>
      <c r="J263" s="156"/>
      <c r="K263" s="156"/>
    </row>
    <row r="264" spans="3:11" x14ac:dyDescent="0.2">
      <c r="C264" s="87" t="s">
        <v>123</v>
      </c>
      <c r="D264" s="47">
        <f t="shared" ref="D264:K273" si="16">+IFERROR(IF(D222&gt;0,+((D222/D14)*100)," "),"0")</f>
        <v>67.916266942097451</v>
      </c>
      <c r="E264" s="47">
        <f t="shared" si="16"/>
        <v>88.493955106218507</v>
      </c>
      <c r="F264" s="47">
        <f t="shared" si="16"/>
        <v>94.035540477828789</v>
      </c>
      <c r="G264" s="47">
        <f t="shared" si="16"/>
        <v>87.617903200106397</v>
      </c>
      <c r="H264" s="47">
        <f t="shared" si="16"/>
        <v>62.430897631485514</v>
      </c>
      <c r="I264" s="47">
        <f t="shared" si="16"/>
        <v>66.990464108644659</v>
      </c>
      <c r="J264" s="47">
        <f t="shared" si="16"/>
        <v>79.092045401066429</v>
      </c>
      <c r="K264" s="47">
        <f t="shared" si="16"/>
        <v>22.041794109143737</v>
      </c>
    </row>
    <row r="265" spans="3:11" x14ac:dyDescent="0.2">
      <c r="C265" s="88" t="s">
        <v>124</v>
      </c>
      <c r="D265" s="116">
        <f t="shared" si="16"/>
        <v>92.218588351843422</v>
      </c>
      <c r="E265" s="116">
        <f t="shared" si="16"/>
        <v>89.854209666372626</v>
      </c>
      <c r="F265" s="116">
        <f t="shared" si="16"/>
        <v>83.035206831696868</v>
      </c>
      <c r="G265" s="116">
        <f t="shared" si="16"/>
        <v>84.303992932115364</v>
      </c>
      <c r="H265" s="116">
        <f t="shared" si="16"/>
        <v>80.257795621418808</v>
      </c>
      <c r="I265" s="116">
        <f t="shared" si="16"/>
        <v>79.181340799927369</v>
      </c>
      <c r="J265" s="116">
        <f t="shared" si="16"/>
        <v>91.150907277187258</v>
      </c>
      <c r="K265" s="116">
        <f t="shared" si="16"/>
        <v>52.504233216552379</v>
      </c>
    </row>
    <row r="266" spans="3:11" x14ac:dyDescent="0.2">
      <c r="C266" s="87" t="s">
        <v>125</v>
      </c>
      <c r="D266" s="47" t="str">
        <f t="shared" si="16"/>
        <v xml:space="preserve"> </v>
      </c>
      <c r="E266" s="47" t="str">
        <f t="shared" si="16"/>
        <v xml:space="preserve"> </v>
      </c>
      <c r="F266" s="47" t="str">
        <f t="shared" si="16"/>
        <v xml:space="preserve"> </v>
      </c>
      <c r="G266" s="47" t="str">
        <f t="shared" si="16"/>
        <v xml:space="preserve"> </v>
      </c>
      <c r="H266" s="47" t="str">
        <f t="shared" si="16"/>
        <v xml:space="preserve"> </v>
      </c>
      <c r="I266" s="47" t="str">
        <f t="shared" si="16"/>
        <v xml:space="preserve"> </v>
      </c>
      <c r="J266" s="47" t="str">
        <f t="shared" si="16"/>
        <v xml:space="preserve"> </v>
      </c>
      <c r="K266" s="47" t="str">
        <f t="shared" si="16"/>
        <v xml:space="preserve"> </v>
      </c>
    </row>
    <row r="267" spans="3:11" x14ac:dyDescent="0.2">
      <c r="C267" s="88" t="s">
        <v>126</v>
      </c>
      <c r="D267" s="116">
        <f t="shared" si="16"/>
        <v>92.153788779429931</v>
      </c>
      <c r="E267" s="116">
        <f t="shared" si="16"/>
        <v>87.105563501676869</v>
      </c>
      <c r="F267" s="116">
        <f t="shared" si="16"/>
        <v>86.01044103586753</v>
      </c>
      <c r="G267" s="116">
        <f t="shared" si="16"/>
        <v>88.869788614071069</v>
      </c>
      <c r="H267" s="116">
        <f t="shared" si="16"/>
        <v>87.002444493078826</v>
      </c>
      <c r="I267" s="116">
        <f t="shared" si="16"/>
        <v>82.512298180433092</v>
      </c>
      <c r="J267" s="116">
        <f t="shared" si="16"/>
        <v>85.418576973236625</v>
      </c>
      <c r="K267" s="116">
        <f t="shared" si="16"/>
        <v>32.336843885405933</v>
      </c>
    </row>
    <row r="268" spans="3:11" x14ac:dyDescent="0.2">
      <c r="C268" s="87" t="s">
        <v>127</v>
      </c>
      <c r="D268" s="47" t="str">
        <f t="shared" si="16"/>
        <v xml:space="preserve"> </v>
      </c>
      <c r="E268" s="47" t="str">
        <f t="shared" si="16"/>
        <v xml:space="preserve"> </v>
      </c>
      <c r="F268" s="47" t="str">
        <f t="shared" si="16"/>
        <v xml:space="preserve"> </v>
      </c>
      <c r="G268" s="47" t="str">
        <f t="shared" si="16"/>
        <v xml:space="preserve"> </v>
      </c>
      <c r="H268" s="47" t="str">
        <f t="shared" si="16"/>
        <v xml:space="preserve"> </v>
      </c>
      <c r="I268" s="47" t="str">
        <f t="shared" si="16"/>
        <v xml:space="preserve"> </v>
      </c>
      <c r="J268" s="47" t="str">
        <f t="shared" si="16"/>
        <v xml:space="preserve"> </v>
      </c>
      <c r="K268" s="47" t="str">
        <f t="shared" si="16"/>
        <v xml:space="preserve"> </v>
      </c>
    </row>
    <row r="269" spans="3:11" x14ac:dyDescent="0.2">
      <c r="C269" s="88" t="s">
        <v>128</v>
      </c>
      <c r="D269" s="116">
        <f t="shared" si="16"/>
        <v>92.101877268639925</v>
      </c>
      <c r="E269" s="116">
        <f t="shared" si="16"/>
        <v>88.953738880026734</v>
      </c>
      <c r="F269" s="116">
        <f t="shared" si="16"/>
        <v>60.716796351529098</v>
      </c>
      <c r="G269" s="116">
        <f t="shared" si="16"/>
        <v>53.988848629800714</v>
      </c>
      <c r="H269" s="116">
        <f t="shared" si="16"/>
        <v>69.087716972061983</v>
      </c>
      <c r="I269" s="116">
        <f t="shared" si="16"/>
        <v>51.476186630897082</v>
      </c>
      <c r="J269" s="116">
        <f t="shared" si="16"/>
        <v>86.175047117197963</v>
      </c>
      <c r="K269" s="116">
        <f t="shared" si="16"/>
        <v>17.364149104726966</v>
      </c>
    </row>
    <row r="270" spans="3:11" x14ac:dyDescent="0.2">
      <c r="C270" s="87" t="s">
        <v>129</v>
      </c>
      <c r="D270" s="47">
        <f t="shared" si="16"/>
        <v>83.517705163438279</v>
      </c>
      <c r="E270" s="47">
        <f t="shared" si="16"/>
        <v>89.534404706537742</v>
      </c>
      <c r="F270" s="47">
        <f t="shared" si="16"/>
        <v>71.622105362993111</v>
      </c>
      <c r="G270" s="47">
        <f t="shared" si="16"/>
        <v>87.612575853846479</v>
      </c>
      <c r="H270" s="47">
        <f t="shared" si="16"/>
        <v>81.043791179272745</v>
      </c>
      <c r="I270" s="47">
        <f t="shared" si="16"/>
        <v>79.10392083248972</v>
      </c>
      <c r="J270" s="47">
        <f t="shared" si="16"/>
        <v>88.187026547084855</v>
      </c>
      <c r="K270" s="47">
        <f t="shared" si="16"/>
        <v>28.911008616113715</v>
      </c>
    </row>
    <row r="271" spans="3:11" x14ac:dyDescent="0.2">
      <c r="C271" s="88" t="s">
        <v>130</v>
      </c>
      <c r="D271" s="116" t="str">
        <f t="shared" si="16"/>
        <v xml:space="preserve"> </v>
      </c>
      <c r="E271" s="116" t="str">
        <f t="shared" si="16"/>
        <v xml:space="preserve"> </v>
      </c>
      <c r="F271" s="116" t="str">
        <f t="shared" si="16"/>
        <v xml:space="preserve"> </v>
      </c>
      <c r="G271" s="116" t="str">
        <f t="shared" si="16"/>
        <v xml:space="preserve"> </v>
      </c>
      <c r="H271" s="116" t="str">
        <f t="shared" si="16"/>
        <v xml:space="preserve"> </v>
      </c>
      <c r="I271" s="116" t="str">
        <f t="shared" si="16"/>
        <v xml:space="preserve"> </v>
      </c>
      <c r="J271" s="116" t="str">
        <f t="shared" si="16"/>
        <v xml:space="preserve"> </v>
      </c>
      <c r="K271" s="116" t="str">
        <f t="shared" si="16"/>
        <v xml:space="preserve"> </v>
      </c>
    </row>
    <row r="272" spans="3:11" x14ac:dyDescent="0.2">
      <c r="C272" s="87" t="s">
        <v>131</v>
      </c>
      <c r="D272" s="47">
        <f t="shared" si="16"/>
        <v>83.149949091802881</v>
      </c>
      <c r="E272" s="47">
        <f t="shared" si="16"/>
        <v>63.875148878273649</v>
      </c>
      <c r="F272" s="47">
        <f t="shared" si="16"/>
        <v>62.892189216420746</v>
      </c>
      <c r="G272" s="47">
        <f t="shared" si="16"/>
        <v>70.279151152814904</v>
      </c>
      <c r="H272" s="47">
        <f t="shared" si="16"/>
        <v>75.656554031618668</v>
      </c>
      <c r="I272" s="47">
        <f t="shared" si="16"/>
        <v>76.569733276119365</v>
      </c>
      <c r="J272" s="47">
        <f t="shared" si="16"/>
        <v>72.024947134811825</v>
      </c>
      <c r="K272" s="47">
        <f t="shared" si="16"/>
        <v>23.320859927158093</v>
      </c>
    </row>
    <row r="273" spans="3:11" x14ac:dyDescent="0.2">
      <c r="C273" s="88" t="s">
        <v>132</v>
      </c>
      <c r="D273" s="116">
        <f t="shared" si="16"/>
        <v>81.719969303770327</v>
      </c>
      <c r="E273" s="116">
        <f t="shared" si="16"/>
        <v>62.790206543262229</v>
      </c>
      <c r="F273" s="116">
        <f t="shared" si="16"/>
        <v>53.556089620110328</v>
      </c>
      <c r="G273" s="116">
        <f t="shared" si="16"/>
        <v>64.131449786582834</v>
      </c>
      <c r="H273" s="116">
        <f t="shared" si="16"/>
        <v>66.789847842053192</v>
      </c>
      <c r="I273" s="116">
        <f t="shared" si="16"/>
        <v>80.933661561612354</v>
      </c>
      <c r="J273" s="116">
        <f t="shared" si="16"/>
        <v>81.522839150255237</v>
      </c>
      <c r="K273" s="116">
        <f t="shared" si="16"/>
        <v>27.626305993599559</v>
      </c>
    </row>
    <row r="274" spans="3:11" x14ac:dyDescent="0.2">
      <c r="C274" s="87" t="s">
        <v>133</v>
      </c>
      <c r="D274" s="47">
        <f t="shared" ref="D274:K283" si="17">+IFERROR(IF(D232&gt;0,+((D232/D24)*100)," "),"0")</f>
        <v>58.709761561308305</v>
      </c>
      <c r="E274" s="47">
        <f t="shared" si="17"/>
        <v>60.322017884504099</v>
      </c>
      <c r="F274" s="47">
        <f t="shared" si="17"/>
        <v>81.556845399619576</v>
      </c>
      <c r="G274" s="47">
        <f t="shared" si="17"/>
        <v>72.294930103923065</v>
      </c>
      <c r="H274" s="47">
        <f t="shared" si="17"/>
        <v>79.282548397188023</v>
      </c>
      <c r="I274" s="47">
        <f t="shared" si="17"/>
        <v>86.986187783265407</v>
      </c>
      <c r="J274" s="47">
        <f t="shared" si="17"/>
        <v>90.003200892496366</v>
      </c>
      <c r="K274" s="47">
        <f t="shared" si="17"/>
        <v>29.692997063243208</v>
      </c>
    </row>
    <row r="275" spans="3:11" x14ac:dyDescent="0.2">
      <c r="C275" s="88" t="s">
        <v>134</v>
      </c>
      <c r="D275" s="116">
        <f t="shared" si="17"/>
        <v>87.172404925204916</v>
      </c>
      <c r="E275" s="116">
        <f t="shared" si="17"/>
        <v>83.541644096687278</v>
      </c>
      <c r="F275" s="116">
        <f t="shared" si="17"/>
        <v>75.81969958774512</v>
      </c>
      <c r="G275" s="116">
        <f t="shared" si="17"/>
        <v>87.175417717567612</v>
      </c>
      <c r="H275" s="116">
        <f t="shared" si="17"/>
        <v>84.32543785291918</v>
      </c>
      <c r="I275" s="116">
        <f t="shared" si="17"/>
        <v>74.007742336080923</v>
      </c>
      <c r="J275" s="116">
        <f t="shared" si="17"/>
        <v>85.939616604657061</v>
      </c>
      <c r="K275" s="116">
        <f t="shared" si="17"/>
        <v>33.098858623986047</v>
      </c>
    </row>
    <row r="276" spans="3:11" x14ac:dyDescent="0.2">
      <c r="C276" s="87" t="s">
        <v>135</v>
      </c>
      <c r="D276" s="47" t="str">
        <f t="shared" si="17"/>
        <v xml:space="preserve"> </v>
      </c>
      <c r="E276" s="47" t="str">
        <f t="shared" si="17"/>
        <v xml:space="preserve"> </v>
      </c>
      <c r="F276" s="47" t="str">
        <f t="shared" si="17"/>
        <v xml:space="preserve"> </v>
      </c>
      <c r="G276" s="47" t="str">
        <f t="shared" si="17"/>
        <v xml:space="preserve"> </v>
      </c>
      <c r="H276" s="47" t="str">
        <f t="shared" si="17"/>
        <v xml:space="preserve"> </v>
      </c>
      <c r="I276" s="47">
        <f t="shared" si="17"/>
        <v>83.135086165299469</v>
      </c>
      <c r="J276" s="47">
        <f t="shared" si="17"/>
        <v>95.163510418747649</v>
      </c>
      <c r="K276" s="47">
        <f t="shared" si="17"/>
        <v>41.204929247577979</v>
      </c>
    </row>
    <row r="277" spans="3:11" x14ac:dyDescent="0.2">
      <c r="C277" s="88" t="s">
        <v>136</v>
      </c>
      <c r="D277" s="116">
        <f t="shared" si="17"/>
        <v>90.896261907440561</v>
      </c>
      <c r="E277" s="116">
        <f t="shared" si="17"/>
        <v>91.369191084997738</v>
      </c>
      <c r="F277" s="116">
        <f t="shared" si="17"/>
        <v>83.801577729980991</v>
      </c>
      <c r="G277" s="116">
        <f t="shared" si="17"/>
        <v>90.678483683069416</v>
      </c>
      <c r="H277" s="116">
        <f t="shared" si="17"/>
        <v>88.245961695713888</v>
      </c>
      <c r="I277" s="116">
        <f t="shared" si="17"/>
        <v>1.3009201506773245</v>
      </c>
      <c r="J277" s="116">
        <f t="shared" si="17"/>
        <v>86.041566397993051</v>
      </c>
      <c r="K277" s="116">
        <f t="shared" si="17"/>
        <v>0.3194594375867667</v>
      </c>
    </row>
    <row r="278" spans="3:11" x14ac:dyDescent="0.2">
      <c r="C278" s="87" t="s">
        <v>137</v>
      </c>
      <c r="D278" s="47">
        <f t="shared" si="17"/>
        <v>60.9811593497679</v>
      </c>
      <c r="E278" s="47">
        <f t="shared" si="17"/>
        <v>72.019583521420529</v>
      </c>
      <c r="F278" s="47">
        <f t="shared" si="17"/>
        <v>50.404778273682972</v>
      </c>
      <c r="G278" s="47">
        <f t="shared" si="17"/>
        <v>31.859479620006653</v>
      </c>
      <c r="H278" s="47">
        <f t="shared" si="17"/>
        <v>21.544598940271626</v>
      </c>
      <c r="I278" s="47">
        <f t="shared" si="17"/>
        <v>65.378302886201539</v>
      </c>
      <c r="J278" s="47">
        <f t="shared" si="17"/>
        <v>70.337288005552153</v>
      </c>
      <c r="K278" s="47">
        <f t="shared" si="17"/>
        <v>34.938529302201736</v>
      </c>
    </row>
    <row r="279" spans="3:11" x14ac:dyDescent="0.2">
      <c r="C279" s="88" t="s">
        <v>138</v>
      </c>
      <c r="D279" s="116" t="str">
        <f t="shared" si="17"/>
        <v xml:space="preserve"> </v>
      </c>
      <c r="E279" s="116" t="str">
        <f t="shared" si="17"/>
        <v xml:space="preserve"> </v>
      </c>
      <c r="F279" s="116" t="str">
        <f t="shared" si="17"/>
        <v xml:space="preserve"> </v>
      </c>
      <c r="G279" s="116" t="str">
        <f t="shared" si="17"/>
        <v xml:space="preserve"> </v>
      </c>
      <c r="H279" s="116" t="str">
        <f t="shared" si="17"/>
        <v xml:space="preserve"> </v>
      </c>
      <c r="I279" s="116" t="str">
        <f t="shared" si="17"/>
        <v xml:space="preserve"> </v>
      </c>
      <c r="J279" s="116" t="str">
        <f t="shared" si="17"/>
        <v xml:space="preserve"> </v>
      </c>
      <c r="K279" s="116" t="str">
        <f t="shared" si="17"/>
        <v xml:space="preserve"> </v>
      </c>
    </row>
    <row r="280" spans="3:11" x14ac:dyDescent="0.2">
      <c r="C280" s="87" t="s">
        <v>160</v>
      </c>
      <c r="D280" s="47">
        <f t="shared" si="17"/>
        <v>75.479327806688616</v>
      </c>
      <c r="E280" s="47">
        <f t="shared" si="17"/>
        <v>46.544666557463714</v>
      </c>
      <c r="F280" s="47">
        <f t="shared" si="17"/>
        <v>81.201338003968402</v>
      </c>
      <c r="G280" s="47">
        <f t="shared" si="17"/>
        <v>66.924871578796342</v>
      </c>
      <c r="H280" s="47">
        <f t="shared" si="17"/>
        <v>80.724658285339771</v>
      </c>
      <c r="I280" s="47">
        <f t="shared" si="17"/>
        <v>79.905592286641934</v>
      </c>
      <c r="J280" s="47">
        <f t="shared" si="17"/>
        <v>73.785621930395692</v>
      </c>
      <c r="K280" s="47">
        <f t="shared" si="17"/>
        <v>26.874821042065726</v>
      </c>
    </row>
    <row r="281" spans="3:11" x14ac:dyDescent="0.2">
      <c r="C281" s="88" t="s">
        <v>161</v>
      </c>
      <c r="D281" s="116">
        <f t="shared" si="17"/>
        <v>87.319271517911375</v>
      </c>
      <c r="E281" s="116">
        <f t="shared" si="17"/>
        <v>86.374147929280767</v>
      </c>
      <c r="F281" s="116">
        <f t="shared" si="17"/>
        <v>75.840574567407742</v>
      </c>
      <c r="G281" s="116">
        <f t="shared" si="17"/>
        <v>72.036574110591715</v>
      </c>
      <c r="H281" s="116">
        <f t="shared" si="17"/>
        <v>54.159078492612643</v>
      </c>
      <c r="I281" s="116">
        <f t="shared" si="17"/>
        <v>69.121151961941337</v>
      </c>
      <c r="J281" s="116">
        <f t="shared" si="17"/>
        <v>81.764865878143425</v>
      </c>
      <c r="K281" s="116">
        <f t="shared" si="17"/>
        <v>24.289982884746276</v>
      </c>
    </row>
    <row r="282" spans="3:11" x14ac:dyDescent="0.2">
      <c r="C282" s="87" t="s">
        <v>140</v>
      </c>
      <c r="D282" s="47">
        <f t="shared" si="17"/>
        <v>84.438136715579532</v>
      </c>
      <c r="E282" s="47">
        <f t="shared" si="17"/>
        <v>89.723922660016726</v>
      </c>
      <c r="F282" s="47">
        <f t="shared" si="17"/>
        <v>81.009885925755071</v>
      </c>
      <c r="G282" s="47">
        <f t="shared" si="17"/>
        <v>79.355551696795828</v>
      </c>
      <c r="H282" s="47">
        <f t="shared" si="17"/>
        <v>76.840784911372879</v>
      </c>
      <c r="I282" s="47">
        <f t="shared" si="17"/>
        <v>93.815995152865767</v>
      </c>
      <c r="J282" s="47">
        <f t="shared" si="17"/>
        <v>94.663951213672718</v>
      </c>
      <c r="K282" s="47">
        <f t="shared" si="17"/>
        <v>51.362435079943012</v>
      </c>
    </row>
    <row r="283" spans="3:11" x14ac:dyDescent="0.2">
      <c r="C283" s="88" t="s">
        <v>141</v>
      </c>
      <c r="D283" s="116">
        <f t="shared" si="17"/>
        <v>75.585355593042891</v>
      </c>
      <c r="E283" s="116">
        <f t="shared" si="17"/>
        <v>48.00903998744554</v>
      </c>
      <c r="F283" s="116">
        <f t="shared" si="17"/>
        <v>55.397149126288816</v>
      </c>
      <c r="G283" s="116">
        <f t="shared" si="17"/>
        <v>49.674188679059547</v>
      </c>
      <c r="H283" s="116">
        <f t="shared" si="17"/>
        <v>39.99359372104788</v>
      </c>
      <c r="I283" s="116">
        <f t="shared" si="17"/>
        <v>95.327924796957191</v>
      </c>
      <c r="J283" s="116">
        <f t="shared" si="17"/>
        <v>87.257050927797792</v>
      </c>
      <c r="K283" s="116">
        <f t="shared" si="17"/>
        <v>28.497789223276389</v>
      </c>
    </row>
    <row r="284" spans="3:11" x14ac:dyDescent="0.2">
      <c r="C284" s="87" t="s">
        <v>142</v>
      </c>
      <c r="D284" s="47">
        <f t="shared" ref="D284:K293" si="18">+IFERROR(IF(D242&gt;0,+((D242/D34)*100)," "),"0")</f>
        <v>91.194220467760928</v>
      </c>
      <c r="E284" s="47">
        <f t="shared" si="18"/>
        <v>85.069061890269651</v>
      </c>
      <c r="F284" s="47">
        <f t="shared" si="18"/>
        <v>39.524770448325441</v>
      </c>
      <c r="G284" s="47">
        <f t="shared" si="18"/>
        <v>64.439019907725509</v>
      </c>
      <c r="H284" s="47">
        <f t="shared" si="18"/>
        <v>87.585304039849561</v>
      </c>
      <c r="I284" s="47">
        <f t="shared" si="18"/>
        <v>85.551817807498267</v>
      </c>
      <c r="J284" s="47">
        <f t="shared" si="18"/>
        <v>84.408176817400545</v>
      </c>
      <c r="K284" s="47">
        <f t="shared" si="18"/>
        <v>29.940773247837051</v>
      </c>
    </row>
    <row r="285" spans="3:11" x14ac:dyDescent="0.2">
      <c r="C285" s="88" t="s">
        <v>143</v>
      </c>
      <c r="D285" s="116">
        <f t="shared" si="18"/>
        <v>43.681880748178678</v>
      </c>
      <c r="E285" s="116">
        <f t="shared" si="18"/>
        <v>24.324556812749826</v>
      </c>
      <c r="F285" s="116">
        <f t="shared" si="18"/>
        <v>35.086537670138675</v>
      </c>
      <c r="G285" s="116">
        <f t="shared" si="18"/>
        <v>53.5511412386359</v>
      </c>
      <c r="H285" s="116">
        <f t="shared" si="18"/>
        <v>7.8253599561365812</v>
      </c>
      <c r="I285" s="116">
        <f t="shared" si="18"/>
        <v>16.643308876290316</v>
      </c>
      <c r="J285" s="116">
        <f t="shared" si="18"/>
        <v>49.498392997229637</v>
      </c>
      <c r="K285" s="116">
        <f t="shared" si="18"/>
        <v>13.413841467380719</v>
      </c>
    </row>
    <row r="286" spans="3:11" x14ac:dyDescent="0.2">
      <c r="C286" s="87" t="s">
        <v>144</v>
      </c>
      <c r="D286" s="47" t="str">
        <f t="shared" si="18"/>
        <v xml:space="preserve"> </v>
      </c>
      <c r="E286" s="47" t="str">
        <f t="shared" si="18"/>
        <v xml:space="preserve"> </v>
      </c>
      <c r="F286" s="47" t="str">
        <f t="shared" si="18"/>
        <v xml:space="preserve"> </v>
      </c>
      <c r="G286" s="47" t="str">
        <f t="shared" si="18"/>
        <v xml:space="preserve"> </v>
      </c>
      <c r="H286" s="47" t="str">
        <f t="shared" si="18"/>
        <v xml:space="preserve"> </v>
      </c>
      <c r="I286" s="47" t="str">
        <f t="shared" si="18"/>
        <v xml:space="preserve"> </v>
      </c>
      <c r="J286" s="47" t="str">
        <f t="shared" si="18"/>
        <v xml:space="preserve"> </v>
      </c>
      <c r="K286" s="47" t="str">
        <f t="shared" si="18"/>
        <v xml:space="preserve"> </v>
      </c>
    </row>
    <row r="287" spans="3:11" x14ac:dyDescent="0.2">
      <c r="C287" s="88" t="s">
        <v>145</v>
      </c>
      <c r="D287" s="116">
        <f t="shared" si="18"/>
        <v>85.913443608744672</v>
      </c>
      <c r="E287" s="116">
        <f t="shared" si="18"/>
        <v>83.453170154996542</v>
      </c>
      <c r="F287" s="116">
        <f t="shared" si="18"/>
        <v>66.547936626982334</v>
      </c>
      <c r="G287" s="116">
        <f t="shared" si="18"/>
        <v>69.999445529086771</v>
      </c>
      <c r="H287" s="116">
        <f t="shared" si="18"/>
        <v>70.415794208082232</v>
      </c>
      <c r="I287" s="116">
        <f t="shared" si="18"/>
        <v>45.349313574170367</v>
      </c>
      <c r="J287" s="116">
        <f t="shared" si="18"/>
        <v>66.887038420085815</v>
      </c>
      <c r="K287" s="116">
        <f t="shared" si="18"/>
        <v>25.434026057681379</v>
      </c>
    </row>
    <row r="288" spans="3:11" x14ac:dyDescent="0.2">
      <c r="C288" s="87" t="s">
        <v>146</v>
      </c>
      <c r="D288" s="47">
        <f t="shared" si="18"/>
        <v>89.658953878413442</v>
      </c>
      <c r="E288" s="47">
        <f t="shared" si="18"/>
        <v>62.582460209208158</v>
      </c>
      <c r="F288" s="47">
        <f t="shared" si="18"/>
        <v>94.582074629866369</v>
      </c>
      <c r="G288" s="47">
        <f t="shared" si="18"/>
        <v>94.144666786442073</v>
      </c>
      <c r="H288" s="47">
        <f t="shared" si="18"/>
        <v>88.531397362795261</v>
      </c>
      <c r="I288" s="47">
        <f t="shared" si="18"/>
        <v>88.238533134815839</v>
      </c>
      <c r="J288" s="47">
        <f t="shared" si="18"/>
        <v>87.989565937520425</v>
      </c>
      <c r="K288" s="47">
        <f t="shared" si="18"/>
        <v>41.163488729737857</v>
      </c>
    </row>
    <row r="289" spans="1:11" x14ac:dyDescent="0.2">
      <c r="C289" s="88" t="s">
        <v>162</v>
      </c>
      <c r="D289" s="116">
        <f t="shared" si="18"/>
        <v>87.087701151131526</v>
      </c>
      <c r="E289" s="116">
        <f t="shared" si="18"/>
        <v>85.069080302858382</v>
      </c>
      <c r="F289" s="116">
        <f t="shared" si="18"/>
        <v>80.686080099912772</v>
      </c>
      <c r="G289" s="116">
        <f t="shared" si="18"/>
        <v>81.073002225327613</v>
      </c>
      <c r="H289" s="116">
        <f t="shared" si="18"/>
        <v>81.036036742188145</v>
      </c>
      <c r="I289" s="116">
        <f t="shared" si="18"/>
        <v>81.348146342172186</v>
      </c>
      <c r="J289" s="116">
        <f t="shared" si="18"/>
        <v>85.307615091309145</v>
      </c>
      <c r="K289" s="116">
        <f t="shared" si="18"/>
        <v>30.191314606042376</v>
      </c>
    </row>
    <row r="290" spans="1:11" x14ac:dyDescent="0.2">
      <c r="C290" s="87" t="s">
        <v>148</v>
      </c>
      <c r="D290" s="47" t="str">
        <f t="shared" si="18"/>
        <v xml:space="preserve"> </v>
      </c>
      <c r="E290" s="47" t="str">
        <f t="shared" si="18"/>
        <v xml:space="preserve"> </v>
      </c>
      <c r="F290" s="47" t="str">
        <f t="shared" si="18"/>
        <v xml:space="preserve"> </v>
      </c>
      <c r="G290" s="47" t="str">
        <f t="shared" si="18"/>
        <v xml:space="preserve"> </v>
      </c>
      <c r="H290" s="47" t="str">
        <f t="shared" si="18"/>
        <v xml:space="preserve"> </v>
      </c>
      <c r="I290" s="47" t="str">
        <f t="shared" si="18"/>
        <v xml:space="preserve"> </v>
      </c>
      <c r="J290" s="47" t="str">
        <f t="shared" si="18"/>
        <v xml:space="preserve"> </v>
      </c>
      <c r="K290" s="47" t="str">
        <f t="shared" si="18"/>
        <v xml:space="preserve"> </v>
      </c>
    </row>
    <row r="291" spans="1:11" x14ac:dyDescent="0.2">
      <c r="C291" s="88" t="s">
        <v>149</v>
      </c>
      <c r="D291" s="116">
        <f t="shared" si="18"/>
        <v>81.483417720250898</v>
      </c>
      <c r="E291" s="116">
        <f t="shared" si="18"/>
        <v>76.939929708117205</v>
      </c>
      <c r="F291" s="116">
        <f t="shared" si="18"/>
        <v>76.558398232041526</v>
      </c>
      <c r="G291" s="116">
        <f t="shared" si="18"/>
        <v>75.271482632750605</v>
      </c>
      <c r="H291" s="116">
        <f t="shared" si="18"/>
        <v>86.433997228947916</v>
      </c>
      <c r="I291" s="116">
        <f t="shared" si="18"/>
        <v>73.855710800509954</v>
      </c>
      <c r="J291" s="116">
        <f t="shared" si="18"/>
        <v>70.046500135336672</v>
      </c>
      <c r="K291" s="116">
        <f t="shared" si="18"/>
        <v>44.928333141347117</v>
      </c>
    </row>
    <row r="292" spans="1:11" x14ac:dyDescent="0.2">
      <c r="C292" s="87" t="s">
        <v>163</v>
      </c>
      <c r="D292" s="47">
        <f t="shared" si="18"/>
        <v>86.497380275282225</v>
      </c>
      <c r="E292" s="47">
        <f t="shared" si="18"/>
        <v>90.45742852545186</v>
      </c>
      <c r="F292" s="47">
        <f t="shared" si="18"/>
        <v>88.688604362838262</v>
      </c>
      <c r="G292" s="47">
        <f t="shared" si="18"/>
        <v>92.90427077219303</v>
      </c>
      <c r="H292" s="47">
        <f t="shared" si="18"/>
        <v>91.156137651990207</v>
      </c>
      <c r="I292" s="47">
        <f t="shared" si="18"/>
        <v>89.595273580225026</v>
      </c>
      <c r="J292" s="47">
        <f t="shared" si="18"/>
        <v>86.001223399596356</v>
      </c>
      <c r="K292" s="47">
        <f t="shared" si="18"/>
        <v>27.609139715609899</v>
      </c>
    </row>
    <row r="293" spans="1:11" x14ac:dyDescent="0.2">
      <c r="C293" s="88" t="s">
        <v>150</v>
      </c>
      <c r="D293" s="116">
        <f t="shared" si="18"/>
        <v>70.519983261621292</v>
      </c>
      <c r="E293" s="116">
        <f t="shared" si="18"/>
        <v>66.495378430519523</v>
      </c>
      <c r="F293" s="116">
        <f t="shared" si="18"/>
        <v>61.22524591324585</v>
      </c>
      <c r="G293" s="116">
        <f t="shared" si="18"/>
        <v>51.356426063953506</v>
      </c>
      <c r="H293" s="116">
        <f t="shared" si="18"/>
        <v>49.486671843420048</v>
      </c>
      <c r="I293" s="116">
        <f t="shared" si="18"/>
        <v>54.825330599041131</v>
      </c>
      <c r="J293" s="116">
        <f t="shared" si="18"/>
        <v>60.05814474811514</v>
      </c>
      <c r="K293" s="116">
        <f t="shared" si="18"/>
        <v>16.985622018874459</v>
      </c>
    </row>
    <row r="294" spans="1:11" x14ac:dyDescent="0.2">
      <c r="C294" s="87" t="s">
        <v>151</v>
      </c>
      <c r="D294" s="47" t="str">
        <f t="shared" ref="D294:K294" si="19">+IFERROR(IF(D252&gt;0,+((D252/D44)*100)," "),"0")</f>
        <v xml:space="preserve"> </v>
      </c>
      <c r="E294" s="47" t="str">
        <f t="shared" si="19"/>
        <v xml:space="preserve"> </v>
      </c>
      <c r="F294" s="47" t="str">
        <f t="shared" si="19"/>
        <v xml:space="preserve"> </v>
      </c>
      <c r="G294" s="47" t="str">
        <f t="shared" si="19"/>
        <v xml:space="preserve"> </v>
      </c>
      <c r="H294" s="47" t="str">
        <f t="shared" si="19"/>
        <v xml:space="preserve"> </v>
      </c>
      <c r="I294" s="47" t="str">
        <f t="shared" si="19"/>
        <v xml:space="preserve"> </v>
      </c>
      <c r="J294" s="47" t="str">
        <f t="shared" si="19"/>
        <v xml:space="preserve"> </v>
      </c>
      <c r="K294" s="47" t="str">
        <f t="shared" si="19"/>
        <v xml:space="preserve"> </v>
      </c>
    </row>
    <row r="295" spans="1:11" x14ac:dyDescent="0.2">
      <c r="C295" s="91" t="s">
        <v>154</v>
      </c>
      <c r="D295" s="74">
        <f t="shared" ref="D295:K295" si="20">+IFERROR(IF(D253&gt;0,+((D253/D45)*100)," "),"")</f>
        <v>82.670341438140156</v>
      </c>
      <c r="E295" s="74">
        <f t="shared" si="20"/>
        <v>81.933639218844149</v>
      </c>
      <c r="F295" s="74">
        <f t="shared" si="20"/>
        <v>73.85782830262869</v>
      </c>
      <c r="G295" s="74">
        <f t="shared" si="20"/>
        <v>77.202410482155841</v>
      </c>
      <c r="H295" s="74">
        <f t="shared" si="20"/>
        <v>76.373183041277386</v>
      </c>
      <c r="I295" s="74">
        <f t="shared" si="20"/>
        <v>78.164652669208209</v>
      </c>
      <c r="J295" s="74">
        <f t="shared" si="20"/>
        <v>82.472104705990574</v>
      </c>
      <c r="K295" s="74">
        <f t="shared" si="20"/>
        <v>31.821634689738648</v>
      </c>
    </row>
    <row r="296" spans="1:11" s="31" customFormat="1" x14ac:dyDescent="0.2">
      <c r="A296" s="5"/>
      <c r="B296" s="5"/>
      <c r="C296" s="72" t="str">
        <f>+'C1 Aprop Resumen 2000-2026'!B20</f>
        <v>* Información con corte a 30 de Junio</v>
      </c>
      <c r="D296" s="69"/>
      <c r="E296" s="69"/>
      <c r="F296" s="69"/>
      <c r="G296" s="69"/>
      <c r="H296" s="69"/>
      <c r="I296" s="69"/>
    </row>
    <row r="297" spans="1:11" x14ac:dyDescent="0.2">
      <c r="C297" s="1" t="s">
        <v>52</v>
      </c>
      <c r="D297" s="11"/>
    </row>
  </sheetData>
  <mergeCells count="82">
    <mergeCell ref="C137:C138"/>
    <mergeCell ref="I95:I96"/>
    <mergeCell ref="D218:K218"/>
    <mergeCell ref="D179:D180"/>
    <mergeCell ref="F95:F96"/>
    <mergeCell ref="E137:E138"/>
    <mergeCell ref="G137:G138"/>
    <mergeCell ref="C179:C180"/>
    <mergeCell ref="I179:I180"/>
    <mergeCell ref="I137:I138"/>
    <mergeCell ref="K137:K138"/>
    <mergeCell ref="D7:D8"/>
    <mergeCell ref="D2:K4"/>
    <mergeCell ref="E220:E221"/>
    <mergeCell ref="J137:J138"/>
    <mergeCell ref="F262:F263"/>
    <mergeCell ref="K179:K180"/>
    <mergeCell ref="E12:E13"/>
    <mergeCell ref="G12:G13"/>
    <mergeCell ref="F7:F8"/>
    <mergeCell ref="G7:G8"/>
    <mergeCell ref="I7:I8"/>
    <mergeCell ref="D12:D13"/>
    <mergeCell ref="H12:H13"/>
    <mergeCell ref="J12:J13"/>
    <mergeCell ref="H95:H96"/>
    <mergeCell ref="D51:K51"/>
    <mergeCell ref="C262:C263"/>
    <mergeCell ref="E179:E180"/>
    <mergeCell ref="D259:K259"/>
    <mergeCell ref="D93:K93"/>
    <mergeCell ref="D54:D55"/>
    <mergeCell ref="K95:K96"/>
    <mergeCell ref="J179:J180"/>
    <mergeCell ref="C54:C55"/>
    <mergeCell ref="H220:H221"/>
    <mergeCell ref="J220:J221"/>
    <mergeCell ref="K262:K263"/>
    <mergeCell ref="G220:G221"/>
    <mergeCell ref="H262:H263"/>
    <mergeCell ref="E54:E55"/>
    <mergeCell ref="C95:C96"/>
    <mergeCell ref="E95:E96"/>
    <mergeCell ref="C220:C221"/>
    <mergeCell ref="E262:E263"/>
    <mergeCell ref="F54:F55"/>
    <mergeCell ref="H54:H55"/>
    <mergeCell ref="G262:G263"/>
    <mergeCell ref="F137:F138"/>
    <mergeCell ref="H137:H138"/>
    <mergeCell ref="G179:G180"/>
    <mergeCell ref="F179:F180"/>
    <mergeCell ref="H179:H180"/>
    <mergeCell ref="D220:D221"/>
    <mergeCell ref="F220:F221"/>
    <mergeCell ref="D176:K176"/>
    <mergeCell ref="D262:D263"/>
    <mergeCell ref="I220:I221"/>
    <mergeCell ref="D137:D138"/>
    <mergeCell ref="D6:K6"/>
    <mergeCell ref="C12:C13"/>
    <mergeCell ref="J95:J96"/>
    <mergeCell ref="G95:G96"/>
    <mergeCell ref="D135:K135"/>
    <mergeCell ref="A6:C7"/>
    <mergeCell ref="E7:E8"/>
    <mergeCell ref="F12:F13"/>
    <mergeCell ref="D10:K10"/>
    <mergeCell ref="D95:D96"/>
    <mergeCell ref="A8:C8"/>
    <mergeCell ref="I12:I13"/>
    <mergeCell ref="K12:K13"/>
    <mergeCell ref="H7:H8"/>
    <mergeCell ref="J54:J55"/>
    <mergeCell ref="J7:J8"/>
    <mergeCell ref="K220:K221"/>
    <mergeCell ref="K7:K8"/>
    <mergeCell ref="I262:I263"/>
    <mergeCell ref="G54:G55"/>
    <mergeCell ref="J262:J263"/>
    <mergeCell ref="I54:I55"/>
    <mergeCell ref="K54:K55"/>
  </mergeCells>
  <pageMargins left="0.7" right="0.7" top="0.75" bottom="0.75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X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2.570312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8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2" customFormat="1" ht="16.5" customHeight="1" x14ac:dyDescent="0.25">
      <c r="A3" s="120"/>
      <c r="B3" s="98"/>
      <c r="C3" s="98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102" customFormat="1" ht="15" customHeight="1" x14ac:dyDescent="0.25">
      <c r="A4" s="99"/>
      <c r="B4" s="98"/>
      <c r="C4" s="98"/>
      <c r="D4" s="165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2" s="102" customFormat="1" ht="15" customHeight="1" x14ac:dyDescent="0.25">
      <c r="A5" s="169" t="s">
        <v>14</v>
      </c>
      <c r="B5" s="180"/>
      <c r="C5" s="18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5" customHeight="1" x14ac:dyDescent="0.2">
      <c r="C9" s="9"/>
      <c r="D9" s="164" t="s">
        <v>178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1" t="s">
        <v>120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56">
        <f>239.948334905*Deflactores!$A$5</f>
        <v>895.46692770852314</v>
      </c>
      <c r="E13" s="56">
        <f>236.429819511*Deflactores!$B$5</f>
        <v>819.64702875057469</v>
      </c>
      <c r="F13" s="56">
        <f>244.479754339*Deflactores!$C$5</f>
        <v>792.16720793816808</v>
      </c>
      <c r="G13" s="56">
        <f>287.346922097*Deflactores!$D$5</f>
        <v>874.31137552228665</v>
      </c>
      <c r="H13" s="56">
        <f>270.665247227*Deflactores!$E$5</f>
        <v>780.64222249714908</v>
      </c>
      <c r="I13" s="56">
        <f>289.96269958*Deflactores!$F$5</f>
        <v>797.57557370818438</v>
      </c>
      <c r="J13" s="56">
        <f>405.113899604*Deflactores!$G$5</f>
        <v>1066.5524533492012</v>
      </c>
      <c r="K13" s="56">
        <f>435.882848*Deflactores!$H$5</f>
        <v>1085.7319682198445</v>
      </c>
      <c r="L13" s="56">
        <f>744.0099*Deflactores!$I$5</f>
        <v>1721.1519568447263</v>
      </c>
      <c r="M13" s="56">
        <f>345.1489*Deflactores!$J$5</f>
        <v>782.77892477038438</v>
      </c>
      <c r="N13" s="56">
        <f>415.6007*Deflactores!$K$5</f>
        <v>913.58787211003266</v>
      </c>
      <c r="O13" s="56">
        <f>288.6703*Deflactores!$L$5</f>
        <v>611.76645495189769</v>
      </c>
      <c r="P13" s="56">
        <f>442.2660538*Deflactores!$M$5</f>
        <v>914.95048680085415</v>
      </c>
      <c r="Q13" s="56">
        <f>1416.008288392*Deflactores!$N$5</f>
        <v>2873.6584753398251</v>
      </c>
      <c r="R13" s="56">
        <f>419.795023402*Deflactores!$O$5</f>
        <v>821.85544776602808</v>
      </c>
      <c r="S13" s="56">
        <f>534.333841182*Deflactores!$P$5</f>
        <v>979.76425326934373</v>
      </c>
      <c r="T13" s="56">
        <f>531.192156513*Deflactores!$Q$5</f>
        <v>921.04359631021714</v>
      </c>
      <c r="U13" s="56">
        <f>594.493720535*Deflactores!$R$5</f>
        <v>990.30004053665982</v>
      </c>
      <c r="V13" s="56">
        <f>685.432306883*Deflactores!$S$5</f>
        <v>1106.5946649064267</v>
      </c>
    </row>
    <row r="14" spans="1:22" x14ac:dyDescent="0.2">
      <c r="C14" s="88" t="s">
        <v>124</v>
      </c>
      <c r="D14" s="57">
        <f>93.775796859*Deflactores!$A$5</f>
        <v>349.96335665339717</v>
      </c>
      <c r="E14" s="57">
        <f>97.251305587*Deflactores!$B$5</f>
        <v>337.1475892142704</v>
      </c>
      <c r="F14" s="57">
        <f>102.819736516*Deflactores!$C$5</f>
        <v>333.15815379901443</v>
      </c>
      <c r="G14" s="57">
        <f>110.4942676*Deflactores!$D$5</f>
        <v>336.20125243614797</v>
      </c>
      <c r="H14" s="57">
        <f>111.317485167*Deflactores!$E$5</f>
        <v>321.05757910870705</v>
      </c>
      <c r="I14" s="57">
        <f>118.847202884*Deflactores!$F$5</f>
        <v>326.90282633289894</v>
      </c>
      <c r="J14" s="57">
        <f>124.194613801*Deflactores!$G$5</f>
        <v>326.9699464069073</v>
      </c>
      <c r="K14" s="57">
        <f>134.082646611*Deflactores!$H$5</f>
        <v>333.98381348808402</v>
      </c>
      <c r="L14" s="57">
        <f>1053.453945815*Deflactores!$I$5</f>
        <v>2437.0029488657146</v>
      </c>
      <c r="M14" s="57">
        <f>1263.270433444*Deflactores!$J$5</f>
        <v>2865.0286052932852</v>
      </c>
      <c r="N14" s="57">
        <f>1397.872596732*Deflactores!$K$5</f>
        <v>3072.8520214939808</v>
      </c>
      <c r="O14" s="57">
        <f>1107.068853688*Deflactores!$L$5</f>
        <v>2346.163037930708</v>
      </c>
      <c r="P14" s="57">
        <f>237.813748668*Deflactores!$M$5</f>
        <v>491.98396133319187</v>
      </c>
      <c r="Q14" s="57">
        <f>272.289069*Deflactores!$N$5</f>
        <v>552.58560086734951</v>
      </c>
      <c r="R14" s="57">
        <f>280.407476344*Deflactores!$O$5</f>
        <v>548.96889953589209</v>
      </c>
      <c r="S14" s="57">
        <f>283.911320172*Deflactores!$P$5</f>
        <v>520.58496236678866</v>
      </c>
      <c r="T14" s="57">
        <f>290.024351777*Deflactores!$Q$5</f>
        <v>502.87841923676854</v>
      </c>
      <c r="U14" s="57">
        <f>303.55378375*Deflactores!$R$5</f>
        <v>505.65601278707453</v>
      </c>
      <c r="V14" s="57">
        <f>322.619312472*Deflactores!$S$5</f>
        <v>520.85203220255312</v>
      </c>
    </row>
    <row r="15" spans="1:22" x14ac:dyDescent="0.2">
      <c r="C15" s="87" t="s">
        <v>125</v>
      </c>
      <c r="D15" s="56">
        <f>8.076027476*Deflactores!$A$5</f>
        <v>30.13905270435216</v>
      </c>
      <c r="E15" s="56">
        <f>6.037456523*Deflactores!$B$5</f>
        <v>20.930453318125089</v>
      </c>
      <c r="F15" s="56">
        <f>5.864016031*Deflactores!$C$5</f>
        <v>19.000678478025211</v>
      </c>
      <c r="G15" s="56">
        <f>6.296606322*Deflactores!$D$5</f>
        <v>19.158703682414082</v>
      </c>
      <c r="H15" s="56">
        <f>6.689113126*Deflactores!$E$5</f>
        <v>19.292480991606947</v>
      </c>
      <c r="I15" s="56">
        <f>6.715021627*Deflactores!$F$5</f>
        <v>18.470435108981167</v>
      </c>
      <c r="J15" s="56">
        <f>7.379951357*Deflactores!$G$5</f>
        <v>19.429363527393516</v>
      </c>
      <c r="K15" s="56">
        <f>8.298163276*Deflactores!$H$5</f>
        <v>20.669730840753598</v>
      </c>
      <c r="L15" s="56">
        <f>8.039089093*Deflactores!$I$5</f>
        <v>18.597190606826661</v>
      </c>
      <c r="M15" s="56">
        <f>28.940939704*Deflactores!$J$5</f>
        <v>65.636476498524686</v>
      </c>
      <c r="N15" s="56">
        <f>26.312060741*Deflactores!$K$5</f>
        <v>57.840084444516378</v>
      </c>
      <c r="O15" s="56">
        <f>10.479912615*Deflactores!$L$5</f>
        <v>22.209624574070215</v>
      </c>
      <c r="P15" s="56">
        <f>16.938482499*Deflactores!$M$5</f>
        <v>35.041967781538553</v>
      </c>
      <c r="Q15" s="56">
        <f>17.628*Deflactores!$N$5</f>
        <v>35.774403312861736</v>
      </c>
      <c r="R15" s="56">
        <f>22.785*Deflactores!$O$5</f>
        <v>44.607428229125915</v>
      </c>
      <c r="S15" s="56">
        <f>21.30448316*Deflactores!$P$5</f>
        <v>39.06428795221489</v>
      </c>
      <c r="T15" s="56">
        <f>21.872865769*Deflactores!$Q$5</f>
        <v>37.925753802046906</v>
      </c>
      <c r="U15" s="56">
        <f>23.431825456*Deflactores!$R$5</f>
        <v>39.032435326722016</v>
      </c>
      <c r="V15" s="56">
        <f>23.7000418*Deflactores!$S$5</f>
        <v>38.262479825620503</v>
      </c>
    </row>
    <row r="16" spans="1:22" x14ac:dyDescent="0.2">
      <c r="C16" s="88" t="s">
        <v>126</v>
      </c>
      <c r="D16" s="57">
        <f>156.143214566*Deflactores!$A$5</f>
        <v>582.71329403184438</v>
      </c>
      <c r="E16" s="57">
        <f>156.9940454*Deflactores!$B$5</f>
        <v>544.26173107007742</v>
      </c>
      <c r="F16" s="57">
        <f>159.196142188899*Deflactores!$C$5</f>
        <v>515.82988461875402</v>
      </c>
      <c r="G16" s="57">
        <f>162.95288252*Deflactores!$D$5</f>
        <v>495.8172435662579</v>
      </c>
      <c r="H16" s="57">
        <f>157.803685026*Deflactores!$E$5</f>
        <v>455.13127621301868</v>
      </c>
      <c r="I16" s="57">
        <f>177.998474508*Deflactores!$F$5</f>
        <v>489.60516518343184</v>
      </c>
      <c r="J16" s="57">
        <f>259.575076922*Deflactores!$G$5</f>
        <v>683.38912930434822</v>
      </c>
      <c r="K16" s="57">
        <f>248.998823052*Deflactores!$H$5</f>
        <v>620.22624537103309</v>
      </c>
      <c r="L16" s="57">
        <f>253.893415943*Deflactores!$I$5</f>
        <v>587.34319218102667</v>
      </c>
      <c r="M16" s="57">
        <f>297.85042*Deflactores!$J$5</f>
        <v>675.50854576099573</v>
      </c>
      <c r="N16" s="57">
        <f>248.149599999999*Deflactores!$K$5</f>
        <v>545.49105674979569</v>
      </c>
      <c r="O16" s="57">
        <f>378.1715*Deflactores!$L$5</f>
        <v>801.4424688609862</v>
      </c>
      <c r="P16" s="57">
        <f>507.921555731*Deflactores!$M$5</f>
        <v>1050.7771751410091</v>
      </c>
      <c r="Q16" s="57">
        <f>708.939313226*Deflactores!$N$5</f>
        <v>1438.7270771324108</v>
      </c>
      <c r="R16" s="57">
        <f>623.18542838*Deflactores!$O$5</f>
        <v>1220.0438564800497</v>
      </c>
      <c r="S16" s="57">
        <f>583.550582592*Deflactores!$P$5</f>
        <v>1070.0089658057043</v>
      </c>
      <c r="T16" s="57">
        <f>563.890997796*Deflactores!$Q$5</f>
        <v>977.74070299977018</v>
      </c>
      <c r="U16" s="57">
        <f>631.324340478*Deflactores!$R$5</f>
        <v>1051.6520164494077</v>
      </c>
      <c r="V16" s="57">
        <f>591.964505489*Deflactores!$S$5</f>
        <v>955.69578061909908</v>
      </c>
    </row>
    <row r="17" spans="3:22" x14ac:dyDescent="0.2">
      <c r="C17" s="87" t="s">
        <v>127</v>
      </c>
      <c r="D17" s="56">
        <f>194.10744778*Deflactores!$A$5</f>
        <v>724.39260717402556</v>
      </c>
      <c r="E17" s="56">
        <f>198.518820268*Deflactores!$B$5</f>
        <v>688.21843843671832</v>
      </c>
      <c r="F17" s="56">
        <f>194.468797251*Deflactores!$C$5</f>
        <v>630.12090537283257</v>
      </c>
      <c r="G17" s="56">
        <f>213.374907985*Deflactores!$D$5</f>
        <v>649.23649761360855</v>
      </c>
      <c r="H17" s="56">
        <f>230.193360479*Deflactores!$E$5</f>
        <v>663.91477431790611</v>
      </c>
      <c r="I17" s="56">
        <f>243.807433626*Deflactores!$F$5</f>
        <v>670.62023505174125</v>
      </c>
      <c r="J17" s="56">
        <f>259.254682913*Deflactores!$G$5</f>
        <v>682.54562080791959</v>
      </c>
      <c r="K17" s="56">
        <f>276.467705615*Deflactores!$H$5</f>
        <v>688.64794185844744</v>
      </c>
      <c r="L17" s="56">
        <f>302.109*Deflactores!$I$5</f>
        <v>698.88249676570615</v>
      </c>
      <c r="M17" s="56">
        <f>328.419350642*Deflactores!$J$5</f>
        <v>744.83721712377633</v>
      </c>
      <c r="N17" s="56">
        <f>339.682733535*Deflactores!$K$5</f>
        <v>746.70236532989441</v>
      </c>
      <c r="O17" s="56">
        <f>353.797018673*Deflactores!$L$5</f>
        <v>749.78668704792824</v>
      </c>
      <c r="P17" s="56">
        <f>382.936160401*Deflactores!$M$5</f>
        <v>792.21008115397183</v>
      </c>
      <c r="Q17" s="56">
        <f>405.385*Deflactores!$N$5</f>
        <v>822.69154112686954</v>
      </c>
      <c r="R17" s="56">
        <f>411.6535*Deflactores!$O$5</f>
        <v>805.91634656653434</v>
      </c>
      <c r="S17" s="56">
        <f>420.938028437*Deflactores!$P$5</f>
        <v>771.83962781008336</v>
      </c>
      <c r="T17" s="56">
        <f>448.293177029*Deflactores!$Q$5</f>
        <v>777.30357067502757</v>
      </c>
      <c r="U17" s="56">
        <f>486.381577794*Deflactores!$R$5</f>
        <v>810.2082151048146</v>
      </c>
      <c r="V17" s="56">
        <f>515.535488892*Deflactores!$S$5</f>
        <v>832.30512458933936</v>
      </c>
    </row>
    <row r="18" spans="3:22" x14ac:dyDescent="0.2">
      <c r="C18" s="88" t="s">
        <v>128</v>
      </c>
      <c r="D18" s="57">
        <f>40.541004522*Deflactores!$A$5</f>
        <v>151.29560611414857</v>
      </c>
      <c r="E18" s="57">
        <f>43.467022193*Deflactores!$B$5</f>
        <v>150.6900257455475</v>
      </c>
      <c r="F18" s="57">
        <f>50.080684435*Deflactores!$C$5</f>
        <v>162.27223422965378</v>
      </c>
      <c r="G18" s="57">
        <f>54.607382254*Deflactores!$D$5</f>
        <v>166.15405219496003</v>
      </c>
      <c r="H18" s="57">
        <f>60.290253197*Deflactores!$E$5</f>
        <v>173.88681307559821</v>
      </c>
      <c r="I18" s="57">
        <f>72.18536791*Deflactores!$F$5</f>
        <v>198.55411164107431</v>
      </c>
      <c r="J18" s="57">
        <f>76.214977348*Deflactores!$G$5</f>
        <v>200.6528809599516</v>
      </c>
      <c r="K18" s="57">
        <f>86.824813281*Deflactores!$H$5</f>
        <v>216.27021078356498</v>
      </c>
      <c r="L18" s="57">
        <f>108.022563263*Deflactores!$I$5</f>
        <v>249.89351101846316</v>
      </c>
      <c r="M18" s="57">
        <f>107.519907084*Deflactores!$J$5</f>
        <v>243.84929883486561</v>
      </c>
      <c r="N18" s="57">
        <f>117.912257637*Deflactores!$K$5</f>
        <v>259.19881403057491</v>
      </c>
      <c r="O18" s="57">
        <f>123.973447429*Deflactores!$L$5</f>
        <v>262.73155375459402</v>
      </c>
      <c r="P18" s="57">
        <f>155.658134943*Deflactores!$M$5</f>
        <v>322.02219708459768</v>
      </c>
      <c r="Q18" s="57">
        <f>217.11863477*Deflactores!$N$5</f>
        <v>440.62228312910742</v>
      </c>
      <c r="R18" s="57">
        <f>201.485725434*Deflactores!$O$5</f>
        <v>394.45951443890823</v>
      </c>
      <c r="S18" s="57">
        <f>220.914620246*Deflactores!$P$5</f>
        <v>405.07306717240004</v>
      </c>
      <c r="T18" s="57">
        <f>209.312406401*Deflactores!$Q$5</f>
        <v>362.93053122143505</v>
      </c>
      <c r="U18" s="57">
        <f>217.105664315*Deflactores!$R$5</f>
        <v>361.65184045745553</v>
      </c>
      <c r="V18" s="57">
        <f>261.090605027*Deflactores!$S$5</f>
        <v>421.51714717670404</v>
      </c>
    </row>
    <row r="19" spans="3:22" x14ac:dyDescent="0.2">
      <c r="C19" s="87" t="s">
        <v>129</v>
      </c>
      <c r="D19" s="56">
        <f>6187.57362266394*Deflactores!$A$5</f>
        <v>23091.502360501345</v>
      </c>
      <c r="E19" s="56">
        <f>6997.2106694965*Deflactores!$B$5</f>
        <v>24257.697047930076</v>
      </c>
      <c r="F19" s="56">
        <f>7841.53240068584*Deflactores!$C$5</f>
        <v>25408.258629033888</v>
      </c>
      <c r="G19" s="56">
        <f>9027.40786831971*Deflactores!$D$5</f>
        <v>27467.722059284664</v>
      </c>
      <c r="H19" s="56">
        <f>10288.1799500345*Deflactores!$E$5</f>
        <v>29672.770124454957</v>
      </c>
      <c r="I19" s="56">
        <f>11324.0734353806*Deflactores!$F$5</f>
        <v>31148.159332284875</v>
      </c>
      <c r="J19" s="56">
        <f>12181.6132428751*Deflactores!$G$5</f>
        <v>32070.806513031512</v>
      </c>
      <c r="K19" s="56">
        <f>13679.6631413891*Deflactores!$H$5</f>
        <v>34074.402457526492</v>
      </c>
      <c r="L19" s="56">
        <f>15203.6307694155*Deflactores!$I$5</f>
        <v>35171.250879758692</v>
      </c>
      <c r="M19" s="56">
        <f>17408.3051282613*Deflactores!$J$5</f>
        <v>39481.088800732519</v>
      </c>
      <c r="N19" s="56">
        <f>18929.4001390561*Deflactores!$K$5</f>
        <v>41611.263872653763</v>
      </c>
      <c r="O19" s="56">
        <f>20481.0950050524*Deflactores!$L$5</f>
        <v>43404.696932015264</v>
      </c>
      <c r="P19" s="56">
        <f>22045.569281997*Deflactores!$M$5</f>
        <v>45607.398924373672</v>
      </c>
      <c r="Q19" s="56">
        <f>23554.215146291*Deflactores!$N$5</f>
        <v>47801.111434157639</v>
      </c>
      <c r="R19" s="56">
        <f>24658.7790661103*Deflactores!$O$5</f>
        <v>48275.826965520631</v>
      </c>
      <c r="S19" s="56">
        <f>25842.5158529113*Deflactores!$P$5</f>
        <v>47385.307266369993</v>
      </c>
      <c r="T19" s="56">
        <f>27872.7143658875*Deflactores!$Q$5</f>
        <v>48328.99876949934</v>
      </c>
      <c r="U19" s="56">
        <f>28980.4871029345*Deflactores!$R$5</f>
        <v>48275.324972282106</v>
      </c>
      <c r="V19" s="56">
        <f>30604.9008965486*Deflactores!$S$5</f>
        <v>49410.014252350622</v>
      </c>
    </row>
    <row r="20" spans="3:22" x14ac:dyDescent="0.2">
      <c r="C20" s="88" t="s">
        <v>130</v>
      </c>
      <c r="D20" s="57">
        <f>7.040751078*Deflactores!$A$5</f>
        <v>26.275488592464306</v>
      </c>
      <c r="E20" s="57">
        <f>7.033691301*Deflactores!$B$5</f>
        <v>24.384166886974207</v>
      </c>
      <c r="F20" s="57">
        <f>8.038457759*Deflactores!$C$5</f>
        <v>26.046339322830896</v>
      </c>
      <c r="G20" s="57">
        <f>7.032426302*Deflactores!$D$5</f>
        <v>21.397585429104272</v>
      </c>
      <c r="H20" s="57">
        <f>8.579946332*Deflactores!$E$5</f>
        <v>24.74594888756225</v>
      </c>
      <c r="I20" s="57">
        <f>8.770015362*Deflactores!$F$5</f>
        <v>24.122930445565487</v>
      </c>
      <c r="J20" s="57">
        <f>9.301780708*Deflactores!$G$5</f>
        <v>24.489006781380041</v>
      </c>
      <c r="K20" s="57">
        <f>9.830843245*Deflactores!$H$5</f>
        <v>24.487453072837159</v>
      </c>
      <c r="L20" s="57">
        <f>10.568003343*Deflactores!$I$5</f>
        <v>24.447443016209945</v>
      </c>
      <c r="M20" s="57">
        <f>11.110079229*Deflactores!$J$5</f>
        <v>25.197055163700075</v>
      </c>
      <c r="N20" s="57">
        <f>14.490858386*Deflactores!$K$5</f>
        <v>31.854307458850673</v>
      </c>
      <c r="O20" s="57">
        <f>12.192414686*Deflactores!$L$5</f>
        <v>25.838855988155601</v>
      </c>
      <c r="P20" s="57">
        <f>20.479986817*Deflactores!$M$5</f>
        <v>42.368555639504123</v>
      </c>
      <c r="Q20" s="57">
        <f>24.652914916*Deflactores!$N$5</f>
        <v>50.030821479614758</v>
      </c>
      <c r="R20" s="57">
        <f>25.257295687*Deflactores!$O$5</f>
        <v>49.44757536184612</v>
      </c>
      <c r="S20" s="57">
        <f>28.6916633*Deflactores!$P$5</f>
        <v>52.609555864916651</v>
      </c>
      <c r="T20" s="57">
        <f>63.544100396*Deflactores!$Q$5</f>
        <v>110.1802540482297</v>
      </c>
      <c r="U20" s="57">
        <f>56.405723673*Deflactores!$R$5</f>
        <v>93.95993348693905</v>
      </c>
      <c r="V20" s="57">
        <f>38.074689811*Deflactores!$S$5</f>
        <v>61.469598368393846</v>
      </c>
    </row>
    <row r="21" spans="3:22" x14ac:dyDescent="0.2">
      <c r="C21" s="87" t="s">
        <v>131</v>
      </c>
      <c r="D21" s="56">
        <f>5026.784184154*Deflactores!$A$5</f>
        <v>18759.534178140195</v>
      </c>
      <c r="E21" s="56">
        <f>7520.5951337695*Deflactores!$B$5</f>
        <v>26072.148887900359</v>
      </c>
      <c r="F21" s="56">
        <f>8475.066225064*Deflactores!$C$5</f>
        <v>27461.045053615049</v>
      </c>
      <c r="G21" s="56">
        <f>9908.728394185*Deflactores!$D$5</f>
        <v>30149.318770403053</v>
      </c>
      <c r="H21" s="56">
        <f>11169.727989218*Deflactores!$E$5</f>
        <v>32215.296834465338</v>
      </c>
      <c r="I21" s="56">
        <f>11996.112239753*Deflactores!$F$5</f>
        <v>32996.678937488774</v>
      </c>
      <c r="J21" s="56">
        <f>12913.102755517*Deflactores!$G$5</f>
        <v>33996.615365973979</v>
      </c>
      <c r="K21" s="56">
        <f>13738.101093922*Deflactores!$H$5</f>
        <v>34219.964398110773</v>
      </c>
      <c r="L21" s="56">
        <f>15421.91419892*Deflactores!$I$5</f>
        <v>35676.215869926767</v>
      </c>
      <c r="M21" s="56">
        <f>17870.245389914*Deflactores!$J$5</f>
        <v>40528.744178816145</v>
      </c>
      <c r="N21" s="56">
        <f>19823.485249836*Deflactores!$K$5</f>
        <v>43576.672770768411</v>
      </c>
      <c r="O21" s="56">
        <f>20824.423398305*Deflactores!$L$5</f>
        <v>44132.297914951414</v>
      </c>
      <c r="P21" s="56">
        <f>22161.411308599*Deflactores!$M$5</f>
        <v>45847.050414061436</v>
      </c>
      <c r="Q21" s="56">
        <f>23706.115138524*Deflactores!$N$5</f>
        <v>48109.378485743975</v>
      </c>
      <c r="R21" s="56">
        <f>25028.472035817*Deflactores!$O$5</f>
        <v>48999.594909914056</v>
      </c>
      <c r="S21" s="56">
        <f>26600.009693647*Deflactores!$P$5</f>
        <v>48774.261755164487</v>
      </c>
      <c r="T21" s="56">
        <f>29014.320625397*Deflactores!$Q$5</f>
        <v>50308.450314362555</v>
      </c>
      <c r="U21" s="56">
        <f>32320.775716977*Deflactores!$R$5</f>
        <v>53839.535048233083</v>
      </c>
      <c r="V21" s="56">
        <f>34817.577163403*Deflactores!$S$5</f>
        <v>56211.160091358674</v>
      </c>
    </row>
    <row r="22" spans="3:22" x14ac:dyDescent="0.2">
      <c r="C22" s="88" t="s">
        <v>132</v>
      </c>
      <c r="D22" s="57">
        <f>31.422493772*Deflactores!$A$5</f>
        <v>117.26609384513262</v>
      </c>
      <c r="E22" s="57">
        <f>32.852223326*Deflactores!$B$5</f>
        <v>113.89099434537877</v>
      </c>
      <c r="F22" s="57">
        <f>36.01638912*Deflactores!$C$5</f>
        <v>116.70087973682848</v>
      </c>
      <c r="G22" s="57">
        <f>36.593676*Deflactores!$D$5</f>
        <v>111.34369202735553</v>
      </c>
      <c r="H22" s="57">
        <f>37.3799408*Deflactores!$E$5</f>
        <v>107.80977743496948</v>
      </c>
      <c r="I22" s="57">
        <f>35.163247233*Deflactores!$F$5</f>
        <v>96.720533799434634</v>
      </c>
      <c r="J22" s="57">
        <f>54.620066*Deflactores!$G$5</f>
        <v>143.79947331192506</v>
      </c>
      <c r="K22" s="57">
        <f>77.19488*Deflactores!$H$5</f>
        <v>192.28320036785365</v>
      </c>
      <c r="L22" s="57">
        <f>71.574404135*Deflactores!$I$5</f>
        <v>165.57632598296138</v>
      </c>
      <c r="M22" s="57">
        <f>97.87242932*Deflactores!$J$5</f>
        <v>221.96934420991934</v>
      </c>
      <c r="N22" s="57">
        <f>71.045738801*Deflactores!$K$5</f>
        <v>156.17520695631833</v>
      </c>
      <c r="O22" s="57">
        <f>71.982737*Deflactores!$L$5</f>
        <v>152.54989457600868</v>
      </c>
      <c r="P22" s="57">
        <f>71.616626908*Deflactores!$M$5</f>
        <v>148.15893530490482</v>
      </c>
      <c r="Q22" s="57">
        <f>101.356571*Deflactores!$N$5</f>
        <v>205.69383080115193</v>
      </c>
      <c r="R22" s="57">
        <f>101.251424*Deflactores!$O$5</f>
        <v>198.22539518002182</v>
      </c>
      <c r="S22" s="57">
        <f>99.062634343*Deflactores!$P$5</f>
        <v>181.64304875255766</v>
      </c>
      <c r="T22" s="57">
        <f>81.586214126*Deflactores!$Q$5</f>
        <v>141.46379826319489</v>
      </c>
      <c r="U22" s="57">
        <f>83.18253012*Deflactores!$R$5</f>
        <v>138.56439539116744</v>
      </c>
      <c r="V22" s="57">
        <f>89.387012919*Deflactores!$S$5</f>
        <v>144.31066440084155</v>
      </c>
    </row>
    <row r="23" spans="3:22" x14ac:dyDescent="0.2">
      <c r="C23" s="87" t="s">
        <v>133</v>
      </c>
      <c r="D23" s="56">
        <f>618.551344317*Deflactores!$A$5</f>
        <v>2308.3813944565068</v>
      </c>
      <c r="E23" s="56">
        <f>634.01750337026*Deflactores!$B$5</f>
        <v>2197.9907775089814</v>
      </c>
      <c r="F23" s="56">
        <f>675.732500803*Deflactores!$C$5</f>
        <v>2189.5192504649744</v>
      </c>
      <c r="G23" s="56">
        <f>707.142005621*Deflactores!$D$5</f>
        <v>2151.6231846582214</v>
      </c>
      <c r="H23" s="56">
        <f>751.266400265*Deflactores!$E$5</f>
        <v>2166.773453181615</v>
      </c>
      <c r="I23" s="56">
        <f>828.06493908984*Deflactores!$F$5</f>
        <v>2277.6873364016842</v>
      </c>
      <c r="J23" s="56">
        <f>911.05842762684*Deflactores!$G$5</f>
        <v>2398.5639645534334</v>
      </c>
      <c r="K23" s="56">
        <f>1031.14874083732*Deflactores!$H$5</f>
        <v>2568.4680116541722</v>
      </c>
      <c r="L23" s="56">
        <f>1192.048836764*Deflactores!$I$5</f>
        <v>2757.6208166730553</v>
      </c>
      <c r="M23" s="56">
        <f>1378.522764643*Deflactores!$J$5</f>
        <v>3126.4146212801061</v>
      </c>
      <c r="N23" s="56">
        <f>1509.187595966*Deflactores!$K$5</f>
        <v>3317.5485133047982</v>
      </c>
      <c r="O23" s="56">
        <f>1597.482917926*Deflactores!$L$5</f>
        <v>3385.4763082513246</v>
      </c>
      <c r="P23" s="56">
        <f>1910.294646491*Deflactores!$M$5</f>
        <v>3951.9764217092757</v>
      </c>
      <c r="Q23" s="56">
        <f>2132.731411004*Deflactores!$N$5</f>
        <v>4328.1820771083385</v>
      </c>
      <c r="R23" s="56">
        <f>2542.889408243*Deflactores!$O$5</f>
        <v>4978.3522832040417</v>
      </c>
      <c r="S23" s="56">
        <f>2856.432446261*Deflactores!$P$5</f>
        <v>5237.606505577829</v>
      </c>
      <c r="T23" s="56">
        <f>3065.102315878*Deflactores!$Q$5</f>
        <v>5314.635815798154</v>
      </c>
      <c r="U23" s="56">
        <f>3269.505813905*Deflactores!$R$5</f>
        <v>5446.3009922648062</v>
      </c>
      <c r="V23" s="56">
        <f>3606.506133438*Deflactores!$S$5</f>
        <v>5822.5158139446012</v>
      </c>
    </row>
    <row r="24" spans="3:22" x14ac:dyDescent="0.2">
      <c r="C24" s="88" t="s">
        <v>134</v>
      </c>
      <c r="D24" s="57">
        <f>6486.02480785699*Deflactores!$A$5</f>
        <v>24205.296986255253</v>
      </c>
      <c r="E24" s="57">
        <f>5445.334890651*Deflactores!$B$5</f>
        <v>18877.705751774993</v>
      </c>
      <c r="F24" s="57">
        <f>5334.51245670099*Deflactores!$C$5</f>
        <v>17284.972532640044</v>
      </c>
      <c r="G24" s="57">
        <f>4044.375214605*Deflactores!$D$5</f>
        <v>12305.833071759422</v>
      </c>
      <c r="H24" s="57">
        <f>4936.32871992*Deflactores!$E$5</f>
        <v>14237.168097398993</v>
      </c>
      <c r="I24" s="57">
        <f>5612.83497033302*Deflactores!$F$5</f>
        <v>15438.744631902624</v>
      </c>
      <c r="J24" s="57">
        <f>5629.93768181802*Deflactores!$G$5</f>
        <v>14822.06325829763</v>
      </c>
      <c r="K24" s="57">
        <f>6824.14888976918*Deflactores!$H$5</f>
        <v>16998.137548909373</v>
      </c>
      <c r="L24" s="57">
        <f>7297.762510033*Deflactores!$I$5</f>
        <v>16882.246089375127</v>
      </c>
      <c r="M24" s="57">
        <f>7702.337225002*Deflactores!$J$5</f>
        <v>17468.481722543434</v>
      </c>
      <c r="N24" s="57">
        <f>8671.215414589*Deflactores!$K$5</f>
        <v>19061.366449147172</v>
      </c>
      <c r="O24" s="57">
        <f>7146.106467995*Deflactores!$L$5</f>
        <v>15144.433703897239</v>
      </c>
      <c r="P24" s="57">
        <f>7727.038565345*Deflactores!$M$5</f>
        <v>15985.530962972092</v>
      </c>
      <c r="Q24" s="57">
        <f>11758.37042017*Deflactores!$N$5</f>
        <v>23862.530389901585</v>
      </c>
      <c r="R24" s="57">
        <f>14554.090101597*Deflactores!$O$5</f>
        <v>28493.33024565372</v>
      </c>
      <c r="S24" s="57">
        <f>15074.9257115278*Deflactores!$P$5</f>
        <v>27641.658069369936</v>
      </c>
      <c r="T24" s="57">
        <f>16632.9407636171*Deflactores!$Q$5</f>
        <v>28840.153963684857</v>
      </c>
      <c r="U24" s="57">
        <f>19672.099514363*Deflactores!$R$5</f>
        <v>32769.531911932034</v>
      </c>
      <c r="V24" s="57">
        <f>11429.235615251*Deflactores!$S$5</f>
        <v>18451.904044777031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144.146299941*Deflactores!$A$5</f>
        <v>537.94182151679865</v>
      </c>
      <c r="E26" s="57">
        <f>148.154102043*Deflactores!$B$5</f>
        <v>513.61570967618411</v>
      </c>
      <c r="F26" s="57">
        <f>167.268442622*Deflactores!$C$5</f>
        <v>541.98588151517117</v>
      </c>
      <c r="G26" s="57">
        <f>154.287524551*Deflactores!$D$5</f>
        <v>469.45113186413954</v>
      </c>
      <c r="H26" s="57">
        <f>157.962922181*Deflactores!$E$5</f>
        <v>455.59054184780877</v>
      </c>
      <c r="I26" s="57">
        <f>165.1148480762*Deflactores!$F$5</f>
        <v>454.16727693894825</v>
      </c>
      <c r="J26" s="57">
        <f>353.340006887*Deflactores!$G$5</f>
        <v>930.24616430127674</v>
      </c>
      <c r="K26" s="57">
        <f>270.279663512*Deflactores!$H$5</f>
        <v>673.2342701281998</v>
      </c>
      <c r="L26" s="57">
        <f>358.368026*Deflactores!$I$5</f>
        <v>829.02906160318798</v>
      </c>
      <c r="M26" s="57">
        <f>551.075084637*Deflactores!$J$5</f>
        <v>1249.8083065595731</v>
      </c>
      <c r="N26" s="57">
        <f>673.216515967*Deflactores!$K$5</f>
        <v>1479.8878930945527</v>
      </c>
      <c r="O26" s="57">
        <f>883.339490416*Deflactores!$L$5</f>
        <v>1872.0230954511499</v>
      </c>
      <c r="P26" s="57">
        <f>1447.981250636*Deflactores!$M$5</f>
        <v>2995.5524254344605</v>
      </c>
      <c r="Q26" s="57">
        <f>1218.125764988*Deflactores!$N$5</f>
        <v>2472.0741095115127</v>
      </c>
      <c r="R26" s="57">
        <f>1232.609347583*Deflactores!$O$5</f>
        <v>2413.1460613060517</v>
      </c>
      <c r="S26" s="57">
        <f>1186.205306827*Deflactores!$P$5</f>
        <v>2175.0476333233582</v>
      </c>
      <c r="T26" s="57">
        <f>1279.714731073*Deflactores!$Q$5</f>
        <v>2218.9202978749036</v>
      </c>
      <c r="U26" s="57">
        <f>1234.879973194*Deflactores!$R$5</f>
        <v>2057.0472744630633</v>
      </c>
      <c r="V26" s="57">
        <f>1464.824396191*Deflactores!$S$5</f>
        <v>2364.8824917825618</v>
      </c>
    </row>
    <row r="27" spans="3:22" x14ac:dyDescent="0.2">
      <c r="C27" s="87" t="s">
        <v>137</v>
      </c>
      <c r="D27" s="56">
        <f>42.630070512*Deflactores!$A$5</f>
        <v>159.09182401491586</v>
      </c>
      <c r="E27" s="56">
        <f>40.540950358*Deflactores!$B$5</f>
        <v>140.54601730182029</v>
      </c>
      <c r="F27" s="56">
        <f>41.811278342*Deflactores!$C$5</f>
        <v>135.47757242336246</v>
      </c>
      <c r="G27" s="56">
        <f>42.84058866*Deflactores!$D$5</f>
        <v>130.35119264950751</v>
      </c>
      <c r="H27" s="56">
        <f>45.372996918*Deflactores!$E$5</f>
        <v>130.86304029906694</v>
      </c>
      <c r="I27" s="56">
        <f>46.762557228*Deflactores!$F$5</f>
        <v>128.62576277295915</v>
      </c>
      <c r="J27" s="56">
        <f>48.206091336*Deflactores!$G$5</f>
        <v>126.91325829857756</v>
      </c>
      <c r="K27" s="56">
        <f>50.1282754*Deflactores!$H$5</f>
        <v>124.86353010501668</v>
      </c>
      <c r="L27" s="56">
        <f>52.7764*Deflactores!$I$5</f>
        <v>122.09004763944675</v>
      </c>
      <c r="M27" s="56">
        <f>59.564371*Deflactores!$J$5</f>
        <v>135.08875237905804</v>
      </c>
      <c r="N27" s="56">
        <f>59.1518453*Deflactores!$K$5</f>
        <v>130.02963777252739</v>
      </c>
      <c r="O27" s="56">
        <f>60.537936856*Deflactores!$L$5</f>
        <v>128.29542568285325</v>
      </c>
      <c r="P27" s="56">
        <f>115.605258354*Deflactores!$M$5</f>
        <v>239.16166863569217</v>
      </c>
      <c r="Q27" s="56">
        <f>155.918988071*Deflactores!$N$5</f>
        <v>316.42323368420875</v>
      </c>
      <c r="R27" s="56">
        <f>135.84*Deflactores!$O$5</f>
        <v>265.94132326725759</v>
      </c>
      <c r="S27" s="56">
        <f>131.518478365*Deflactores!$P$5</f>
        <v>241.15467487771264</v>
      </c>
      <c r="T27" s="56">
        <f>139.04514374*Deflactores!$Q$5</f>
        <v>241.09286567868676</v>
      </c>
      <c r="U27" s="56">
        <f>148.644735382*Deflactores!$R$5</f>
        <v>247.61050014436495</v>
      </c>
      <c r="V27" s="56">
        <f>155.765921267*Deflactores!$S$5</f>
        <v>251.47594549802773</v>
      </c>
    </row>
    <row r="28" spans="3:22" x14ac:dyDescent="0.2">
      <c r="C28" s="88" t="s">
        <v>138</v>
      </c>
      <c r="D28" s="57">
        <f>153.507405215*Deflactores!$A$5</f>
        <v>572.87667606781542</v>
      </c>
      <c r="E28" s="57">
        <f>169.250975*Deflactores!$B$5</f>
        <v>586.75364663734183</v>
      </c>
      <c r="F28" s="57">
        <f>182.675889679*Deflactores!$C$5</f>
        <v>591.9093377522662</v>
      </c>
      <c r="G28" s="57">
        <f>199.366316278*Deflactores!$D$5</f>
        <v>606.61251196206661</v>
      </c>
      <c r="H28" s="57">
        <f>225.85680243*Deflactores!$E$5</f>
        <v>651.40744155892753</v>
      </c>
      <c r="I28" s="57">
        <f>246.28378301828*Deflactores!$F$5</f>
        <v>677.43171732208316</v>
      </c>
      <c r="J28" s="57">
        <f>268.148516*Deflactores!$G$5</f>
        <v>705.96061473404859</v>
      </c>
      <c r="K28" s="57">
        <f>270.013713421*Deflactores!$H$5</f>
        <v>672.57182030464139</v>
      </c>
      <c r="L28" s="57">
        <f>313.912564*Deflactores!$I$5</f>
        <v>726.18821847228821</v>
      </c>
      <c r="M28" s="57">
        <f>315.182705452*Deflactores!$J$5</f>
        <v>714.81722607239169</v>
      </c>
      <c r="N28" s="57">
        <f>330.428525286*Deflactores!$K$5</f>
        <v>726.35944381347974</v>
      </c>
      <c r="O28" s="57">
        <f>319.171607793*Deflactores!$L$5</f>
        <v>676.40655453928264</v>
      </c>
      <c r="P28" s="57">
        <f>145.534705*Deflactores!$M$5</f>
        <v>301.0790632517876</v>
      </c>
      <c r="Q28" s="57">
        <f>186.83917618*Deflactores!$N$5</f>
        <v>379.17290919594683</v>
      </c>
      <c r="R28" s="57">
        <f>145.204945*Deflactores!$O$5</f>
        <v>284.27558317321376</v>
      </c>
      <c r="S28" s="57">
        <f>65.081073188*Deflactores!$P$5</f>
        <v>119.33383993227105</v>
      </c>
      <c r="T28" s="57">
        <f>83.6825*Deflactores!$Q$5</f>
        <v>145.09858589439369</v>
      </c>
      <c r="U28" s="57">
        <f>84.964*Deflactores!$R$5</f>
        <v>141.53194514558905</v>
      </c>
      <c r="V28" s="57">
        <f>88.922007596*Deflactores!$S$5</f>
        <v>143.55993759030514</v>
      </c>
    </row>
    <row r="29" spans="3:22" x14ac:dyDescent="0.2">
      <c r="C29" s="87" t="s">
        <v>139</v>
      </c>
      <c r="D29" s="56">
        <f>476.329499684*Deflactores!$A$5</f>
        <v>1777.6214776728641</v>
      </c>
      <c r="E29" s="56">
        <f>616.281723287*Deflactores!$B$5</f>
        <v>2136.5049654490467</v>
      </c>
      <c r="F29" s="56">
        <f>589.103984641*Deflactores!$C$5</f>
        <v>1908.8241476683545</v>
      </c>
      <c r="G29" s="56">
        <f>663.377193682*Deflactores!$D$5</f>
        <v>2018.4598549569052</v>
      </c>
      <c r="H29" s="56">
        <f>734.618169915199*Deflactores!$E$5</f>
        <v>2118.7572720351177</v>
      </c>
      <c r="I29" s="56">
        <f>860.15850491072*Deflactores!$F$5</f>
        <v>2365.9643603396116</v>
      </c>
      <c r="J29" s="56">
        <f>1091.26380799767*Deflactores!$G$5</f>
        <v>2872.9947128667086</v>
      </c>
      <c r="K29" s="56">
        <f>970.08819957216*Deflactores!$H$5</f>
        <v>2416.3735166480478</v>
      </c>
      <c r="L29" s="56">
        <f>1031.729047124*Deflactores!$I$5</f>
        <v>2386.745752161386</v>
      </c>
      <c r="M29" s="56">
        <f>1471.814044389*Deflactores!$J$5</f>
        <v>3337.9941675281943</v>
      </c>
      <c r="N29" s="56">
        <f>2611.42199737317*Deflactores!$K$5</f>
        <v>5740.5184008628612</v>
      </c>
      <c r="O29" s="56">
        <f>2553.626700902*Deflactores!$L$5</f>
        <v>5411.7903853681046</v>
      </c>
      <c r="P29" s="56">
        <f>2184.00831725789*Deflactores!$M$5</f>
        <v>4518.2293686864487</v>
      </c>
      <c r="Q29" s="56">
        <f>2645.094286815*Deflactores!$N$5</f>
        <v>5367.9753696996931</v>
      </c>
      <c r="R29" s="56">
        <f>2868.0913758684*Deflactores!$O$5</f>
        <v>5615.0177837886613</v>
      </c>
      <c r="S29" s="56">
        <f>2755.547428387*Deflactores!$P$5</f>
        <v>5052.6219012249912</v>
      </c>
      <c r="T29" s="56">
        <f>2761.183211775*Deflactores!$Q$5</f>
        <v>4787.6650365834275</v>
      </c>
      <c r="U29" s="56">
        <f>3034.27212175826*Deflactores!$R$5</f>
        <v>5054.4517147671977</v>
      </c>
      <c r="V29" s="56">
        <f>3358.088399294*Deflactores!$S$5</f>
        <v>5421.4583550074967</v>
      </c>
    </row>
    <row r="30" spans="3:22" x14ac:dyDescent="0.2">
      <c r="C30" s="88" t="s">
        <v>140</v>
      </c>
      <c r="D30" s="57">
        <f>113.479038322*Deflactores!$A$5</f>
        <v>423.49419030455471</v>
      </c>
      <c r="E30" s="57">
        <f>103.954361463*Deflactores!$B$5</f>
        <v>360.38552021500379</v>
      </c>
      <c r="F30" s="57">
        <f>117.556751533*Deflactores!$C$5</f>
        <v>380.90926542346455</v>
      </c>
      <c r="G30" s="57">
        <f>88.541694921*Deflactores!$D$5</f>
        <v>269.40609111978512</v>
      </c>
      <c r="H30" s="57">
        <f>2382.397647511*Deflactores!$E$5</f>
        <v>6871.2190186174867</v>
      </c>
      <c r="I30" s="57">
        <f>2148.576253886*Deflactores!$F$5</f>
        <v>5909.9047595813809</v>
      </c>
      <c r="J30" s="57">
        <f>224.735596033*Deflactores!$G$5</f>
        <v>591.66644624682363</v>
      </c>
      <c r="K30" s="57">
        <f>158.462942*Deflactores!$H$5</f>
        <v>394.71220924840577</v>
      </c>
      <c r="L30" s="57">
        <f>133.8311*Deflactores!$I$5</f>
        <v>309.59757343508767</v>
      </c>
      <c r="M30" s="57">
        <f>133.9316*Deflactores!$J$5</f>
        <v>303.74958124095775</v>
      </c>
      <c r="N30" s="57">
        <f>984.565636397*Deflactores!$K$5</f>
        <v>2164.3063274643073</v>
      </c>
      <c r="O30" s="57">
        <f>739.4337*Deflactores!$L$5</f>
        <v>1567.049791131838</v>
      </c>
      <c r="P30" s="57">
        <f>225.867848339*Deflactores!$M$5</f>
        <v>467.27054001726219</v>
      </c>
      <c r="Q30" s="57">
        <f>363.986864*Deflactores!$N$5</f>
        <v>738.67783488312659</v>
      </c>
      <c r="R30" s="57">
        <f>493.70511651063*Deflactores!$O$5</f>
        <v>966.55323902129351</v>
      </c>
      <c r="S30" s="57">
        <f>780.217987245*Deflactores!$P$5</f>
        <v>1430.6218972944193</v>
      </c>
      <c r="T30" s="57">
        <f>577.577387253*Deflactores!$Q$5</f>
        <v>1001.4717788664166</v>
      </c>
      <c r="U30" s="57">
        <f>713.480833939*Deflactores!$R$5</f>
        <v>1188.5072530893519</v>
      </c>
      <c r="V30" s="57">
        <f>662.694158987*Deflactores!$S$5</f>
        <v>1069.8851125569167</v>
      </c>
    </row>
    <row r="31" spans="3:22" x14ac:dyDescent="0.2">
      <c r="C31" s="87" t="s">
        <v>141</v>
      </c>
      <c r="D31" s="56">
        <f>373.354260334*Deflactores!$A$5</f>
        <v>1393.3265783258764</v>
      </c>
      <c r="E31" s="56">
        <f>365.651269198*Deflactores!$B$5</f>
        <v>1267.6276494093984</v>
      </c>
      <c r="F31" s="56">
        <f>393.977807932*Deflactores!$C$5</f>
        <v>1276.5731908677149</v>
      </c>
      <c r="G31" s="56">
        <f>405.628212574*Deflactores!$D$5</f>
        <v>1234.2062267383619</v>
      </c>
      <c r="H31" s="56">
        <f>463.035734381*Deflactores!$E$5</f>
        <v>1335.4697305473865</v>
      </c>
      <c r="I31" s="56">
        <f>479.169613397*Deflactores!$F$5</f>
        <v>1318.0108333320311</v>
      </c>
      <c r="J31" s="56">
        <f>537.39267685*Deflactores!$G$5</f>
        <v>1414.8057582485446</v>
      </c>
      <c r="K31" s="56">
        <f>599.535879961*Deflactores!$H$5</f>
        <v>1493.3720699385558</v>
      </c>
      <c r="L31" s="56">
        <f>688.684012058*Deflactores!$I$5</f>
        <v>1593.1640627380143</v>
      </c>
      <c r="M31" s="56">
        <f>782.002638691*Deflactores!$J$5</f>
        <v>1773.5394337984108</v>
      </c>
      <c r="N31" s="56">
        <f>889.755587581*Deflactores!$K$5</f>
        <v>1955.8915900674313</v>
      </c>
      <c r="O31" s="56">
        <f>912.019430689*Deflactores!$L$5</f>
        <v>1932.8032497969396</v>
      </c>
      <c r="P31" s="56">
        <f>1101.405533718*Deflactores!$M$5</f>
        <v>2278.5640466454415</v>
      </c>
      <c r="Q31" s="56">
        <f>1207.608646431*Deflactores!$N$5</f>
        <v>2450.7305855185864</v>
      </c>
      <c r="R31" s="56">
        <f>1326.812165225*Deflactores!$O$5</f>
        <v>2597.5720181613051</v>
      </c>
      <c r="S31" s="56">
        <f>1392.00306612468*Deflactores!$P$5</f>
        <v>2552.4021492132042</v>
      </c>
      <c r="T31" s="56">
        <f>1492.533810772*Deflactores!$Q$5</f>
        <v>2587.9311127486362</v>
      </c>
      <c r="U31" s="56">
        <f>1550.074898198*Deflactores!$R$5</f>
        <v>2582.0949515478778</v>
      </c>
      <c r="V31" s="56">
        <f>1662.073255797*Deflactores!$S$5</f>
        <v>2683.3304749123308</v>
      </c>
    </row>
    <row r="32" spans="3:22" x14ac:dyDescent="0.2">
      <c r="C32" s="88" t="s">
        <v>142</v>
      </c>
      <c r="D32" s="57">
        <f>41.134605612*Deflactores!$A$5</f>
        <v>153.51087526597317</v>
      </c>
      <c r="E32" s="57">
        <f>43.225514813*Deflactores!$B$5</f>
        <v>149.85277599909946</v>
      </c>
      <c r="F32" s="57">
        <f>47.388501207*Deflactores!$C$5</f>
        <v>153.54897910061948</v>
      </c>
      <c r="G32" s="57">
        <f>48.113432266*Deflactores!$D$5</f>
        <v>146.3948903248893</v>
      </c>
      <c r="H32" s="57">
        <f>57.39658867*Deflactores!$E$5</f>
        <v>165.54101792582804</v>
      </c>
      <c r="I32" s="57">
        <f>50.262703345*Deflactores!$F$5</f>
        <v>138.25331504562155</v>
      </c>
      <c r="J32" s="57">
        <f>72.741298244*Deflactores!$G$5</f>
        <v>191.50764804115872</v>
      </c>
      <c r="K32" s="57">
        <f>80.475028218*Deflactores!$H$5</f>
        <v>200.45365671208211</v>
      </c>
      <c r="L32" s="57">
        <f>73.771268783*Deflactores!$I$5</f>
        <v>170.65843293856534</v>
      </c>
      <c r="M32" s="57">
        <f>82.894139826*Deflactores!$J$5</f>
        <v>187.9993986443595</v>
      </c>
      <c r="N32" s="57">
        <f>197.637726515*Deflactores!$K$5</f>
        <v>434.45410466224769</v>
      </c>
      <c r="O32" s="57">
        <f>81.770437239*Deflactores!$L$5</f>
        <v>173.2925434641862</v>
      </c>
      <c r="P32" s="57">
        <f>106.457275998*Deflactores!$M$5</f>
        <v>220.23651976217528</v>
      </c>
      <c r="Q32" s="57">
        <f>172.050227183*Deflactores!$N$5</f>
        <v>349.16009855423926</v>
      </c>
      <c r="R32" s="57">
        <f>194.133588457*Deflactores!$O$5</f>
        <v>380.06583778618801</v>
      </c>
      <c r="S32" s="57">
        <f>187.792927642*Deflactores!$P$5</f>
        <v>344.34052897233221</v>
      </c>
      <c r="T32" s="57">
        <f>176.863365279*Deflactores!$Q$5</f>
        <v>306.66655750612739</v>
      </c>
      <c r="U32" s="57">
        <f>185.530658485*Deflactores!$R$5</f>
        <v>309.05459935412688</v>
      </c>
      <c r="V32" s="57">
        <f>174.99591142*Deflactores!$S$5</f>
        <v>282.52176037401853</v>
      </c>
    </row>
    <row r="33" spans="3:22" x14ac:dyDescent="0.2">
      <c r="C33" s="87" t="s">
        <v>143</v>
      </c>
      <c r="D33" s="56">
        <f>47.685443339*Deflactores!$A$5</f>
        <v>177.95804859449933</v>
      </c>
      <c r="E33" s="56">
        <f>51.497351627*Deflactores!$B$5</f>
        <v>178.52930453905921</v>
      </c>
      <c r="F33" s="56">
        <f>50.053656011*Deflactores!$C$5</f>
        <v>162.18465629816845</v>
      </c>
      <c r="G33" s="56">
        <f>47.347336371*Deflactores!$D$5</f>
        <v>144.06388795725886</v>
      </c>
      <c r="H33" s="56">
        <f>75.454549054*Deflactores!$E$5</f>
        <v>217.62308783452451</v>
      </c>
      <c r="I33" s="56">
        <f>91.3059031658*Deflactores!$F$5</f>
        <v>251.1473310390914</v>
      </c>
      <c r="J33" s="56">
        <f>168.998034364*Deflactores!$G$5</f>
        <v>444.92491701298593</v>
      </c>
      <c r="K33" s="56">
        <f>225.011115945*Deflactores!$H$5</f>
        <v>560.47574000046097</v>
      </c>
      <c r="L33" s="56">
        <f>238.34049656*Deflactores!$I$5</f>
        <v>551.36391605755205</v>
      </c>
      <c r="M33" s="56">
        <f>266.924622674*Deflactores!$J$5</f>
        <v>605.37052017692724</v>
      </c>
      <c r="N33" s="56">
        <f>257.543389531*Deflactores!$K$5</f>
        <v>566.14081068109738</v>
      </c>
      <c r="O33" s="56">
        <f>249.617230872*Deflactores!$L$5</f>
        <v>529.00297822627692</v>
      </c>
      <c r="P33" s="56">
        <f>490.917800242*Deflactores!$M$5</f>
        <v>1015.6001720035749</v>
      </c>
      <c r="Q33" s="56">
        <f>507.164294802*Deflactores!$N$5</f>
        <v>1029.2432509717412</v>
      </c>
      <c r="R33" s="56">
        <f>564.832994555*Deflactores!$O$5</f>
        <v>1105.8041371979123</v>
      </c>
      <c r="S33" s="56">
        <f>544.6774584718*Deflactores!$P$5</f>
        <v>998.73049813159446</v>
      </c>
      <c r="T33" s="56">
        <f>719.005515257*Deflactores!$Q$5</f>
        <v>1246.6965436508303</v>
      </c>
      <c r="U33" s="56">
        <f>1775.987384293*Deflactores!$R$5</f>
        <v>2958.4170831530423</v>
      </c>
      <c r="V33" s="56">
        <f>752.990063475*Deflactores!$S$5</f>
        <v>1215.6631349318925</v>
      </c>
    </row>
    <row r="34" spans="3:22" x14ac:dyDescent="0.2">
      <c r="C34" s="88" t="s">
        <v>144</v>
      </c>
      <c r="D34" s="57">
        <f>683.481112568*Deflactores!$A$5</f>
        <v>2550.6938077331774</v>
      </c>
      <c r="E34" s="57">
        <f>760.070378193*Deflactores!$B$5</f>
        <v>2634.9866882939154</v>
      </c>
      <c r="F34" s="57">
        <f>789.963169484*Deflactores!$C$5</f>
        <v>2559.6512890650415</v>
      </c>
      <c r="G34" s="57">
        <f>779.795028311999*Deflactores!$D$5</f>
        <v>2372.6847632589356</v>
      </c>
      <c r="H34" s="57">
        <f>970.428904733*Deflactores!$E$5</f>
        <v>2798.8734598457663</v>
      </c>
      <c r="I34" s="57">
        <f>1005.48043377299*Deflactores!$F$5</f>
        <v>2765.6889488904467</v>
      </c>
      <c r="J34" s="57">
        <f>1138.140955315*Deflactores!$G$5</f>
        <v>2996.4092304287628</v>
      </c>
      <c r="K34" s="57">
        <f>1226.455430559*Deflactores!$H$5</f>
        <v>3054.953583662782</v>
      </c>
      <c r="L34" s="57">
        <f>1366.125711945*Deflactores!$I$5</f>
        <v>3160.3207731644852</v>
      </c>
      <c r="M34" s="57">
        <f>1599.524877745*Deflactores!$J$5</f>
        <v>3627.6353885082972</v>
      </c>
      <c r="N34" s="57">
        <f>1709.532783034*Deflactores!$K$5</f>
        <v>3757.954251651583</v>
      </c>
      <c r="O34" s="57">
        <f>1907.763642385*Deflactores!$L$5</f>
        <v>4043.0407990984568</v>
      </c>
      <c r="P34" s="57">
        <f>2247.591541903*Deflactores!$M$5</f>
        <v>4649.768974409204</v>
      </c>
      <c r="Q34" s="57">
        <f>2500.445921539*Deflactores!$N$5</f>
        <v>5074.4248274980955</v>
      </c>
      <c r="R34" s="57">
        <f>2757.547421931*Deflactores!$O$5</f>
        <v>5398.5998995917607</v>
      </c>
      <c r="S34" s="57">
        <f>2987.891266268*Deflactores!$P$5</f>
        <v>5478.6517898048423</v>
      </c>
      <c r="T34" s="57">
        <f>3332.867664156*Deflactores!$Q$5</f>
        <v>5778.9189501052988</v>
      </c>
      <c r="U34" s="57">
        <f>3578.445731815*Deflactores!$R$5</f>
        <v>5960.9291584872162</v>
      </c>
      <c r="V34" s="57">
        <f>3971.255960177*Deflactores!$S$5</f>
        <v>6411.3853612970261</v>
      </c>
    </row>
    <row r="35" spans="3:22" x14ac:dyDescent="0.2">
      <c r="C35" s="87" t="s">
        <v>145</v>
      </c>
      <c r="D35" s="56">
        <f>191.514445006*Deflactores!$A$5</f>
        <v>714.71573974132264</v>
      </c>
      <c r="E35" s="56">
        <f>196.112026466*Deflactores!$B$5</f>
        <v>679.87464579370601</v>
      </c>
      <c r="F35" s="56">
        <f>255.935537998*Deflactores!$C$5</f>
        <v>829.28642126701607</v>
      </c>
      <c r="G35" s="56">
        <f>333.511884*Deflactores!$D$5</f>
        <v>1014.7776490003115</v>
      </c>
      <c r="H35" s="56">
        <f>151.396726244*Deflactores!$E$5</f>
        <v>436.65257385181957</v>
      </c>
      <c r="I35" s="56">
        <f>152.522135874*Deflactores!$F$5</f>
        <v>419.52958156033736</v>
      </c>
      <c r="J35" s="56">
        <f>469.406654991*Deflactores!$G$5</f>
        <v>1235.8174330440816</v>
      </c>
      <c r="K35" s="56">
        <f>372.636697557*Deflactores!$H$5</f>
        <v>928.19338252443572</v>
      </c>
      <c r="L35" s="56">
        <f>280.183648098*Deflactores!$I$5</f>
        <v>648.16158252701587</v>
      </c>
      <c r="M35" s="56">
        <f>326.387432517*Deflactores!$J$5</f>
        <v>740.22893737811012</v>
      </c>
      <c r="N35" s="56">
        <f>684.781172484*Deflactores!$K$5</f>
        <v>1505.3097221219086</v>
      </c>
      <c r="O35" s="56">
        <f>589.597209628*Deflactores!$L$5</f>
        <v>1249.5078114501298</v>
      </c>
      <c r="P35" s="56">
        <f>421.224129747*Deflactores!$M$5</f>
        <v>871.4194075102306</v>
      </c>
      <c r="Q35" s="56">
        <f>581.489725346*Deflactores!$N$5</f>
        <v>1180.0798704795216</v>
      </c>
      <c r="R35" s="56">
        <f>1122.299*Deflactores!$O$5</f>
        <v>2197.1855209181381</v>
      </c>
      <c r="S35" s="56">
        <f>873.896639085*Deflactores!$P$5</f>
        <v>1602.3927777691861</v>
      </c>
      <c r="T35" s="56">
        <f>727.59129923431*Deflactores!$Q$5</f>
        <v>1261.583588300577</v>
      </c>
      <c r="U35" s="56">
        <f>756.745009396*Deflactores!$R$5</f>
        <v>1260.57616354024</v>
      </c>
      <c r="V35" s="56">
        <f>1809.837729859*Deflactores!$S$5</f>
        <v>2921.8885017484145</v>
      </c>
    </row>
    <row r="36" spans="3:22" x14ac:dyDescent="0.2">
      <c r="C36" s="88" t="s">
        <v>146</v>
      </c>
      <c r="D36" s="57">
        <f>205.282682934*Deflactores!$A$5</f>
        <v>766.09764127536505</v>
      </c>
      <c r="E36" s="57">
        <f>215.767388449*Deflactores!$B$5</f>
        <v>748.01520049067142</v>
      </c>
      <c r="F36" s="57">
        <f>233.421446389*Deflactores!$C$5</f>
        <v>756.33590175514098</v>
      </c>
      <c r="G36" s="57">
        <f>221.518021281*Deflactores!$D$5</f>
        <v>674.0135738213578</v>
      </c>
      <c r="H36" s="57">
        <f>239.802808862999*Deflactores!$E$5</f>
        <v>691.62997314860513</v>
      </c>
      <c r="I36" s="57">
        <f>296.991545396*Deflactores!$F$5</f>
        <v>816.90921814701289</v>
      </c>
      <c r="J36" s="57">
        <f>297.157930715999*Deflactores!$G$5</f>
        <v>782.3343517640966</v>
      </c>
      <c r="K36" s="57">
        <f>297.629911609*Deflactores!$H$5</f>
        <v>741.36046236978302</v>
      </c>
      <c r="L36" s="57">
        <f>284.384210031*Deflactores!$I$5</f>
        <v>657.87893358757356</v>
      </c>
      <c r="M36" s="57">
        <f>289.70280863*Deflactores!$J$5</f>
        <v>657.03020650609574</v>
      </c>
      <c r="N36" s="57">
        <f>368.636706422*Deflactores!$K$5</f>
        <v>810.34999267740818</v>
      </c>
      <c r="O36" s="57">
        <f>366.796571091999*Deflactores!$L$5</f>
        <v>777.33607504985423</v>
      </c>
      <c r="P36" s="57">
        <f>569.026295143*Deflactores!$M$5</f>
        <v>1177.1893439938581</v>
      </c>
      <c r="Q36" s="57">
        <f>576.6463*Deflactores!$N$5</f>
        <v>1170.2505845852884</v>
      </c>
      <c r="R36" s="57">
        <f>609.0095*Deflactores!$O$5</f>
        <v>1192.2908739129189</v>
      </c>
      <c r="S36" s="57">
        <f>769.994416629*Deflactores!$P$5</f>
        <v>1411.8757721974694</v>
      </c>
      <c r="T36" s="57">
        <f>934.04317284331*Deflactores!$Q$5</f>
        <v>1619.5541904684615</v>
      </c>
      <c r="U36" s="57">
        <f>873.011714841*Deflactores!$R$5</f>
        <v>1454.2517552885108</v>
      </c>
      <c r="V36" s="57">
        <f>850.664274404*Deflactores!$S$5</f>
        <v>1373.3530477469096</v>
      </c>
    </row>
    <row r="37" spans="3:22" x14ac:dyDescent="0.2">
      <c r="C37" s="90" t="s">
        <v>147</v>
      </c>
      <c r="D37" s="58">
        <f>4283.178401431*Deflactores!$A$5</f>
        <v>15984.46017754382</v>
      </c>
      <c r="E37" s="58">
        <f>5217.6430609925*Deflactores!$B$5</f>
        <v>18088.351295402415</v>
      </c>
      <c r="F37" s="58">
        <f>6442.34999781717*Deflactores!$C$5</f>
        <v>20874.605441785578</v>
      </c>
      <c r="G37" s="58">
        <f>7338.81899758999*Deflactores!$D$5</f>
        <v>22329.847438999182</v>
      </c>
      <c r="H37" s="58">
        <f>9508.33276660216*Deflactores!$E$5</f>
        <v>27423.565083468682</v>
      </c>
      <c r="I37" s="58">
        <f>12525.523773343*Deflactores!$F$5</f>
        <v>34452.885919429493</v>
      </c>
      <c r="J37" s="58">
        <f>13832.676078727*Deflactores!$G$5</f>
        <v>36417.596687184661</v>
      </c>
      <c r="K37" s="58">
        <f>15136.018451397*Deflactores!$H$5</f>
        <v>37702.009105545592</v>
      </c>
      <c r="L37" s="58">
        <f>17158.327833348*Deflactores!$I$5</f>
        <v>39693.140543627502</v>
      </c>
      <c r="M37" s="58">
        <f>20198.6562960902*Deflactores!$J$5</f>
        <v>45809.453419263511</v>
      </c>
      <c r="N37" s="58">
        <f>22784.6470306129*Deflactores!$K$5</f>
        <v>50086.001292769266</v>
      </c>
      <c r="O37" s="58">
        <f>20917.765797016*Deflactores!$L$5</f>
        <v>44330.114414799631</v>
      </c>
      <c r="P37" s="58">
        <f>23715.918369726*Deflactores!$M$5</f>
        <v>49062.981141941134</v>
      </c>
      <c r="Q37" s="58">
        <f>23811.1178173584*Deflactores!$N$5</f>
        <v>48322.471756764666</v>
      </c>
      <c r="R37" s="58">
        <f>28516.7838972525*Deflactores!$O$5</f>
        <v>55828.851921096524</v>
      </c>
      <c r="S37" s="58">
        <f>27553.353853031*Deflactores!$P$5</f>
        <v>50522.330951682787</v>
      </c>
      <c r="T37" s="58">
        <f>28908.402542236*Deflactores!$Q$5</f>
        <v>50124.797052482165</v>
      </c>
      <c r="U37" s="58">
        <f>35233.105959658*Deflactores!$R$5</f>
        <v>58690.857539558441</v>
      </c>
      <c r="V37" s="58">
        <f>45399.858658675*Deflactores!$S$5</f>
        <v>73295.700938956768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0.25044*Deflactores!$R$5</f>
        <v>0.4171797507445662</v>
      </c>
      <c r="V38" s="59">
        <f>139.020442846*Deflactores!$S$5</f>
        <v>224.44124506750461</v>
      </c>
    </row>
    <row r="39" spans="3:22" x14ac:dyDescent="0.2">
      <c r="C39" s="90" t="s">
        <v>149</v>
      </c>
      <c r="D39" s="56">
        <f>233.667013917*Deflactores!$A$5</f>
        <v>872.02556809541159</v>
      </c>
      <c r="E39" s="56">
        <f>202.147470344*Deflactores!$B$5</f>
        <v>700.79812174113567</v>
      </c>
      <c r="F39" s="56">
        <f>197.591604539*Deflactores!$C$5</f>
        <v>640.23947546446357</v>
      </c>
      <c r="G39" s="56">
        <f>207.887552941*Deflactores!$D$5</f>
        <v>632.54010531719393</v>
      </c>
      <c r="H39" s="56">
        <f>193.916522*Deflactores!$E$5</f>
        <v>559.28652187119997</v>
      </c>
      <c r="I39" s="56">
        <f>154.8174*Deflactores!$F$5</f>
        <v>425.84296809163214</v>
      </c>
      <c r="J39" s="56">
        <f>250.587586389*Deflactores!$G$5</f>
        <v>659.72756131866845</v>
      </c>
      <c r="K39" s="56">
        <f>245.137826*Deflactores!$H$5</f>
        <v>610.60896415018772</v>
      </c>
      <c r="L39" s="56">
        <f>303.06654512*Deflactores!$I$5</f>
        <v>701.09762946361127</v>
      </c>
      <c r="M39" s="56">
        <f>423.6116*Deflactores!$J$5</f>
        <v>960.7280590152892</v>
      </c>
      <c r="N39" s="56">
        <f>500.639163*Deflactores!$K$5</f>
        <v>1100.5223706796398</v>
      </c>
      <c r="O39" s="56">
        <f>519.983384*Deflactores!$L$5</f>
        <v>1101.9782480690646</v>
      </c>
      <c r="P39" s="56">
        <f>663.332692*Deflactores!$M$5</f>
        <v>1372.288386688567</v>
      </c>
      <c r="Q39" s="56">
        <f>458.511943896*Deflactores!$N$5</f>
        <v>930.5077833389912</v>
      </c>
      <c r="R39" s="56">
        <f>544.64690707*Deflactores!$O$5</f>
        <v>1066.2847407215463</v>
      </c>
      <c r="S39" s="56">
        <f>505.873192309*Deflactores!$P$5</f>
        <v>927.57828966102716</v>
      </c>
      <c r="T39" s="56">
        <f>188.501450641*Deflactores!$Q$5</f>
        <v>326.84604220776089</v>
      </c>
      <c r="U39" s="56">
        <f>194.359899423*Deflactores!$R$5</f>
        <v>323.76223604865874</v>
      </c>
      <c r="V39" s="56">
        <f>351.506680191*Deflactores!$S$5</f>
        <v>567.48917883254421</v>
      </c>
    </row>
    <row r="40" spans="3:22" x14ac:dyDescent="0.2">
      <c r="C40" s="88" t="s">
        <v>150</v>
      </c>
      <c r="D40" s="57">
        <f>299.271295241*Deflactores!$A$5</f>
        <v>1116.8552072132941</v>
      </c>
      <c r="E40" s="57">
        <f>332.627969437*Deflactores!$B$5</f>
        <v>1153.1435729734144</v>
      </c>
      <c r="F40" s="57">
        <f>492.803558377299*Deflactores!$C$5</f>
        <v>1596.7899671578823</v>
      </c>
      <c r="G40" s="57">
        <f>309.881844198*Deflactores!$D$5</f>
        <v>942.87845324014677</v>
      </c>
      <c r="H40" s="57">
        <f>371.9509*Deflactores!$E$5</f>
        <v>1072.7663791735215</v>
      </c>
      <c r="I40" s="57">
        <f>360.925709603*Deflactores!$F$5</f>
        <v>992.7674501568946</v>
      </c>
      <c r="J40" s="57">
        <f>386.220435183*Deflactores!$G$5</f>
        <v>1016.811205640394</v>
      </c>
      <c r="K40" s="57">
        <f>374.925998*Deflactores!$H$5</f>
        <v>933.89575573602156</v>
      </c>
      <c r="L40" s="57">
        <f>355.795763*Deflactores!$I$5</f>
        <v>823.07852855790293</v>
      </c>
      <c r="M40" s="57">
        <f>472.818*Deflactores!$J$5</f>
        <v>1072.3254967698972</v>
      </c>
      <c r="N40" s="57">
        <f>555.092147395*Deflactores!$K$5</f>
        <v>1220.2228094504812</v>
      </c>
      <c r="O40" s="57">
        <f>439.1082*Deflactores!$L$5</f>
        <v>930.58297599132595</v>
      </c>
      <c r="P40" s="57">
        <f>649.400865758*Deflactores!$M$5</f>
        <v>1343.4665246156819</v>
      </c>
      <c r="Q40" s="57">
        <f>607.64192*Deflactores!$N$5</f>
        <v>1233.1533421761781</v>
      </c>
      <c r="R40" s="57">
        <f>619.889937561*Deflactores!$O$5</f>
        <v>1213.5920956642374</v>
      </c>
      <c r="S40" s="57">
        <f>625.218900848*Deflactores!$P$5</f>
        <v>1146.4127523051145</v>
      </c>
      <c r="T40" s="57">
        <f>712.846391423*Deflactores!$Q$5</f>
        <v>1236.0171284963851</v>
      </c>
      <c r="U40" s="57">
        <f>941.490304806*Deflactores!$R$5</f>
        <v>1568.3225151229547</v>
      </c>
      <c r="V40" s="57">
        <f>914.063514604*Deflactores!$S$5</f>
        <v>1475.7078102229896</v>
      </c>
    </row>
    <row r="41" spans="3:22" x14ac:dyDescent="0.2">
      <c r="C41" s="87" t="s">
        <v>151</v>
      </c>
      <c r="D41" s="56">
        <f>47.862238267*Deflactores!$A$5</f>
        <v>178.61783233950132</v>
      </c>
      <c r="E41" s="56">
        <f>44.023806514*Deflactores!$B$5</f>
        <v>152.62026709710986</v>
      </c>
      <c r="F41" s="56">
        <f>31.248879*Deflactores!$C$5</f>
        <v>101.25311723891396</v>
      </c>
      <c r="G41" s="56">
        <f>33.057834267*Deflactores!$D$5</f>
        <v>100.58517536516987</v>
      </c>
      <c r="H41" s="56">
        <f>37.119348058*Deflactores!$E$5</f>
        <v>107.05818594191425</v>
      </c>
      <c r="I41" s="56">
        <f>20.243046283*Deflactores!$F$5</f>
        <v>55.680814381129018</v>
      </c>
      <c r="J41" s="56">
        <f>40.857964155*Deflactores!$G$5</f>
        <v>107.5676789934035</v>
      </c>
      <c r="K41" s="56">
        <f>39.697776365*Deflactores!$H$5</f>
        <v>98.882406280695577</v>
      </c>
      <c r="L41" s="56">
        <f>10.368929992*Deflactores!$I$5</f>
        <v>23.986917574775244</v>
      </c>
      <c r="M41" s="56">
        <f>7.587874974*Deflactores!$J$5</f>
        <v>17.208887565453136</v>
      </c>
      <c r="N41" s="56">
        <f>12.147811019*Deflactores!$K$5</f>
        <v>26.703739477924405</v>
      </c>
      <c r="O41" s="56">
        <f>328.752697737*Deflactores!$L$5</f>
        <v>696.7113431843776</v>
      </c>
      <c r="P41" s="56">
        <f>1363.636620691*Deflactores!$M$5</f>
        <v>2821.062071575845</v>
      </c>
      <c r="Q41" s="56">
        <f>1466.663509854*Deflactores!$N$5</f>
        <v>2976.4585843983641</v>
      </c>
      <c r="R41" s="56">
        <f>1522.792129923*Deflactores!$O$5</f>
        <v>2981.2526066894011</v>
      </c>
      <c r="S41" s="56">
        <f>1603.414310913*Deflactores!$P$5</f>
        <v>2940.049654234731</v>
      </c>
      <c r="T41" s="56">
        <f>1750.229531092*Deflactores!$Q$5</f>
        <v>3034.7543387453402</v>
      </c>
      <c r="U41" s="56">
        <f>1946.609139626*Deflactores!$R$5</f>
        <v>3242.6366222099869</v>
      </c>
      <c r="V41" s="56">
        <f>1965.945401832*Deflactores!$S$5</f>
        <v>3173.9161859144183</v>
      </c>
    </row>
    <row r="42" spans="3:22" ht="21.75" customHeight="1" x14ac:dyDescent="0.2">
      <c r="C42" s="79" t="s">
        <v>179</v>
      </c>
      <c r="D42" s="44">
        <f t="shared" ref="D42:V42" si="0">+SUM(D13:D41)</f>
        <v>98621.514811882371</v>
      </c>
      <c r="E42" s="44">
        <f t="shared" si="0"/>
        <v>103596.31827390139</v>
      </c>
      <c r="F42" s="44">
        <f t="shared" si="0"/>
        <v>107448.66639403322</v>
      </c>
      <c r="G42" s="44">
        <f t="shared" si="0"/>
        <v>107834.39043515273</v>
      </c>
      <c r="H42" s="44">
        <f t="shared" si="0"/>
        <v>125874.79270999508</v>
      </c>
      <c r="I42" s="44">
        <f t="shared" si="0"/>
        <v>135656.65230637792</v>
      </c>
      <c r="J42" s="44">
        <f t="shared" si="0"/>
        <v>136931.16064442976</v>
      </c>
      <c r="K42" s="44">
        <f t="shared" si="0"/>
        <v>141649.23345355815</v>
      </c>
      <c r="L42" s="44">
        <f t="shared" si="0"/>
        <v>148786.73069456368</v>
      </c>
      <c r="M42" s="44">
        <f t="shared" si="0"/>
        <v>167422.51257243418</v>
      </c>
      <c r="N42" s="44">
        <f t="shared" si="0"/>
        <v>185055.20572169483</v>
      </c>
      <c r="O42" s="44">
        <f t="shared" si="0"/>
        <v>176459.32912810304</v>
      </c>
      <c r="P42" s="44">
        <f t="shared" si="0"/>
        <v>188523.33973852737</v>
      </c>
      <c r="Q42" s="44">
        <f t="shared" si="0"/>
        <v>204511.79056136089</v>
      </c>
      <c r="R42" s="44">
        <f t="shared" si="0"/>
        <v>218337.06251014731</v>
      </c>
      <c r="S42" s="44">
        <f t="shared" si="0"/>
        <v>210002.96647610131</v>
      </c>
      <c r="T42" s="44">
        <f t="shared" si="0"/>
        <v>212541.71955951097</v>
      </c>
      <c r="U42" s="44">
        <f t="shared" si="0"/>
        <v>231362.18630592359</v>
      </c>
      <c r="V42" s="44">
        <f t="shared" si="0"/>
        <v>236853.26117696005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7" spans="3:22" ht="18" customHeight="1" x14ac:dyDescent="0.2">
      <c r="C47" s="9"/>
      <c r="D47" s="164" t="s">
        <v>180</v>
      </c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</row>
    <row r="48" spans="3:22" ht="1.5" customHeight="1" x14ac:dyDescent="0.2">
      <c r="H48" s="27"/>
      <c r="I48" s="27"/>
      <c r="J48" s="27"/>
      <c r="L48" s="179"/>
      <c r="M48" s="160"/>
      <c r="N48" s="160"/>
      <c r="O48" s="160"/>
      <c r="P48" s="160"/>
      <c r="Q48" s="160"/>
      <c r="R48" s="28"/>
      <c r="S48" s="28"/>
      <c r="T48" s="28"/>
      <c r="U48" s="28"/>
      <c r="V48" s="28"/>
    </row>
    <row r="49" spans="3:22" ht="15.75" customHeight="1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3:22" x14ac:dyDescent="0.2">
      <c r="C50" s="181" t="s">
        <v>120</v>
      </c>
      <c r="D50" s="155">
        <v>2000</v>
      </c>
      <c r="E50" s="155">
        <v>2001</v>
      </c>
      <c r="F50" s="155">
        <v>2002</v>
      </c>
      <c r="G50" s="155">
        <v>2003</v>
      </c>
      <c r="H50" s="155">
        <v>2004</v>
      </c>
      <c r="I50" s="155">
        <v>2005</v>
      </c>
      <c r="J50" s="155">
        <v>2006</v>
      </c>
      <c r="K50" s="155">
        <v>2007</v>
      </c>
      <c r="L50" s="155">
        <v>2008</v>
      </c>
      <c r="M50" s="155">
        <v>2009</v>
      </c>
      <c r="N50" s="155">
        <v>2010</v>
      </c>
      <c r="O50" s="155">
        <v>2011</v>
      </c>
      <c r="P50" s="155">
        <v>2012</v>
      </c>
      <c r="Q50" s="155">
        <v>2013</v>
      </c>
      <c r="R50" s="155">
        <v>2014</v>
      </c>
      <c r="S50" s="155">
        <v>2015</v>
      </c>
      <c r="T50" s="155">
        <v>2016</v>
      </c>
      <c r="U50" s="155">
        <v>2017</v>
      </c>
      <c r="V50" s="155">
        <v>2018</v>
      </c>
    </row>
    <row r="51" spans="3:22" ht="12" customHeight="1" thickBot="1" x14ac:dyDescent="0.25">
      <c r="C51" s="162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3:22" x14ac:dyDescent="0.2">
      <c r="C52" s="87" t="s">
        <v>123</v>
      </c>
      <c r="D52" s="56">
        <f>222.856489961099*Deflactores!$A$5</f>
        <v>831.6816053938461</v>
      </c>
      <c r="E52" s="56">
        <f>220.747886145609*Deflactores!$B$5</f>
        <v>765.28142413017599</v>
      </c>
      <c r="F52" s="56">
        <f>236.46186181*Deflactores!$C$5</f>
        <v>766.18750440231156</v>
      </c>
      <c r="G52" s="56">
        <f>274.89582649978*Deflactores!$D$5</f>
        <v>836.42638813867359</v>
      </c>
      <c r="H52" s="56">
        <f>247.35292152652*Deflactores!$E$5</f>
        <v>713.40571565762332</v>
      </c>
      <c r="I52" s="56">
        <f>258.40842152928*Deflactores!$F$5</f>
        <v>710.7819224706152</v>
      </c>
      <c r="J52" s="56">
        <f>385.93296457416*Deflactores!$G$5</f>
        <v>1016.054375318295</v>
      </c>
      <c r="K52" s="56">
        <f>410.0963432578*Deflactores!$H$5</f>
        <v>1021.500873383878</v>
      </c>
      <c r="L52" s="56">
        <f>738.24936860614*Deflactores!$I$5</f>
        <v>1707.8258574460388</v>
      </c>
      <c r="M52" s="56">
        <f>330.81099973205*Deflactores!$J$5</f>
        <v>750.26134712429905</v>
      </c>
      <c r="N52" s="56">
        <f>389.19940212866*Deflactores!$K$5</f>
        <v>855.55162351078661</v>
      </c>
      <c r="O52" s="56">
        <f>278.26963475632*Deflactores!$L$5</f>
        <v>589.7247758970467</v>
      </c>
      <c r="P52" s="56">
        <f>396.17457551097*Deflactores!$M$5</f>
        <v>819.59742921124848</v>
      </c>
      <c r="Q52" s="56">
        <f>1364.40220067631*Deflactores!$N$5</f>
        <v>2768.9286707482661</v>
      </c>
      <c r="R52" s="56">
        <f>371.75957421942*Deflactores!$O$5</f>
        <v>727.81384794747362</v>
      </c>
      <c r="S52" s="56">
        <f>509.05151168669*Deflactores!$P$5</f>
        <v>933.40611390072991</v>
      </c>
      <c r="T52" s="56">
        <f>512.55440355414*Deflactores!$Q$5</f>
        <v>888.72726256565124</v>
      </c>
      <c r="U52" s="56">
        <f>574.76329340028*Deflactores!$R$5</f>
        <v>957.43334722031136</v>
      </c>
      <c r="V52" s="56">
        <f>667.019807293149*Deflactores!$S$5</f>
        <v>1076.868645853755</v>
      </c>
    </row>
    <row r="53" spans="3:22" x14ac:dyDescent="0.2">
      <c r="C53" s="88" t="s">
        <v>124</v>
      </c>
      <c r="D53" s="57">
        <f>84.55461619313*Deflactores!$A$5</f>
        <v>315.55068892648399</v>
      </c>
      <c r="E53" s="57">
        <f>88.83866770213*Deflactores!$B$5</f>
        <v>307.98293620836051</v>
      </c>
      <c r="F53" s="57">
        <f>93.49123480001*Deflactores!$C$5</f>
        <v>302.93179342581362</v>
      </c>
      <c r="G53" s="57">
        <f>97.6466716803299*Deflactores!$D$5</f>
        <v>297.109832285528</v>
      </c>
      <c r="H53" s="57">
        <f>105.4946304171*Deflactores!$E$5</f>
        <v>304.26352697305265</v>
      </c>
      <c r="I53" s="57">
        <f>112.34323478171*Deflactores!$F$5</f>
        <v>309.01291808581254</v>
      </c>
      <c r="J53" s="57">
        <f>116.68332081128*Deflactores!$G$5</f>
        <v>307.19479681603548</v>
      </c>
      <c r="K53" s="57">
        <f>122.99995749883*Deflactores!$H$5</f>
        <v>306.37816229502545</v>
      </c>
      <c r="L53" s="57">
        <f>1046.74458464368*Deflactores!$I$5</f>
        <v>2421.4818783675996</v>
      </c>
      <c r="M53" s="57">
        <f>1256.77425763095*Deflactores!$J$5</f>
        <v>2850.2956320227386</v>
      </c>
      <c r="N53" s="57">
        <f>1355.90465427956*Deflactores!$K$5</f>
        <v>2980.5966349126761</v>
      </c>
      <c r="O53" s="57">
        <f>1095.475283777*Deflactores!$L$5</f>
        <v>2321.5932877184778</v>
      </c>
      <c r="P53" s="57">
        <f>206.32480975711*Deflactores!$M$5</f>
        <v>426.84032270704063</v>
      </c>
      <c r="Q53" s="57">
        <f>241.338694267739*Deflactores!$N$5</f>
        <v>489.77466438243295</v>
      </c>
      <c r="R53" s="57">
        <f>263.3659254444*Deflactores!$O$5</f>
        <v>515.60573259856915</v>
      </c>
      <c r="S53" s="57">
        <f>269.981836285439*Deflactores!$P$5</f>
        <v>495.04360726872136</v>
      </c>
      <c r="T53" s="57">
        <f>277.11340524122*Deflactores!$Q$5</f>
        <v>480.49189774302971</v>
      </c>
      <c r="U53" s="57">
        <f>297.06780290225*Deflactores!$R$5</f>
        <v>494.8517487981016</v>
      </c>
      <c r="V53" s="57">
        <f>316.813394947539*Deflactores!$S$5</f>
        <v>511.47868155517563</v>
      </c>
    </row>
    <row r="54" spans="3:22" x14ac:dyDescent="0.2">
      <c r="C54" s="87" t="s">
        <v>125</v>
      </c>
      <c r="D54" s="56">
        <f>7.492650108*Deflactores!$A$5</f>
        <v>27.961937619871705</v>
      </c>
      <c r="E54" s="56">
        <f>5.47124947397*Deflactores!$B$5</f>
        <v>18.967545566662384</v>
      </c>
      <c r="F54" s="56">
        <f>5.73283229*Deflactores!$C$5</f>
        <v>18.575614823507802</v>
      </c>
      <c r="G54" s="56">
        <f>5.97314629185*Deflactores!$D$5</f>
        <v>18.174510840454701</v>
      </c>
      <c r="H54" s="56">
        <f>5.88094452236*Deflactores!$E$5</f>
        <v>16.961592407418539</v>
      </c>
      <c r="I54" s="56">
        <f>6.0778054032*Deflactores!$F$5</f>
        <v>16.717698994958237</v>
      </c>
      <c r="J54" s="56">
        <f>6.6224510618*Deflactores!$G$5</f>
        <v>17.435075503585786</v>
      </c>
      <c r="K54" s="56">
        <f>6.539084612*Deflactores!$H$5</f>
        <v>16.288076575435372</v>
      </c>
      <c r="L54" s="56">
        <f>7.57244599275*Deflactores!$I$5</f>
        <v>17.517683889048609</v>
      </c>
      <c r="M54" s="56">
        <f>9.21898095598*Deflactores!$J$5</f>
        <v>20.908147179958195</v>
      </c>
      <c r="N54" s="56">
        <f>24.999428344*Deflactores!$K$5</f>
        <v>54.954610386272677</v>
      </c>
      <c r="O54" s="56">
        <f>9.36117917103*Deflactores!$L$5</f>
        <v>19.838741275533256</v>
      </c>
      <c r="P54" s="56">
        <f>12.4844571455*Deflactores!$M$5</f>
        <v>25.827576058743006</v>
      </c>
      <c r="Q54" s="56">
        <f>16.25690079538*Deflactores!$N$5</f>
        <v>32.991883689080268</v>
      </c>
      <c r="R54" s="56">
        <f>20.90564120256*Deflactores!$O$5</f>
        <v>40.928105750583832</v>
      </c>
      <c r="S54" s="56">
        <f>19.90025796843*Deflactores!$P$5</f>
        <v>36.489475091406462</v>
      </c>
      <c r="T54" s="56">
        <f>20.51019136983*Deflactores!$Q$5</f>
        <v>35.562988249463515</v>
      </c>
      <c r="U54" s="56">
        <f>22.19437046851*Deflactores!$R$5</f>
        <v>36.971098626359861</v>
      </c>
      <c r="V54" s="56">
        <f>22.31333647409*Deflactores!$S$5</f>
        <v>36.023716493282755</v>
      </c>
    </row>
    <row r="55" spans="3:22" x14ac:dyDescent="0.2">
      <c r="C55" s="88" t="s">
        <v>126</v>
      </c>
      <c r="D55" s="57">
        <f>145.43610762574*Deflactores!$A$5</f>
        <v>542.755274901446</v>
      </c>
      <c r="E55" s="57">
        <f>145.77192923559*Deflactores!$B$5</f>
        <v>505.35727227771048</v>
      </c>
      <c r="F55" s="57">
        <f>148.237082454679*Deflactores!$C$5</f>
        <v>480.32016409094769</v>
      </c>
      <c r="G55" s="57">
        <f>148.36371765674*Deflactores!$D$5</f>
        <v>451.42674616252236</v>
      </c>
      <c r="H55" s="57">
        <f>150.78651151113*Deflactores!$E$5</f>
        <v>434.89261615444792</v>
      </c>
      <c r="I55" s="57">
        <f>169.667702084359*Deflactores!$F$5</f>
        <v>466.6904226843381</v>
      </c>
      <c r="J55" s="57">
        <f>250.96924242643*Deflactores!$G$5</f>
        <v>660.73235573192949</v>
      </c>
      <c r="K55" s="57">
        <f>226.417491024329*Deflactores!$H$5</f>
        <v>563.97885188004386</v>
      </c>
      <c r="L55" s="57">
        <f>238.130510338619*Deflactores!$I$5</f>
        <v>550.87814537648944</v>
      </c>
      <c r="M55" s="57">
        <f>285.053782788089*Deflactores!$J$5</f>
        <v>646.48646886196354</v>
      </c>
      <c r="N55" s="57">
        <f>229.92569073411*Deflactores!$K$5</f>
        <v>505.43062738153469</v>
      </c>
      <c r="O55" s="57">
        <f>343.43442637902*Deflactores!$L$5</f>
        <v>727.82569434518052</v>
      </c>
      <c r="P55" s="57">
        <f>479.33287186096*Deflactores!$M$5</f>
        <v>991.63352167915525</v>
      </c>
      <c r="Q55" s="57">
        <f>678.305812195785*Deflactores!$N$5</f>
        <v>1376.559206657038</v>
      </c>
      <c r="R55" s="57">
        <f>569.553537992798*Deflactores!$O$5</f>
        <v>1115.0458006872275</v>
      </c>
      <c r="S55" s="57">
        <f>557.53227884419*Deflactores!$P$5</f>
        <v>1022.301330656829</v>
      </c>
      <c r="T55" s="57">
        <f>551.88204426523*Deflactores!$Q$5</f>
        <v>956.91816333632539</v>
      </c>
      <c r="U55" s="57">
        <f>621.80720326122*Deflactores!$R$5</f>
        <v>1035.7984909267352</v>
      </c>
      <c r="V55" s="57">
        <f>578.329837155729*Deflactores!$S$5</f>
        <v>933.68332062289744</v>
      </c>
    </row>
    <row r="56" spans="3:22" x14ac:dyDescent="0.2">
      <c r="C56" s="87" t="s">
        <v>127</v>
      </c>
      <c r="D56" s="56">
        <f>168.793936681919*Deflactores!$A$5</f>
        <v>629.9247209038889</v>
      </c>
      <c r="E56" s="56">
        <f>182.409355607469*Deflactores!$B$5</f>
        <v>632.37068255264171</v>
      </c>
      <c r="F56" s="56">
        <f>189.84707649563*Deflactores!$C$5</f>
        <v>615.14553190458741</v>
      </c>
      <c r="G56" s="56">
        <f>208.64289693158*Deflactores!$D$5</f>
        <v>634.83839283173199</v>
      </c>
      <c r="H56" s="56">
        <f>224.132323363319*Deflactores!$E$5</f>
        <v>646.43376582827625</v>
      </c>
      <c r="I56" s="56">
        <f>241.43622919109*Deflactores!$F$5</f>
        <v>664.09796601406129</v>
      </c>
      <c r="J56" s="56">
        <f>255.46897103514*Deflactores!$G$5</f>
        <v>672.57889220405866</v>
      </c>
      <c r="K56" s="56">
        <f>272.50974342038*Deflactores!$H$5</f>
        <v>678.78913208095298</v>
      </c>
      <c r="L56" s="56">
        <f>294.3915835077*Deflactores!$I$5</f>
        <v>681.02944602335992</v>
      </c>
      <c r="M56" s="56">
        <f>324.93275173017*Deflactores!$J$5</f>
        <v>736.92980050646179</v>
      </c>
      <c r="N56" s="56">
        <f>335.60000125867*Deflactores!$K$5</f>
        <v>737.72756164759244</v>
      </c>
      <c r="O56" s="56">
        <f>350.26007424642*Deflactores!$L$5</f>
        <v>742.29099402647523</v>
      </c>
      <c r="P56" s="56">
        <f>372.72689156218*Deflactores!$M$5</f>
        <v>771.08936566224372</v>
      </c>
      <c r="Q56" s="56">
        <f>390.257046923153*Deflactores!$N$5</f>
        <v>791.99075291100996</v>
      </c>
      <c r="R56" s="56">
        <f>401.61577456809*Deflactores!$O$5</f>
        <v>786.26494798028909</v>
      </c>
      <c r="S56" s="56">
        <f>414.30592437919*Deflactores!$P$5</f>
        <v>759.67888114011612</v>
      </c>
      <c r="T56" s="56">
        <f>442.15758726191*Deflactores!$Q$5</f>
        <v>766.66496166080276</v>
      </c>
      <c r="U56" s="56">
        <f>483.44802999331*Deflactores!$R$5</f>
        <v>805.32154867657175</v>
      </c>
      <c r="V56" s="56">
        <f>508.810457183708*Deflactores!$S$5</f>
        <v>821.44791209002733</v>
      </c>
    </row>
    <row r="57" spans="3:22" x14ac:dyDescent="0.2">
      <c r="C57" s="88" t="s">
        <v>128</v>
      </c>
      <c r="D57" s="57">
        <f>38.56032276966*Deflactores!$A$5</f>
        <v>143.90386903775479</v>
      </c>
      <c r="E57" s="57">
        <f>42.6418450090599*Deflactores!$B$5</f>
        <v>147.82932895015955</v>
      </c>
      <c r="F57" s="57">
        <f>49.08475227186*Deflactores!$C$5</f>
        <v>159.04519891499751</v>
      </c>
      <c r="G57" s="57">
        <f>54.1332418342199*Deflactores!$D$5</f>
        <v>164.71138366180372</v>
      </c>
      <c r="H57" s="57">
        <f>59.64427780546*Deflactores!$E$5</f>
        <v>172.02371587159209</v>
      </c>
      <c r="I57" s="57">
        <f>68.26949751071*Deflactores!$F$5</f>
        <v>187.78306217573115</v>
      </c>
      <c r="J57" s="57">
        <f>73.80133768688*Deflactores!$G$5</f>
        <v>194.29843766737432</v>
      </c>
      <c r="K57" s="57">
        <f>83.7117390682999*Deflactores!$H$5</f>
        <v>208.51591577590889</v>
      </c>
      <c r="L57" s="57">
        <f>105.64150418076*Deflactores!$I$5</f>
        <v>244.38529869661062</v>
      </c>
      <c r="M57" s="57">
        <f>98.89467185349*Deflactores!$J$5</f>
        <v>224.2877346530581</v>
      </c>
      <c r="N57" s="57">
        <f>108.298129121169*Deflactores!$K$5</f>
        <v>238.06470330128496</v>
      </c>
      <c r="O57" s="57">
        <f>120.92003217672*Deflactores!$L$5</f>
        <v>256.26058315462791</v>
      </c>
      <c r="P57" s="57">
        <f>151.86889484478*Deflactores!$M$5</f>
        <v>314.18309878011979</v>
      </c>
      <c r="Q57" s="57">
        <f>205.65580262684*Deflactores!$N$5</f>
        <v>417.35952046760065</v>
      </c>
      <c r="R57" s="57">
        <f>199.59458920224*Deflactores!$O$5</f>
        <v>390.75713463949046</v>
      </c>
      <c r="S57" s="57">
        <f>217.88160139118*Deflactores!$P$5</f>
        <v>399.51166861514042</v>
      </c>
      <c r="T57" s="57">
        <f>208.50411837496*Deflactores!$Q$5</f>
        <v>361.52902613287085</v>
      </c>
      <c r="U57" s="57">
        <f>216.480144467909*Deflactores!$R$5</f>
        <v>360.6098574918941</v>
      </c>
      <c r="V57" s="57">
        <f>259.54695175636*Deflactores!$S$5</f>
        <v>419.0249995837147</v>
      </c>
    </row>
    <row r="58" spans="3:22" x14ac:dyDescent="0.2">
      <c r="C58" s="87" t="s">
        <v>129</v>
      </c>
      <c r="D58" s="56">
        <f>6032.93408399439*Deflactores!$A$5</f>
        <v>22514.400657963964</v>
      </c>
      <c r="E58" s="56">
        <f>6825.16150350141*Deflactores!$B$5</f>
        <v>23661.242725888314</v>
      </c>
      <c r="F58" s="56">
        <f>7674.73954102947*Deflactores!$C$5</f>
        <v>24867.813739045989</v>
      </c>
      <c r="G58" s="56">
        <f>8817.29122352916*Deflactores!$D$5</f>
        <v>26828.39948924879</v>
      </c>
      <c r="H58" s="56">
        <f>10160.403939438*Deflactores!$E$5</f>
        <v>29304.243503783127</v>
      </c>
      <c r="I58" s="56">
        <f>11185.9622182396*Deflactores!$F$5</f>
        <v>30768.268631148752</v>
      </c>
      <c r="J58" s="56">
        <f>12047.8824462331*Deflactores!$G$5</f>
        <v>31718.730444088204</v>
      </c>
      <c r="K58" s="56">
        <f>13384.8041981896*Deflactores!$H$5</f>
        <v>33339.944145582966</v>
      </c>
      <c r="L58" s="56">
        <f>15060.7891243106*Deflactores!$I$5</f>
        <v>34840.808802319647</v>
      </c>
      <c r="M58" s="56">
        <f>17089.3825588235*Deflactores!$J$5</f>
        <v>38757.789766635848</v>
      </c>
      <c r="N58" s="56">
        <f>18556.9203579323*Deflactores!$K$5</f>
        <v>40792.465899885909</v>
      </c>
      <c r="O58" s="56">
        <f>20003.7761043439*Deflactores!$L$5</f>
        <v>42393.135674178979</v>
      </c>
      <c r="P58" s="56">
        <f>21699.067418846*Deflactores!$M$5</f>
        <v>44890.563332667203</v>
      </c>
      <c r="Q58" s="56">
        <f>23190.8783885423*Deflactores!$N$5</f>
        <v>47063.752930068149</v>
      </c>
      <c r="R58" s="56">
        <f>24391.6821277173*Deflactores!$O$5</f>
        <v>47752.91682685112</v>
      </c>
      <c r="S58" s="56">
        <f>25404.7654293413*Deflactores!$P$5</f>
        <v>46582.640124946483</v>
      </c>
      <c r="T58" s="56">
        <f>27719.0108950714*Deflactores!$Q$5</f>
        <v>48062.489567904304</v>
      </c>
      <c r="U58" s="56">
        <f>28907.1465063621*Deflactores!$R$5</f>
        <v>48153.155143989774</v>
      </c>
      <c r="V58" s="56">
        <f>30497.7432365958*Deflactores!$S$5</f>
        <v>49237.01380633012</v>
      </c>
    </row>
    <row r="59" spans="3:22" x14ac:dyDescent="0.2">
      <c r="C59" s="88" t="s">
        <v>130</v>
      </c>
      <c r="D59" s="57">
        <f>6.911688302*Deflactores!$A$5</f>
        <v>25.793837208836198</v>
      </c>
      <c r="E59" s="57">
        <f>6.87778166313*Deflactores!$B$5</f>
        <v>23.843664543834795</v>
      </c>
      <c r="F59" s="57">
        <f>7.63655270242999*Deflactores!$C$5</f>
        <v>24.744080134211821</v>
      </c>
      <c r="G59" s="57">
        <f>6.70802259297*Deflactores!$D$5</f>
        <v>20.410521252475277</v>
      </c>
      <c r="H59" s="57">
        <f>8.33173791897*Deflactores!$E$5</f>
        <v>24.030075796445654</v>
      </c>
      <c r="I59" s="57">
        <f>8.69379094088*Deflactores!$F$5</f>
        <v>23.913266456047463</v>
      </c>
      <c r="J59" s="57">
        <f>9.074091739*Deflactores!$G$5</f>
        <v>23.889564923855826</v>
      </c>
      <c r="K59" s="57">
        <f>9.5134452335*Deflactores!$H$5</f>
        <v>23.696852641285055</v>
      </c>
      <c r="L59" s="57">
        <f>10.25037529518*Deflactores!$I$5</f>
        <v>23.712659599948729</v>
      </c>
      <c r="M59" s="57">
        <f>10.8260017405*Deflactores!$J$5</f>
        <v>24.552782877160841</v>
      </c>
      <c r="N59" s="57">
        <f>14.03136866142*Deflactores!$K$5</f>
        <v>30.844241210801844</v>
      </c>
      <c r="O59" s="57">
        <f>10.86580455997*Deflactores!$L$5</f>
        <v>23.027428647328843</v>
      </c>
      <c r="P59" s="57">
        <f>17.11223970503*Deflactores!$M$5</f>
        <v>35.401432947079378</v>
      </c>
      <c r="Q59" s="57">
        <f>23.64664046071*Deflactores!$N$5</f>
        <v>47.988680101864887</v>
      </c>
      <c r="R59" s="57">
        <f>24.53470061724*Deflactores!$O$5</f>
        <v>48.032911867747394</v>
      </c>
      <c r="S59" s="57">
        <f>28.37179023925*Deflactores!$P$5</f>
        <v>52.023030800710671</v>
      </c>
      <c r="T59" s="57">
        <f>60.06693656153*Deflactores!$Q$5</f>
        <v>104.15113738339865</v>
      </c>
      <c r="U59" s="57">
        <f>55.9380997432399*Deflactores!$R$5</f>
        <v>93.180971522159027</v>
      </c>
      <c r="V59" s="57">
        <f>37.3611797368399*Deflactores!$S$5</f>
        <v>60.31767361449203</v>
      </c>
    </row>
    <row r="60" spans="3:22" x14ac:dyDescent="0.2">
      <c r="C60" s="87" t="s">
        <v>131</v>
      </c>
      <c r="D60" s="56">
        <f>4778.38547595603*Deflactores!$A$5</f>
        <v>17832.531170743343</v>
      </c>
      <c r="E60" s="56">
        <f>7301.29163131352*Deflactores!$B$5</f>
        <v>25311.874805069303</v>
      </c>
      <c r="F60" s="56">
        <f>8451.85441838745*Deflactores!$C$5</f>
        <v>27385.833786588548</v>
      </c>
      <c r="G60" s="56">
        <f>9868.27142431674*Deflactores!$D$5</f>
        <v>30026.22022208089</v>
      </c>
      <c r="H60" s="56">
        <f>11159.6462071401*Deflactores!$E$5</f>
        <v>32186.219349089377</v>
      </c>
      <c r="I60" s="56">
        <f>11973.9002555744*Deflactores!$F$5</f>
        <v>32935.582334201164</v>
      </c>
      <c r="J60" s="56">
        <f>12862.1510947872*Deflactores!$G$5</f>
        <v>33862.473785527822</v>
      </c>
      <c r="K60" s="56">
        <f>13707.9103472345*Deflactores!$H$5</f>
        <v>34144.762864089767</v>
      </c>
      <c r="L60" s="56">
        <f>15402.6108670919*Deflactores!$I$5</f>
        <v>35631.560594036542</v>
      </c>
      <c r="M60" s="56">
        <f>17813.1231470605*Deflactores!$J$5</f>
        <v>40399.194040190952</v>
      </c>
      <c r="N60" s="56">
        <f>19396.1600496191*Deflactores!$K$5</f>
        <v>42637.311695666387</v>
      </c>
      <c r="O60" s="56">
        <f>20818.6180252237*Deflactores!$L$5</f>
        <v>44119.994839402527</v>
      </c>
      <c r="P60" s="56">
        <f>22140.4286625649*Deflactores!$M$5</f>
        <v>45803.641967859614</v>
      </c>
      <c r="Q60" s="56">
        <f>23673.4384237908*Deflactores!$N$5</f>
        <v>48043.064101139666</v>
      </c>
      <c r="R60" s="56">
        <f>25021.222842394*Deflactores!$O$5</f>
        <v>48985.402771431036</v>
      </c>
      <c r="S60" s="56">
        <f>26586.9360844244*Deflactores!$P$5</f>
        <v>48750.289747422692</v>
      </c>
      <c r="T60" s="56">
        <f>28773.9908259285*Deflactores!$Q$5</f>
        <v>49891.73816963502</v>
      </c>
      <c r="U60" s="56">
        <f>32310.6100146924*Deflactores!$R$5</f>
        <v>53822.601151310737</v>
      </c>
      <c r="V60" s="56">
        <f>34807.4862193638*Deflactores!$S$5</f>
        <v>56194.868789175336</v>
      </c>
    </row>
    <row r="61" spans="3:22" x14ac:dyDescent="0.2">
      <c r="C61" s="88" t="s">
        <v>132</v>
      </c>
      <c r="D61" s="57">
        <f>27.2053375087199*Deflactores!$A$5</f>
        <v>101.52802271310621</v>
      </c>
      <c r="E61" s="57">
        <f>29.38229497255*Deflactores!$B$5</f>
        <v>101.86156222566959</v>
      </c>
      <c r="F61" s="57">
        <f>31.0517718819099*Deflactores!$C$5</f>
        <v>100.61444760418559</v>
      </c>
      <c r="G61" s="57">
        <f>32.10422280988*Deflactores!$D$5</f>
        <v>97.683618812192606</v>
      </c>
      <c r="H61" s="57">
        <f>31.5019671438899*Deflactores!$E$5</f>
        <v>90.856753484919679</v>
      </c>
      <c r="I61" s="57">
        <f>32.69957977563*Deflactores!$F$5</f>
        <v>89.943934641735268</v>
      </c>
      <c r="J61" s="57">
        <f>42.74813633559*Deflactores!$G$5</f>
        <v>112.5439777045346</v>
      </c>
      <c r="K61" s="57">
        <f>45.01258941505*Deflactores!$H$5</f>
        <v>112.12096902760894</v>
      </c>
      <c r="L61" s="57">
        <f>43.83982577936*Deflactores!$I$5</f>
        <v>101.41666384799092</v>
      </c>
      <c r="M61" s="57">
        <f>42.01035723589*Deflactores!$J$5</f>
        <v>95.277204320598173</v>
      </c>
      <c r="N61" s="57">
        <f>49.1761292122*Deflactores!$K$5</f>
        <v>108.10067270238432</v>
      </c>
      <c r="O61" s="57">
        <f>48.3508879698437*Deflactores!$L$5</f>
        <v>102.46794120173649</v>
      </c>
      <c r="P61" s="57">
        <f>50.37625132523*Deflactores!$M$5</f>
        <v>104.21730376364093</v>
      </c>
      <c r="Q61" s="57">
        <f>54.19652910226*Deflactores!$N$5</f>
        <v>109.9868669311038</v>
      </c>
      <c r="R61" s="57">
        <f>61.2574495325399*Deflactores!$O$5</f>
        <v>119.92702582936477</v>
      </c>
      <c r="S61" s="57">
        <f>61.381966109948*Deflactores!$P$5</f>
        <v>112.55108988957537</v>
      </c>
      <c r="T61" s="57">
        <f>66.8373515467799*Deflactores!$Q$5</f>
        <v>115.8904812160754</v>
      </c>
      <c r="U61" s="57">
        <f>70.8539428970799*Deflactores!$R$5</f>
        <v>118.02759238569526</v>
      </c>
      <c r="V61" s="57">
        <f>77.64163385129*Deflactores!$S$5</f>
        <v>125.34836326167142</v>
      </c>
    </row>
    <row r="62" spans="3:22" x14ac:dyDescent="0.2">
      <c r="C62" s="87" t="s">
        <v>133</v>
      </c>
      <c r="D62" s="56">
        <f>602.56151392389*Deflactores!$A$5</f>
        <v>2248.7086974054209</v>
      </c>
      <c r="E62" s="56">
        <f>630.68546562378*Deflactores!$B$5</f>
        <v>2186.4393799558484</v>
      </c>
      <c r="F62" s="56">
        <f>673.85545580264*Deflactores!$C$5</f>
        <v>2183.4372192508572</v>
      </c>
      <c r="G62" s="56">
        <f>696.373977297259*Deflactores!$D$5</f>
        <v>2118.8592713137286</v>
      </c>
      <c r="H62" s="56">
        <f>748.821777196799*Deflactores!$E$5</f>
        <v>2159.7227660147928</v>
      </c>
      <c r="I62" s="56">
        <f>825.89299396487*Deflactores!$F$5</f>
        <v>2271.7131528890468</v>
      </c>
      <c r="J62" s="56">
        <f>908.34793750464*Deflactores!$G$5</f>
        <v>2391.4279963913013</v>
      </c>
      <c r="K62" s="56">
        <f>1022.67249062006*Deflactores!$H$5</f>
        <v>2547.3546875724005</v>
      </c>
      <c r="L62" s="56">
        <f>1184.3222981725*Deflactores!$I$5</f>
        <v>2739.7466633635408</v>
      </c>
      <c r="M62" s="56">
        <f>1370.97153685303*Deflactores!$J$5</f>
        <v>3109.2888475339664</v>
      </c>
      <c r="N62" s="56">
        <f>1448.46546752273*Deflactores!$K$5</f>
        <v>3184.0670246680393</v>
      </c>
      <c r="O62" s="56">
        <f>1568.04427198859*Deflactores!$L$5</f>
        <v>3323.0882618755336</v>
      </c>
      <c r="P62" s="56">
        <f>1841.24685189151*Deflactores!$M$5</f>
        <v>3809.1318313580168</v>
      </c>
      <c r="Q62" s="56">
        <f>2100.26384225681*Deflactores!$N$5</f>
        <v>4262.2921350303923</v>
      </c>
      <c r="R62" s="56">
        <f>2382.18577578822*Deflactores!$O$5</f>
        <v>4663.7340804001606</v>
      </c>
      <c r="S62" s="56">
        <f>2648.98536617585*Deflactores!$P$5</f>
        <v>4857.2277650830747</v>
      </c>
      <c r="T62" s="56">
        <f>2986.32393476352*Deflactores!$Q$5</f>
        <v>5178.0405694950359</v>
      </c>
      <c r="U62" s="56">
        <f>3250.34815188803*Deflactores!$R$5</f>
        <v>5414.3884037602211</v>
      </c>
      <c r="V62" s="56">
        <f>3494.41001260136*Deflactores!$S$5</f>
        <v>5641.5424807227901</v>
      </c>
    </row>
    <row r="63" spans="3:22" x14ac:dyDescent="0.2">
      <c r="C63" s="88" t="s">
        <v>134</v>
      </c>
      <c r="D63" s="57">
        <f>6033.15358479573*Deflactores!$A$5</f>
        <v>22515.219816422734</v>
      </c>
      <c r="E63" s="57">
        <f>5075.91103005158*Deflactores!$B$5</f>
        <v>17596.999408065276</v>
      </c>
      <c r="F63" s="57">
        <f>5203.37213133878*Deflactores!$C$5</f>
        <v>16860.049554166184</v>
      </c>
      <c r="G63" s="57">
        <f>3961.40143956077*Deflactores!$D$5</f>
        <v>12053.368507803842</v>
      </c>
      <c r="H63" s="57">
        <f>4809.35553200061*Deflactores!$E$5</f>
        <v>13870.956946797118</v>
      </c>
      <c r="I63" s="57">
        <f>5261.76484844904*Deflactores!$F$5</f>
        <v>14473.086103136704</v>
      </c>
      <c r="J63" s="57">
        <f>5378.62466708138*Deflactores!$G$5</f>
        <v>14160.425845491118</v>
      </c>
      <c r="K63" s="57">
        <f>5715.99356838381*Deflactores!$H$5</f>
        <v>14237.855368269333</v>
      </c>
      <c r="L63" s="57">
        <f>6418.89514761426*Deflactores!$I$5</f>
        <v>14849.122228208793</v>
      </c>
      <c r="M63" s="57">
        <f>5698.50342555851*Deflactores!$J$5</f>
        <v>12923.895699099843</v>
      </c>
      <c r="N63" s="57">
        <f>6683.26415482655*Deflactores!$K$5</f>
        <v>14691.383046172066</v>
      </c>
      <c r="O63" s="57">
        <f>6995.01276954443*Deflactores!$L$5</f>
        <v>14824.227377625793</v>
      </c>
      <c r="P63" s="57">
        <f>7391.25504197387*Deflactores!$M$5</f>
        <v>15290.86924175608</v>
      </c>
      <c r="Q63" s="57">
        <f>10321.8988712674*Deflactores!$N$5</f>
        <v>20947.343611033146</v>
      </c>
      <c r="R63" s="57">
        <f>11202.4006922887*Deflactores!$O$5</f>
        <v>21931.546406635007</v>
      </c>
      <c r="S63" s="57">
        <f>14318.4089898341*Deflactores!$P$5</f>
        <v>26254.495243829311</v>
      </c>
      <c r="T63" s="57">
        <f>16382.8060048871*Deflactores!$Q$5</f>
        <v>28406.440824441186</v>
      </c>
      <c r="U63" s="57">
        <f>19152.9638946466*Deflactores!$R$5</f>
        <v>31904.762432472227</v>
      </c>
      <c r="V63" s="57">
        <f>10283.8382612932*Deflactores!$S$5</f>
        <v>16602.719831602797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138.29749610405*Deflactores!$A$5</f>
        <v>516.11457939521017</v>
      </c>
      <c r="E65" s="57">
        <f>145.673636158899*Deflactores!$B$5</f>
        <v>505.01651311110805</v>
      </c>
      <c r="F65" s="57">
        <f>159.65411845217*Deflactores!$C$5</f>
        <v>517.31382662760564</v>
      </c>
      <c r="G65" s="57">
        <f>150.23392913893*Deflactores!$D$5</f>
        <v>457.11724446881408</v>
      </c>
      <c r="H65" s="57">
        <f>151.53359715261*Deflactores!$E$5</f>
        <v>437.04733162507335</v>
      </c>
      <c r="I65" s="57">
        <f>160.57116279601*Deflactores!$F$5</f>
        <v>441.66935082863785</v>
      </c>
      <c r="J65" s="57">
        <f>296.482426564879*Deflactores!$G$5</f>
        <v>780.55593682862082</v>
      </c>
      <c r="K65" s="57">
        <f>207.85591149733*Deflactores!$H$5</f>
        <v>517.74418041823446</v>
      </c>
      <c r="L65" s="57">
        <f>287.588138715209*Deflactores!$I$5</f>
        <v>665.29072760324095</v>
      </c>
      <c r="M65" s="57">
        <f>473.35940157814*Deflactores!$J$5</f>
        <v>1073.5533660900817</v>
      </c>
      <c r="N65" s="57">
        <f>606.480458537509*Deflactores!$K$5</f>
        <v>1333.1863771923379</v>
      </c>
      <c r="O65" s="57">
        <f>808.42952351716*Deflactores!$L$5</f>
        <v>1713.2696494254681</v>
      </c>
      <c r="P65" s="57">
        <f>1328.23465518014*Deflactores!$M$5</f>
        <v>2747.8232477964457</v>
      </c>
      <c r="Q65" s="57">
        <f>1128.05367462995*Deflactores!$N$5</f>
        <v>2289.2810934177182</v>
      </c>
      <c r="R65" s="57">
        <f>1152.65630647651*Deflactores!$O$5</f>
        <v>2256.617663550594</v>
      </c>
      <c r="S65" s="57">
        <f>1113.36564756494*Deflactores!$P$5</f>
        <v>2041.4875088000499</v>
      </c>
      <c r="T65" s="57">
        <f>1202.98166572082*Deflactores!$Q$5</f>
        <v>2085.8714612131953</v>
      </c>
      <c r="U65" s="57">
        <f>1209.40714086115*Deflactores!$R$5</f>
        <v>2014.6149559701048</v>
      </c>
      <c r="V65" s="57">
        <f>1361.43202849312*Deflactores!$S$5</f>
        <v>2197.9609134770217</v>
      </c>
    </row>
    <row r="66" spans="3:22" x14ac:dyDescent="0.2">
      <c r="C66" s="87" t="s">
        <v>137</v>
      </c>
      <c r="D66" s="56">
        <f>41.4624505620499*Deflactores!$A$5</f>
        <v>154.7343649405407</v>
      </c>
      <c r="E66" s="56">
        <f>38.72656549268*Deflactores!$B$5</f>
        <v>134.25596824224993</v>
      </c>
      <c r="F66" s="56">
        <f>41.49291398687*Deflactores!$C$5</f>
        <v>134.44600315092009</v>
      </c>
      <c r="G66" s="56">
        <f>41.68323604975*Deflactores!$D$5</f>
        <v>126.82971225484228</v>
      </c>
      <c r="H66" s="56">
        <f>43.96310641942*Deflactores!$E$5</f>
        <v>126.79668873171539</v>
      </c>
      <c r="I66" s="56">
        <f>45.84654118029*Deflactores!$F$5</f>
        <v>126.10615585166741</v>
      </c>
      <c r="J66" s="56">
        <f>47.58907513643*Deflactores!$G$5</f>
        <v>125.28882590548795</v>
      </c>
      <c r="K66" s="56">
        <f>48.44435720948*Deflactores!$H$5</f>
        <v>120.66909157708801</v>
      </c>
      <c r="L66" s="56">
        <f>51.8885971484399*Deflactores!$I$5</f>
        <v>120.03625290465223</v>
      </c>
      <c r="M66" s="56">
        <f>56.00067919992*Deflactores!$J$5</f>
        <v>127.00649328601251</v>
      </c>
      <c r="N66" s="56">
        <f>55.3055664408199*Deflactores!$K$5</f>
        <v>121.57461419220103</v>
      </c>
      <c r="O66" s="56">
        <f>57.20052996495*Deflactores!$L$5</f>
        <v>121.22260391189276</v>
      </c>
      <c r="P66" s="56">
        <f>98.3440426621239*Deflactores!$M$5</f>
        <v>203.45203737559436</v>
      </c>
      <c r="Q66" s="56">
        <f>116.6321714909*Deflactores!$N$5</f>
        <v>236.69425585263849</v>
      </c>
      <c r="R66" s="56">
        <f>123.650670830476*Deflactores!$O$5</f>
        <v>242.07761354196757</v>
      </c>
      <c r="S66" s="56">
        <f>122.90044966286*Deflactores!$P$5</f>
        <v>225.35250064647212</v>
      </c>
      <c r="T66" s="56">
        <f>136.08624181993*Deflactores!$Q$5</f>
        <v>235.9623726317252</v>
      </c>
      <c r="U66" s="56">
        <f>142.36491091918*Deflactores!$R$5</f>
        <v>237.14964882620941</v>
      </c>
      <c r="V66" s="56">
        <f>144.82796686094*Deflactores!$S$5</f>
        <v>233.81718930986656</v>
      </c>
    </row>
    <row r="67" spans="3:22" x14ac:dyDescent="0.2">
      <c r="C67" s="88" t="s">
        <v>138</v>
      </c>
      <c r="D67" s="57">
        <f>147.253696890829*Deflactores!$A$5</f>
        <v>549.53836458485478</v>
      </c>
      <c r="E67" s="57">
        <f>162.48059153946*Deflactores!$B$5</f>
        <v>563.28230660751342</v>
      </c>
      <c r="F67" s="57">
        <f>178.33110562564*Deflactores!$C$5</f>
        <v>577.83129901261657</v>
      </c>
      <c r="G67" s="57">
        <f>195.78303696134*Deflactores!$D$5</f>
        <v>595.70965681621612</v>
      </c>
      <c r="H67" s="57">
        <f>222.83583278594*Deflactores!$E$5</f>
        <v>642.69447792138465</v>
      </c>
      <c r="I67" s="57">
        <f>236.61221684006*Deflactores!$F$5</f>
        <v>650.82896822910106</v>
      </c>
      <c r="J67" s="57">
        <f>257.75357164781*Deflactores!$G$5</f>
        <v>678.59361149843028</v>
      </c>
      <c r="K67" s="57">
        <f>253.69118815621*Deflactores!$H$5</f>
        <v>631.91436483610551</v>
      </c>
      <c r="L67" s="57">
        <f>292.912702386959*Deflactores!$I$5</f>
        <v>677.60828303224378</v>
      </c>
      <c r="M67" s="57">
        <f>280.909798251009*Deflactores!$J$5</f>
        <v>637.08813741660606</v>
      </c>
      <c r="N67" s="57">
        <f>278.93146432062*Deflactores!$K$5</f>
        <v>613.15681843945572</v>
      </c>
      <c r="O67" s="57">
        <f>282.44823470512*Deflactores!$L$5</f>
        <v>598.58030165546234</v>
      </c>
      <c r="P67" s="57">
        <f>114.380402031433*Deflactores!$M$5</f>
        <v>236.627712255896</v>
      </c>
      <c r="Q67" s="57">
        <f>143.483348550119*Deflactores!$N$5</f>
        <v>291.18624799817746</v>
      </c>
      <c r="R67" s="57">
        <f>121.67975803995*Deflactores!$O$5</f>
        <v>238.21905085382824</v>
      </c>
      <c r="S67" s="57">
        <f>61.63878869845*Deflactores!$P$5</f>
        <v>113.02200446067896</v>
      </c>
      <c r="T67" s="57">
        <f>81.27033184115*Deflactores!$Q$5</f>
        <v>140.9160843105665</v>
      </c>
      <c r="U67" s="57">
        <f>83.47428335875*Deflactores!$R$5</f>
        <v>139.05039420693427</v>
      </c>
      <c r="V67" s="57">
        <f>86.33079663365*Deflactores!$S$5</f>
        <v>139.37656280947061</v>
      </c>
    </row>
    <row r="68" spans="3:22" x14ac:dyDescent="0.2">
      <c r="C68" s="87" t="s">
        <v>139</v>
      </c>
      <c r="D68" s="56">
        <f>460.58837893334*Deflactores!$A$5</f>
        <v>1718.8769440095523</v>
      </c>
      <c r="E68" s="56">
        <f>605.07429890669*Deflactores!$B$5</f>
        <v>2097.6514396447842</v>
      </c>
      <c r="F68" s="56">
        <f>561.492328777309*Deflactores!$C$5</f>
        <v>1819.3564189755316</v>
      </c>
      <c r="G68" s="56">
        <f>625.46158874886*Deflactores!$D$5</f>
        <v>1903.0939256442441</v>
      </c>
      <c r="H68" s="56">
        <f>705.268330067429*Deflactores!$E$5</f>
        <v>2034.107600740291</v>
      </c>
      <c r="I68" s="56">
        <f>837.872979081429*Deflactores!$F$5</f>
        <v>2304.6654723294264</v>
      </c>
      <c r="J68" s="56">
        <f>1017.4385001647*Deflactores!$G$5</f>
        <v>2678.6331684578859</v>
      </c>
      <c r="K68" s="56">
        <f>876.963712644009*Deflactores!$H$5</f>
        <v>2184.4115733279828</v>
      </c>
      <c r="L68" s="56">
        <f>972.56573824796*Deflactores!$I$5</f>
        <v>2249.8805775912551</v>
      </c>
      <c r="M68" s="56">
        <f>1361.12494642042*Deflactores!$J$5</f>
        <v>3086.9573162108391</v>
      </c>
      <c r="N68" s="56">
        <f>2331.4572711654*Deflactores!$K$5</f>
        <v>5125.0902303087096</v>
      </c>
      <c r="O68" s="56">
        <f>2446.12135220618*Deflactores!$L$5</f>
        <v>5183.9589594818617</v>
      </c>
      <c r="P68" s="56">
        <f>1978.73505318697*Deflactores!$M$5</f>
        <v>4093.5644610473428</v>
      </c>
      <c r="Q68" s="56">
        <f>2443.64112414453*Deflactores!$N$5</f>
        <v>4959.1447201634473</v>
      </c>
      <c r="R68" s="56">
        <f>2646.14586635155*Deflactores!$O$5</f>
        <v>5180.5030422240498</v>
      </c>
      <c r="S68" s="56">
        <f>2594.21709467363*Deflactores!$P$5</f>
        <v>4756.8036659608415</v>
      </c>
      <c r="T68" s="56">
        <f>2689.94663020118*Deflactores!$Q$5</f>
        <v>4664.146651612712</v>
      </c>
      <c r="U68" s="56">
        <f>2939.74669992191*Deflactores!$R$5</f>
        <v>4896.9924753457253</v>
      </c>
      <c r="V68" s="56">
        <f>3268.50800834835*Deflactores!$S$5</f>
        <v>5276.835491881191</v>
      </c>
    </row>
    <row r="69" spans="3:22" x14ac:dyDescent="0.2">
      <c r="C69" s="88" t="s">
        <v>140</v>
      </c>
      <c r="D69" s="57">
        <f>102.9249749419*Deflactores!$A$5</f>
        <v>384.10731681964</v>
      </c>
      <c r="E69" s="57">
        <f>84.86725056314*Deflactores!$B$5</f>
        <v>294.21495945891832</v>
      </c>
      <c r="F69" s="57">
        <f>107.13220107589*Deflactores!$C$5</f>
        <v>347.13147039930595</v>
      </c>
      <c r="G69" s="57">
        <f>79.76043653391*Deflactores!$D$5</f>
        <v>242.68732885428375</v>
      </c>
      <c r="H69" s="57">
        <f>2361.27084178397*Deflactores!$E$5</f>
        <v>6810.285903834626</v>
      </c>
      <c r="I69" s="57">
        <f>2121.52937398617*Deflactores!$F$5</f>
        <v>5835.5092225541375</v>
      </c>
      <c r="J69" s="57">
        <f>194.56996628403*Deflactores!$G$5</f>
        <v>512.24871595655941</v>
      </c>
      <c r="K69" s="57">
        <f>123.31134963077*Deflactores!$H$5</f>
        <v>307.15380279992411</v>
      </c>
      <c r="L69" s="57">
        <f>126.10021302105*Deflactores!$I$5</f>
        <v>291.71336080301757</v>
      </c>
      <c r="M69" s="57">
        <f>109.900310694579*Deflactores!$J$5</f>
        <v>249.24792469984322</v>
      </c>
      <c r="N69" s="57">
        <f>965.113059284549*Deflactores!$K$5</f>
        <v>2121.5449978245342</v>
      </c>
      <c r="O69" s="57">
        <f>717.11179817288*Deflactores!$L$5</f>
        <v>1519.7439520879129</v>
      </c>
      <c r="P69" s="57">
        <f>172.380833882105*Deflactores!$M$5</f>
        <v>356.61775648486167</v>
      </c>
      <c r="Q69" s="57">
        <f>283.240925984181*Deflactores!$N$5</f>
        <v>574.8113864798338</v>
      </c>
      <c r="R69" s="57">
        <f>446.369548993188*Deflactores!$O$5</f>
        <v>873.88183543475691</v>
      </c>
      <c r="S69" s="57">
        <f>729.48652590746*Deflactores!$P$5</f>
        <v>1337.5997667389497</v>
      </c>
      <c r="T69" s="57">
        <f>539.33190940212*Deflactores!$Q$5</f>
        <v>935.15725966565128</v>
      </c>
      <c r="U69" s="57">
        <f>681.368709530609*Deflactores!$R$5</f>
        <v>1135.0152867238708</v>
      </c>
      <c r="V69" s="57">
        <f>603.89891789191*Deflactores!$S$5</f>
        <v>974.96326620627542</v>
      </c>
    </row>
    <row r="70" spans="3:22" x14ac:dyDescent="0.2">
      <c r="C70" s="87" t="s">
        <v>141</v>
      </c>
      <c r="D70" s="56">
        <f>356.12641867794*Deflactores!$A$5</f>
        <v>1329.0337277632384</v>
      </c>
      <c r="E70" s="56">
        <f>355.74676884506*Deflactores!$B$5</f>
        <v>1233.2910572555961</v>
      </c>
      <c r="F70" s="56">
        <f>384.67354687292*Deflactores!$C$5</f>
        <v>1246.4253754585127</v>
      </c>
      <c r="G70" s="56">
        <f>396.3349953447*Deflactores!$D$5</f>
        <v>1205.9297257078974</v>
      </c>
      <c r="H70" s="56">
        <f>443.333609127679*Deflactores!$E$5</f>
        <v>1278.6456240052908</v>
      </c>
      <c r="I70" s="56">
        <f>462.301232857609*Deflactores!$F$5</f>
        <v>1271.6124231029912</v>
      </c>
      <c r="J70" s="56">
        <f>522.89469966258*Deflactores!$G$5</f>
        <v>1376.6366084046153</v>
      </c>
      <c r="K70" s="56">
        <f>572.80116691023*Deflactores!$H$5</f>
        <v>1426.77910177385</v>
      </c>
      <c r="L70" s="56">
        <f>651.649732025189*Deflactores!$I$5</f>
        <v>1507.4909775427659</v>
      </c>
      <c r="M70" s="56">
        <f>727.38555004797*Deflactores!$J$5</f>
        <v>1649.6708486107432</v>
      </c>
      <c r="N70" s="56">
        <f>813.95991058062*Deflactores!$K$5</f>
        <v>1789.2749042295188</v>
      </c>
      <c r="O70" s="56">
        <f>856.776343412689*Deflactores!$L$5</f>
        <v>1815.7289693336322</v>
      </c>
      <c r="P70" s="56">
        <f>974.952130122973*Deflactores!$M$5</f>
        <v>2016.9599687769294</v>
      </c>
      <c r="Q70" s="56">
        <f>1090.00803842848*Deflactores!$N$5</f>
        <v>2212.0709769118298</v>
      </c>
      <c r="R70" s="56">
        <f>1253.09101931308*Deflactores!$O$5</f>
        <v>2453.2441390638778</v>
      </c>
      <c r="S70" s="56">
        <f>1331.91588310705*Deflactores!$P$5</f>
        <v>2442.2251971599758</v>
      </c>
      <c r="T70" s="56">
        <f>1438.18776191151*Deflactores!$Q$5</f>
        <v>2493.6995250378882</v>
      </c>
      <c r="U70" s="56">
        <f>1502.06918381514*Deflactores!$R$5</f>
        <v>2502.1276461631292</v>
      </c>
      <c r="V70" s="56">
        <f>1603.56073622311*Deflactores!$S$5</f>
        <v>2588.8650676934212</v>
      </c>
    </row>
    <row r="71" spans="3:22" x14ac:dyDescent="0.2">
      <c r="C71" s="88" t="s">
        <v>142</v>
      </c>
      <c r="D71" s="57">
        <f>36.03716699894*Deflactores!$A$5</f>
        <v>134.4876647243087</v>
      </c>
      <c r="E71" s="57">
        <f>40.0573951622599*Deflactores!$B$5</f>
        <v>138.86964424428876</v>
      </c>
      <c r="F71" s="57">
        <f>43.78846199612*Deflactores!$C$5</f>
        <v>141.88407450407635</v>
      </c>
      <c r="G71" s="57">
        <f>42.7430730262*Deflactores!$D$5</f>
        <v>130.05448152658892</v>
      </c>
      <c r="H71" s="57">
        <f>51.3510834593899*Deflactores!$E$5</f>
        <v>148.10480595521349</v>
      </c>
      <c r="I71" s="57">
        <f>44.44907188219*Deflactores!$F$5</f>
        <v>122.26225669227168</v>
      </c>
      <c r="J71" s="57">
        <f>52.44315140269*Deflactores!$G$5</f>
        <v>138.06826140642829</v>
      </c>
      <c r="K71" s="57">
        <f>56.516254545*Deflactores!$H$5</f>
        <v>140.77522106021613</v>
      </c>
      <c r="L71" s="57">
        <f>60.2128802634*Deflactores!$I$5</f>
        <v>139.29319581985146</v>
      </c>
      <c r="M71" s="57">
        <f>59.4634577927099*Deflactores!$J$5</f>
        <v>134.85988671586838</v>
      </c>
      <c r="N71" s="57">
        <f>182.3595709088*Deflactores!$K$5</f>
        <v>400.86913314984599</v>
      </c>
      <c r="O71" s="57">
        <f>72.24229875503*Deflactores!$L$5</f>
        <v>153.09997255325746</v>
      </c>
      <c r="P71" s="57">
        <f>93.02651162863*Deflactores!$M$5</f>
        <v>192.45124369977214</v>
      </c>
      <c r="Q71" s="57">
        <f>116.46958970141*Deflactores!$N$5</f>
        <v>236.36431107679653</v>
      </c>
      <c r="R71" s="57">
        <f>170.020695743139*Deflactores!$O$5</f>
        <v>332.85872209032811</v>
      </c>
      <c r="S71" s="57">
        <f>168.89432259088*Deflactores!$P$5</f>
        <v>309.68770289494358</v>
      </c>
      <c r="T71" s="57">
        <f>167.628225999739*Deflactores!$Q$5</f>
        <v>290.65358406534182</v>
      </c>
      <c r="U71" s="57">
        <f>172.619072036269*Deflactores!$R$5</f>
        <v>287.54664369050079</v>
      </c>
      <c r="V71" s="57">
        <f>165.366520546732*Deflactores!$S$5</f>
        <v>266.9756116739166</v>
      </c>
    </row>
    <row r="72" spans="3:22" x14ac:dyDescent="0.2">
      <c r="C72" s="87" t="s">
        <v>143</v>
      </c>
      <c r="D72" s="56">
        <f>43.45165162676*Deflactores!$A$5</f>
        <v>162.15789537143829</v>
      </c>
      <c r="E72" s="56">
        <f>49.9590945392499*Deflactores!$B$5</f>
        <v>173.19652606789762</v>
      </c>
      <c r="F72" s="56">
        <f>46.2942514339199*Deflactores!$C$5</f>
        <v>150.00337349466048</v>
      </c>
      <c r="G72" s="56">
        <f>45.00022994608*Deflactores!$D$5</f>
        <v>136.92233992224538</v>
      </c>
      <c r="H72" s="56">
        <f>73.46413730178*Deflactores!$E$5</f>
        <v>211.88241935249241</v>
      </c>
      <c r="I72" s="56">
        <f>90.8155230182699*Deflactores!$F$5</f>
        <v>249.79848434926564</v>
      </c>
      <c r="J72" s="56">
        <f>166.74805622262*Deflactores!$G$5</f>
        <v>439.00134907563137</v>
      </c>
      <c r="K72" s="56">
        <f>223.81714580047*Deflactores!$H$5</f>
        <v>557.50170337349948</v>
      </c>
      <c r="L72" s="56">
        <f>234.25407556249*Deflactores!$I$5</f>
        <v>541.91061241689397</v>
      </c>
      <c r="M72" s="56">
        <f>245.20151040389*Deflactores!$J$5</f>
        <v>556.10368355811431</v>
      </c>
      <c r="N72" s="56">
        <f>234.78993136514*Deflactores!$K$5</f>
        <v>516.12336983248304</v>
      </c>
      <c r="O72" s="56">
        <f>240.76536305463*Deflactores!$L$5</f>
        <v>510.243598427471</v>
      </c>
      <c r="P72" s="56">
        <f>469.190350559769*Deflactores!$M$5</f>
        <v>970.65089205569961</v>
      </c>
      <c r="Q72" s="56">
        <f>472.45616030026*Deflactores!$N$5</f>
        <v>958.80628694279324</v>
      </c>
      <c r="R72" s="56">
        <f>531.12084229342*Deflactores!$O$5</f>
        <v>1039.8040313187023</v>
      </c>
      <c r="S72" s="56">
        <f>526.19455462436*Deflactores!$P$5</f>
        <v>964.83990934485848</v>
      </c>
      <c r="T72" s="56">
        <f>709.6009988415*Deflactores!$Q$5</f>
        <v>1230.3898841591842</v>
      </c>
      <c r="U72" s="56">
        <f>1747.79257188346*Deflactores!$R$5</f>
        <v>2911.4505250421103</v>
      </c>
      <c r="V72" s="56">
        <f>732.30377987225*Deflactores!$S$5</f>
        <v>1182.2662103316459</v>
      </c>
    </row>
    <row r="73" spans="3:22" x14ac:dyDescent="0.2">
      <c r="C73" s="88" t="s">
        <v>144</v>
      </c>
      <c r="D73" s="57">
        <f>678.643421644129*Deflactores!$A$5</f>
        <v>2532.6399536378067</v>
      </c>
      <c r="E73" s="57">
        <f>738.77305001638*Deflactores!$B$5</f>
        <v>2561.1538198495005</v>
      </c>
      <c r="F73" s="57">
        <f>781.126332891959*Deflactores!$C$5</f>
        <v>2531.0180298855666</v>
      </c>
      <c r="G73" s="57">
        <f>775.31151387229*Deflactores!$D$5</f>
        <v>2359.0427598981596</v>
      </c>
      <c r="H73" s="57">
        <f>961.56621641673*Deflactores!$E$5</f>
        <v>2773.3120374784903</v>
      </c>
      <c r="I73" s="57">
        <f>1004.38974572582*Deflactores!$F$5</f>
        <v>2762.688886654103</v>
      </c>
      <c r="J73" s="57">
        <f>1125.37533443539*Deflactores!$G$5</f>
        <v>2962.8008939066572</v>
      </c>
      <c r="K73" s="57">
        <f>1220.42196722433*Deflactores!$H$5</f>
        <v>3039.9249491303826</v>
      </c>
      <c r="L73" s="57">
        <f>1355.79252654312*Deflactores!$I$5</f>
        <v>3136.4165451765443</v>
      </c>
      <c r="M73" s="57">
        <f>1585.63666387871*Deflactores!$J$5</f>
        <v>3596.1376751525959</v>
      </c>
      <c r="N73" s="57">
        <f>1689.0095350929*Deflactores!$K$5</f>
        <v>3712.8393362645393</v>
      </c>
      <c r="O73" s="57">
        <f>1860.45699984173*Deflactores!$L$5</f>
        <v>3942.7858819685239</v>
      </c>
      <c r="P73" s="57">
        <f>2219.91812791399*Deflactores!$M$5</f>
        <v>4592.5188115646097</v>
      </c>
      <c r="Q73" s="57">
        <f>2494.22593724524*Deflactores!$N$5</f>
        <v>5061.8019419339562</v>
      </c>
      <c r="R73" s="57">
        <f>2752.42311395511*Deflactores!$O$5</f>
        <v>5388.567764403766</v>
      </c>
      <c r="S73" s="57">
        <f>2970.78230995659*Deflactores!$P$5</f>
        <v>5447.280496218822</v>
      </c>
      <c r="T73" s="57">
        <f>3306.30360744719*Deflactores!$Q$5</f>
        <v>5732.8590562915761</v>
      </c>
      <c r="U73" s="57">
        <f>3524.69792549179*Deflactores!$R$5</f>
        <v>5871.3967497466647</v>
      </c>
      <c r="V73" s="57">
        <f>3949.16069910725*Deflactores!$S$5</f>
        <v>6375.7137161557457</v>
      </c>
    </row>
    <row r="74" spans="3:22" x14ac:dyDescent="0.2">
      <c r="C74" s="87" t="s">
        <v>145</v>
      </c>
      <c r="D74" s="56">
        <f>187.49715294061*Deflactores!$A$5</f>
        <v>699.72354492185514</v>
      </c>
      <c r="E74" s="56">
        <f>189.97231215174*Deflactores!$B$5</f>
        <v>658.58968856847559</v>
      </c>
      <c r="F74" s="56">
        <f>210.96739935276*Deflactores!$C$5</f>
        <v>683.57993962771559</v>
      </c>
      <c r="G74" s="56">
        <f>304.822110879569*Deflactores!$D$5</f>
        <v>927.48318690101394</v>
      </c>
      <c r="H74" s="56">
        <f>147.47271126364*Deflactores!$E$5</f>
        <v>425.33508183256794</v>
      </c>
      <c r="I74" s="56">
        <f>148.36300841235*Deflactores!$F$5</f>
        <v>408.08942571906596</v>
      </c>
      <c r="J74" s="56">
        <f>408.90242987653*Deflactores!$G$5</f>
        <v>1076.5266020039483</v>
      </c>
      <c r="K74" s="56">
        <f>350.94343400737*Deflactores!$H$5</f>
        <v>874.158061247349</v>
      </c>
      <c r="L74" s="56">
        <f>263.80998737838*Deflactores!$I$5</f>
        <v>610.28364812280222</v>
      </c>
      <c r="M74" s="56">
        <f>317.388947580319*Deflactores!$J$5</f>
        <v>719.82086317217284</v>
      </c>
      <c r="N74" s="56">
        <f>676.280384023349*Deflactores!$K$5</f>
        <v>1486.6229941134534</v>
      </c>
      <c r="O74" s="56">
        <f>545.033377578611*Deflactores!$L$5</f>
        <v>1155.0656137182311</v>
      </c>
      <c r="P74" s="56">
        <f>386.28406036611*Deflactores!$M$5</f>
        <v>799.13614449643035</v>
      </c>
      <c r="Q74" s="56">
        <f>515.309880864773*Deflactores!$N$5</f>
        <v>1045.7739680712007</v>
      </c>
      <c r="R74" s="56">
        <f>1059.10315517669*Deflactores!$O$5</f>
        <v>2073.4635936706168</v>
      </c>
      <c r="S74" s="56">
        <f>807.23388948733*Deflactores!$P$5</f>
        <v>1480.1587471939156</v>
      </c>
      <c r="T74" s="56">
        <f>689.20250379177*Deflactores!$Q$5</f>
        <v>1195.0205681601451</v>
      </c>
      <c r="U74" s="56">
        <f>727.410252894089*Deflactores!$R$5</f>
        <v>1211.7107011316</v>
      </c>
      <c r="V74" s="56">
        <f>1767.19434080512*Deflactores!$S$5</f>
        <v>2853.0429770384044</v>
      </c>
    </row>
    <row r="75" spans="3:22" x14ac:dyDescent="0.2">
      <c r="C75" s="88" t="s">
        <v>146</v>
      </c>
      <c r="D75" s="57">
        <f>192.83473874689*Deflactores!$A$5</f>
        <v>719.64296451367068</v>
      </c>
      <c r="E75" s="57">
        <f>204.74265237698*Deflactores!$B$5</f>
        <v>709.79501243283619</v>
      </c>
      <c r="F75" s="57">
        <f>222.24646347613*Deflactores!$C$5</f>
        <v>720.12654349241143</v>
      </c>
      <c r="G75" s="57">
        <f>218.74693916362*Deflactores!$D$5</f>
        <v>665.581993625368</v>
      </c>
      <c r="H75" s="57">
        <f>216.933690200069*Deflactores!$E$5</f>
        <v>625.67174688024272</v>
      </c>
      <c r="I75" s="57">
        <f>267.78262422327*Deflactores!$F$5</f>
        <v>736.56673928514169</v>
      </c>
      <c r="J75" s="57">
        <f>282.4040689129*Deflactores!$G$5</f>
        <v>743.49152875098343</v>
      </c>
      <c r="K75" s="57">
        <f>259.83420072364*Deflactores!$H$5</f>
        <v>647.21587338648328</v>
      </c>
      <c r="L75" s="57">
        <f>257.36825354476*Deflactores!$I$5</f>
        <v>595.3816921230125</v>
      </c>
      <c r="M75" s="57">
        <f>276.625429823309*Deflactores!$J$5</f>
        <v>627.37142294596686</v>
      </c>
      <c r="N75" s="57">
        <f>329.24775120321*Deflactores!$K$5</f>
        <v>723.76382527448584</v>
      </c>
      <c r="O75" s="57">
        <f>356.030659699409*Deflactores!$L$5</f>
        <v>754.52034566248381</v>
      </c>
      <c r="P75" s="57">
        <f>549.462180689614*Deflactores!$M$5</f>
        <v>1136.7155253746068</v>
      </c>
      <c r="Q75" s="57">
        <f>570.0520020007*Deflactores!$N$5</f>
        <v>1156.8680638119642</v>
      </c>
      <c r="R75" s="57">
        <f>597.286281056977*Deflactores!$O$5</f>
        <v>1169.3396934163104</v>
      </c>
      <c r="S75" s="57">
        <f>759.672573968521*Deflactores!$P$5</f>
        <v>1392.9494536917257</v>
      </c>
      <c r="T75" s="57">
        <f>916.142804119189*Deflactores!$Q$5</f>
        <v>1588.5164204585049</v>
      </c>
      <c r="U75" s="57">
        <f>846.391405260521*Deflactores!$R$5</f>
        <v>1409.9079838641082</v>
      </c>
      <c r="V75" s="57">
        <f>772.191272898605*Deflactores!$S$5</f>
        <v>1246.6624848232584</v>
      </c>
    </row>
    <row r="76" spans="3:22" x14ac:dyDescent="0.2">
      <c r="C76" s="90" t="s">
        <v>147</v>
      </c>
      <c r="D76" s="58">
        <f>4135.16705251476*Deflactores!$A$5</f>
        <v>15432.094319566544</v>
      </c>
      <c r="E76" s="58">
        <f>5159.41170124029*Deflactores!$B$5</f>
        <v>17886.476755635304</v>
      </c>
      <c r="F76" s="58">
        <f>6372.49928027459*Deflactores!$C$5</f>
        <v>20648.274030263226</v>
      </c>
      <c r="G76" s="58">
        <f>7291.99746109808*Deflactores!$D$5</f>
        <v>22187.383403972945</v>
      </c>
      <c r="H76" s="58">
        <f>9461.16661754421*Deflactores!$E$5</f>
        <v>27287.530303220927</v>
      </c>
      <c r="I76" s="58">
        <f>12450.1136802153*Deflactores!$F$5</f>
        <v>34245.461832204375</v>
      </c>
      <c r="J76" s="58">
        <f>13712.3931026237*Deflactores!$G$5</f>
        <v>36100.924997113005</v>
      </c>
      <c r="K76" s="58">
        <f>14720.8605306446*Deflactores!$H$5</f>
        <v>36667.900448853143</v>
      </c>
      <c r="L76" s="58">
        <f>17103.7653879847*Deflactores!$I$5</f>
        <v>39566.918755977524</v>
      </c>
      <c r="M76" s="58">
        <f>19307.3581836011*Deflactores!$J$5</f>
        <v>43788.037797935758</v>
      </c>
      <c r="N76" s="58">
        <f>19824.4167307461*Deflactores!$K$5</f>
        <v>43578.720384409498</v>
      </c>
      <c r="O76" s="58">
        <f>20681.0891121721*Deflactores!$L$5</f>
        <v>43828.535774888565</v>
      </c>
      <c r="P76" s="58">
        <f>23378.1286469848*Deflactores!$M$5</f>
        <v>48364.16903867681</v>
      </c>
      <c r="Q76" s="58">
        <f>23430.9000713274*Deflactores!$N$5</f>
        <v>47550.854840879692</v>
      </c>
      <c r="R76" s="58">
        <f>27761.3737231937*Deflactores!$O$5</f>
        <v>54349.944520487385</v>
      </c>
      <c r="S76" s="58">
        <f>27204.6394732364*Deflactores!$P$5</f>
        <v>49882.92192011563</v>
      </c>
      <c r="T76" s="58">
        <f>28823.2737735131*Deflactores!$Q$5</f>
        <v>49977.190755339718</v>
      </c>
      <c r="U76" s="58">
        <f>35161.8792371471*Deflactores!$R$5</f>
        <v>58572.2089756571</v>
      </c>
      <c r="V76" s="58">
        <f>43359.8010172042*Deflactores!$S$5</f>
        <v>70002.134412425163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0.150079299*Deflactores!$R$5</f>
        <v>0.25000017788188478</v>
      </c>
      <c r="V77" s="59">
        <f>113.937033405*Deflactores!$S$5</f>
        <v>183.9453904275334</v>
      </c>
    </row>
    <row r="78" spans="3:22" x14ac:dyDescent="0.2">
      <c r="C78" s="90" t="s">
        <v>149</v>
      </c>
      <c r="D78" s="56">
        <f>100.31849029677*Deflactores!$A$5</f>
        <v>374.38013618211613</v>
      </c>
      <c r="E78" s="56">
        <f>85.3317523085099*Deflactores!$B$5</f>
        <v>295.82527864889761</v>
      </c>
      <c r="F78" s="56">
        <f>92.70891876129*Deflactores!$C$5</f>
        <v>300.39692049208696</v>
      </c>
      <c r="G78" s="56">
        <f>122.55957212703*Deflactores!$D$5</f>
        <v>372.91239212798666</v>
      </c>
      <c r="H78" s="56">
        <f>104.666697869159*Deflactores!$E$5</f>
        <v>301.87563598621927</v>
      </c>
      <c r="I78" s="56">
        <f>46.02609812751*Deflactores!$F$5</f>
        <v>126.60004777431718</v>
      </c>
      <c r="J78" s="56">
        <f>128.08598045274*Deflactores!$G$5</f>
        <v>337.21483470462192</v>
      </c>
      <c r="K78" s="56">
        <f>135.20751176692*Deflactores!$H$5</f>
        <v>336.78571786519529</v>
      </c>
      <c r="L78" s="56">
        <f>188.00550742177*Deflactores!$I$5</f>
        <v>434.9216952577716</v>
      </c>
      <c r="M78" s="56">
        <f>223.259648357389*Deflactores!$J$5</f>
        <v>506.34073434917821</v>
      </c>
      <c r="N78" s="56">
        <f>355.11843871492*Deflactores!$K$5</f>
        <v>780.63366777919475</v>
      </c>
      <c r="O78" s="56">
        <f>385.39623561156*Deflactores!$L$5</f>
        <v>816.75353790081738</v>
      </c>
      <c r="P78" s="56">
        <f>617.77322116505*Deflactores!$M$5</f>
        <v>1278.0359346618573</v>
      </c>
      <c r="Q78" s="56">
        <f>340.12341157424*Deflactores!$N$5</f>
        <v>690.24915485609984</v>
      </c>
      <c r="R78" s="56">
        <f>410.87017871473*Deflactores!$O$5</f>
        <v>804.38279607221659</v>
      </c>
      <c r="S78" s="56">
        <f>430.13363158081*Deflactores!$P$5</f>
        <v>788.70085304640054</v>
      </c>
      <c r="T78" s="56">
        <f>174.19846881539*Deflactores!$Q$5</f>
        <v>302.04584578713263</v>
      </c>
      <c r="U78" s="56">
        <f>187.71612860704*Deflactores!$R$5</f>
        <v>312.69512754759575</v>
      </c>
      <c r="V78" s="56">
        <f>283.1384113745*Deflactores!$S$5</f>
        <v>457.11217914708675</v>
      </c>
    </row>
    <row r="79" spans="3:22" x14ac:dyDescent="0.2">
      <c r="C79" s="88" t="s">
        <v>150</v>
      </c>
      <c r="D79" s="57">
        <f>276.955312458099*Deflactores!$A$5</f>
        <v>1033.5738435426006</v>
      </c>
      <c r="E79" s="57">
        <f>306.8650648252*Deflactores!$B$5</f>
        <v>1063.8295927795418</v>
      </c>
      <c r="F79" s="57">
        <f>470.176811866369*Deflactores!$C$5</f>
        <v>1523.4744214320217</v>
      </c>
      <c r="G79" s="57">
        <f>293.02362643052*Deflactores!$D$5</f>
        <v>891.58390149212369</v>
      </c>
      <c r="H79" s="57">
        <f>353.6044754872*Deflactores!$E$5</f>
        <v>1019.852332197491</v>
      </c>
      <c r="I79" s="57">
        <f>331.48315266399*Deflactores!$F$5</f>
        <v>911.78232939453267</v>
      </c>
      <c r="J79" s="57">
        <f>322.399391351659*Deflactores!$G$5</f>
        <v>848.7881115422631</v>
      </c>
      <c r="K79" s="57">
        <f>325.11843630995*Deflactores!$H$5</f>
        <v>809.83108507027134</v>
      </c>
      <c r="L79" s="57">
        <f>318.107665360169*Deflactores!$I$5</f>
        <v>735.89293734123999</v>
      </c>
      <c r="M79" s="57">
        <f>421.432817409609*Deflactores!$J$5</f>
        <v>955.78669865338532</v>
      </c>
      <c r="N79" s="57">
        <f>488.961736074099*Deflactores!$K$5</f>
        <v>1074.8526458284682</v>
      </c>
      <c r="O79" s="57">
        <f>376.63307563714*Deflactores!$L$5</f>
        <v>798.18215278871105</v>
      </c>
      <c r="P79" s="57">
        <f>599.14499751747*Deflactores!$M$5</f>
        <v>1239.4982667849188</v>
      </c>
      <c r="Q79" s="57">
        <f>547.11541106014*Deflactores!$N$5</f>
        <v>1110.3203638499876</v>
      </c>
      <c r="R79" s="57">
        <f>582.033167859641*Deflactores!$O$5</f>
        <v>1139.4778478064397</v>
      </c>
      <c r="S79" s="57">
        <f>588.62080860801*Deflactores!$P$5</f>
        <v>1079.3058244802251</v>
      </c>
      <c r="T79" s="57">
        <f>675.22526020932*Deflactores!$Q$5</f>
        <v>1170.7851751148251</v>
      </c>
      <c r="U79" s="57">
        <f>855.61917767238*Deflactores!$R$5</f>
        <v>1425.2794891935562</v>
      </c>
      <c r="V79" s="57">
        <f>875.30798217457*Deflactores!$S$5</f>
        <v>1413.1390270020147</v>
      </c>
    </row>
    <row r="80" spans="3:22" x14ac:dyDescent="0.2">
      <c r="C80" s="87" t="s">
        <v>151</v>
      </c>
      <c r="D80" s="56">
        <f>40.88947547701*Deflactores!$A$5</f>
        <v>152.59607029783211</v>
      </c>
      <c r="E80" s="56">
        <f>35.54807253003*Deflactores!$B$5</f>
        <v>123.23687463498405</v>
      </c>
      <c r="F80" s="56">
        <f>24.4723868283*Deflactores!$C$5</f>
        <v>79.295818984159837</v>
      </c>
      <c r="G80" s="56">
        <f>28.19308490483*Deflactores!$D$5</f>
        <v>85.783187317515669</v>
      </c>
      <c r="H80" s="56">
        <f>32.44077906453*Deflactores!$E$5</f>
        <v>93.56443846385109</v>
      </c>
      <c r="I80" s="56">
        <f>18.1404707742099*Deflactores!$F$5</f>
        <v>49.897439932908391</v>
      </c>
      <c r="J80" s="56">
        <f>38.01207628417*Deflactores!$G$5</f>
        <v>100.07524614042691</v>
      </c>
      <c r="K80" s="56">
        <f>26.3945079002599*Deflactores!$H$5</f>
        <v>65.745557881514557</v>
      </c>
      <c r="L80" s="56">
        <f>8.57064459184*Deflactores!$I$5</f>
        <v>19.826862130014785</v>
      </c>
      <c r="M80" s="56">
        <f>6.98087088462*Deflactores!$J$5</f>
        <v>15.832235319375854</v>
      </c>
      <c r="N80" s="56">
        <f>11.42518650773*Deflactores!$K$5</f>
        <v>25.115241216045366</v>
      </c>
      <c r="O80" s="56">
        <f>323.29695072997*Deflactores!$L$5</f>
        <v>685.14921502084576</v>
      </c>
      <c r="P80" s="56">
        <f>1354.35392205057*Deflactores!$M$5</f>
        <v>2801.8582245545499</v>
      </c>
      <c r="Q80" s="56">
        <f>1461.6487467777*Deflactores!$N$5</f>
        <v>2966.281584352414</v>
      </c>
      <c r="R80" s="56">
        <f>1517.89312989286*Deflactores!$O$5</f>
        <v>2971.6615690664494</v>
      </c>
      <c r="S80" s="56">
        <f>1592.54365751788*Deflactores!$P$5</f>
        <v>2920.1170263804684</v>
      </c>
      <c r="T80" s="56">
        <f>1749.10394856217*Deflactores!$Q$5</f>
        <v>3032.8026710324284</v>
      </c>
      <c r="U80" s="56">
        <f>1945.66599381234*Deflactores!$R$5</f>
        <v>3241.0655419693767</v>
      </c>
      <c r="V80" s="56">
        <f>1962.91010346537*Deflactores!$S$5</f>
        <v>3169.0158552104481</v>
      </c>
    </row>
    <row r="81" spans="3:22" x14ac:dyDescent="0.2">
      <c r="C81" s="79" t="s">
        <v>179</v>
      </c>
      <c r="D81" s="44">
        <f t="shared" ref="D81:V81" si="1">+SUM(D52:D80)</f>
        <v>93623.661989511878</v>
      </c>
      <c r="E81" s="44">
        <f t="shared" si="1"/>
        <v>99698.736172615841</v>
      </c>
      <c r="F81" s="44">
        <f t="shared" si="1"/>
        <v>105185.25618015257</v>
      </c>
      <c r="G81" s="44">
        <f t="shared" si="1"/>
        <v>105835.74412496288</v>
      </c>
      <c r="H81" s="44">
        <f t="shared" si="1"/>
        <v>124140.71675608408</v>
      </c>
      <c r="I81" s="44">
        <f t="shared" si="1"/>
        <v>133161.13044780094</v>
      </c>
      <c r="J81" s="44">
        <f t="shared" si="1"/>
        <v>134036.63423906366</v>
      </c>
      <c r="K81" s="44">
        <f t="shared" si="1"/>
        <v>135529.69663177582</v>
      </c>
      <c r="L81" s="44">
        <f t="shared" si="1"/>
        <v>145102.35204501843</v>
      </c>
      <c r="M81" s="44">
        <f t="shared" si="1"/>
        <v>158262.9825551234</v>
      </c>
      <c r="N81" s="44">
        <f t="shared" si="1"/>
        <v>170219.86688150049</v>
      </c>
      <c r="O81" s="44">
        <f t="shared" si="1"/>
        <v>173040.3161281744</v>
      </c>
      <c r="P81" s="44">
        <f t="shared" si="1"/>
        <v>184313.07569005649</v>
      </c>
      <c r="Q81" s="44">
        <f t="shared" si="1"/>
        <v>197692.54221975832</v>
      </c>
      <c r="R81" s="44">
        <f t="shared" si="1"/>
        <v>207592.01947561937</v>
      </c>
      <c r="S81" s="44">
        <f t="shared" si="1"/>
        <v>205438.11065577873</v>
      </c>
      <c r="T81" s="44">
        <f t="shared" si="1"/>
        <v>210324.66236464374</v>
      </c>
      <c r="U81" s="44">
        <f t="shared" si="1"/>
        <v>229365.5639324373</v>
      </c>
      <c r="V81" s="44">
        <f t="shared" si="1"/>
        <v>230222.16457651852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8" customHeight="1" x14ac:dyDescent="0.2">
      <c r="C86" s="9"/>
      <c r="D86" s="164" t="s">
        <v>181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2.25" customHeight="1" x14ac:dyDescent="0.2">
      <c r="H87" s="27"/>
      <c r="I87" s="27"/>
      <c r="J87" s="27"/>
      <c r="L87" s="179"/>
      <c r="M87" s="160"/>
      <c r="N87" s="160"/>
      <c r="O87" s="160"/>
      <c r="P87" s="160"/>
      <c r="Q87" s="160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x14ac:dyDescent="0.2">
      <c r="C89" s="181" t="s">
        <v>120</v>
      </c>
      <c r="D89" s="155">
        <v>2000</v>
      </c>
      <c r="E89" s="155">
        <v>2001</v>
      </c>
      <c r="F89" s="155">
        <v>2002</v>
      </c>
      <c r="G89" s="155">
        <v>2003</v>
      </c>
      <c r="H89" s="155">
        <v>2004</v>
      </c>
      <c r="I89" s="155">
        <v>2005</v>
      </c>
      <c r="J89" s="155">
        <v>2006</v>
      </c>
      <c r="K89" s="155">
        <v>2007</v>
      </c>
      <c r="L89" s="155">
        <v>2008</v>
      </c>
      <c r="M89" s="155">
        <v>2009</v>
      </c>
      <c r="N89" s="155">
        <v>2010</v>
      </c>
      <c r="O89" s="155">
        <v>2011</v>
      </c>
      <c r="P89" s="155">
        <v>2012</v>
      </c>
      <c r="Q89" s="155">
        <v>2013</v>
      </c>
      <c r="R89" s="155">
        <v>2014</v>
      </c>
      <c r="S89" s="155">
        <v>2015</v>
      </c>
      <c r="T89" s="155">
        <v>2016</v>
      </c>
      <c r="U89" s="155">
        <v>2017</v>
      </c>
      <c r="V89" s="155">
        <v>2018</v>
      </c>
    </row>
    <row r="90" spans="3:22" ht="12" customHeight="1" thickBot="1" x14ac:dyDescent="0.25">
      <c r="C90" s="162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</row>
    <row r="91" spans="3:22" x14ac:dyDescent="0.2">
      <c r="C91" s="87" t="s">
        <v>123</v>
      </c>
      <c r="D91" s="60">
        <f t="shared" ref="D91:V91" si="2">+IFERROR(IF(D52&gt;0,+((D52/D13)*100)," "),"")</f>
        <v>92.876864533913945</v>
      </c>
      <c r="E91" s="60">
        <f t="shared" si="2"/>
        <v>93.367193107102381</v>
      </c>
      <c r="F91" s="60">
        <f t="shared" si="2"/>
        <v>96.720426789253779</v>
      </c>
      <c r="G91" s="60">
        <f t="shared" si="2"/>
        <v>95.666876990936814</v>
      </c>
      <c r="H91" s="60">
        <f t="shared" si="2"/>
        <v>91.387026617078575</v>
      </c>
      <c r="I91" s="60">
        <f t="shared" si="2"/>
        <v>89.117814775340008</v>
      </c>
      <c r="J91" s="60">
        <f t="shared" si="2"/>
        <v>95.265298216479508</v>
      </c>
      <c r="K91" s="60">
        <f t="shared" si="2"/>
        <v>94.084074457043101</v>
      </c>
      <c r="L91" s="60">
        <f t="shared" si="2"/>
        <v>99.2257453302893</v>
      </c>
      <c r="M91" s="60">
        <f t="shared" si="2"/>
        <v>95.845879773063146</v>
      </c>
      <c r="N91" s="60">
        <f t="shared" si="2"/>
        <v>93.647436620934471</v>
      </c>
      <c r="O91" s="60">
        <f t="shared" si="2"/>
        <v>96.39704353247285</v>
      </c>
      <c r="P91" s="60">
        <f t="shared" si="2"/>
        <v>89.578336864652655</v>
      </c>
      <c r="Q91" s="60">
        <f t="shared" si="2"/>
        <v>96.355523612485854</v>
      </c>
      <c r="R91" s="60">
        <f t="shared" si="2"/>
        <v>88.557403850740556</v>
      </c>
      <c r="S91" s="60">
        <f t="shared" si="2"/>
        <v>95.268439401220974</v>
      </c>
      <c r="T91" s="60">
        <f t="shared" si="2"/>
        <v>96.491335060139605</v>
      </c>
      <c r="U91" s="60">
        <f t="shared" si="2"/>
        <v>96.681137839948235</v>
      </c>
      <c r="V91" s="60">
        <f t="shared" si="2"/>
        <v>97.313739167973907</v>
      </c>
    </row>
    <row r="92" spans="3:22" x14ac:dyDescent="0.2">
      <c r="C92" s="88" t="s">
        <v>124</v>
      </c>
      <c r="D92" s="62">
        <f t="shared" ref="D92:V92" si="3">+IFERROR(IF(D53&gt;0,+((D53/D14)*100)," "),"")</f>
        <v>90.166779729171637</v>
      </c>
      <c r="E92" s="62">
        <f t="shared" si="3"/>
        <v>91.349588744241444</v>
      </c>
      <c r="F92" s="62">
        <f t="shared" si="3"/>
        <v>90.92732384648896</v>
      </c>
      <c r="G92" s="62">
        <f t="shared" si="3"/>
        <v>88.372613169237297</v>
      </c>
      <c r="H92" s="62">
        <f t="shared" si="3"/>
        <v>94.769146337464889</v>
      </c>
      <c r="I92" s="62">
        <f t="shared" si="3"/>
        <v>94.527453785649328</v>
      </c>
      <c r="J92" s="62">
        <f t="shared" si="3"/>
        <v>93.951997788120252</v>
      </c>
      <c r="K92" s="62">
        <f t="shared" si="3"/>
        <v>91.734434401251747</v>
      </c>
      <c r="L92" s="62">
        <f t="shared" si="3"/>
        <v>99.363108259456993</v>
      </c>
      <c r="M92" s="62">
        <f t="shared" si="3"/>
        <v>99.485765229592232</v>
      </c>
      <c r="N92" s="62">
        <f t="shared" si="3"/>
        <v>96.997727650534529</v>
      </c>
      <c r="O92" s="62">
        <f t="shared" si="3"/>
        <v>98.952768847901524</v>
      </c>
      <c r="P92" s="62">
        <f t="shared" si="3"/>
        <v>86.758991400934462</v>
      </c>
      <c r="Q92" s="62">
        <f t="shared" si="3"/>
        <v>88.633265798759993</v>
      </c>
      <c r="R92" s="62">
        <f t="shared" si="3"/>
        <v>93.922576130354784</v>
      </c>
      <c r="S92" s="62">
        <f t="shared" si="3"/>
        <v>95.093720152432752</v>
      </c>
      <c r="T92" s="62">
        <f t="shared" si="3"/>
        <v>95.548323285036687</v>
      </c>
      <c r="U92" s="62">
        <f t="shared" si="3"/>
        <v>97.863317410303893</v>
      </c>
      <c r="V92" s="62">
        <f t="shared" si="3"/>
        <v>98.200381285306705</v>
      </c>
    </row>
    <row r="93" spans="3:22" x14ac:dyDescent="0.2">
      <c r="C93" s="87" t="s">
        <v>125</v>
      </c>
      <c r="D93" s="60">
        <f t="shared" ref="D93:V93" si="4">+IFERROR(IF(D54&gt;0,+((D54/D15)*100)," "),"")</f>
        <v>92.776431609059586</v>
      </c>
      <c r="E93" s="60">
        <f t="shared" si="4"/>
        <v>90.621761881464408</v>
      </c>
      <c r="F93" s="60">
        <f t="shared" si="4"/>
        <v>97.762902756293641</v>
      </c>
      <c r="G93" s="60">
        <f t="shared" si="4"/>
        <v>94.862946584101209</v>
      </c>
      <c r="H93" s="60">
        <f t="shared" si="4"/>
        <v>87.918150158072237</v>
      </c>
      <c r="I93" s="60">
        <f t="shared" si="4"/>
        <v>90.510585680947656</v>
      </c>
      <c r="J93" s="60">
        <f t="shared" si="4"/>
        <v>89.735700703751945</v>
      </c>
      <c r="K93" s="60">
        <f t="shared" si="4"/>
        <v>78.80159011708507</v>
      </c>
      <c r="L93" s="60">
        <f t="shared" si="4"/>
        <v>94.195323688397394</v>
      </c>
      <c r="M93" s="60">
        <f t="shared" si="4"/>
        <v>31.854463090242437</v>
      </c>
      <c r="N93" s="60">
        <f t="shared" si="4"/>
        <v>95.011290031895413</v>
      </c>
      <c r="O93" s="60">
        <f t="shared" si="4"/>
        <v>89.324973546356247</v>
      </c>
      <c r="P93" s="60">
        <f t="shared" si="4"/>
        <v>73.704696664751694</v>
      </c>
      <c r="Q93" s="60">
        <f t="shared" si="4"/>
        <v>92.22203764113911</v>
      </c>
      <c r="R93" s="60">
        <f t="shared" si="4"/>
        <v>91.751771790915058</v>
      </c>
      <c r="S93" s="60">
        <f t="shared" si="4"/>
        <v>93.408780766827107</v>
      </c>
      <c r="T93" s="60">
        <f t="shared" si="4"/>
        <v>93.770023491383142</v>
      </c>
      <c r="U93" s="60">
        <f t="shared" si="4"/>
        <v>94.718913429029769</v>
      </c>
      <c r="V93" s="60">
        <f t="shared" si="4"/>
        <v>94.148932995088643</v>
      </c>
    </row>
    <row r="94" spans="3:22" x14ac:dyDescent="0.2">
      <c r="C94" s="88" t="s">
        <v>126</v>
      </c>
      <c r="D94" s="62">
        <f t="shared" ref="D94:V94" si="5">+IFERROR(IF(D55&gt;0,+((D55/D16)*100)," "),"")</f>
        <v>93.142765140310189</v>
      </c>
      <c r="E94" s="62">
        <f t="shared" si="5"/>
        <v>92.851884199927753</v>
      </c>
      <c r="F94" s="62">
        <f t="shared" si="5"/>
        <v>93.116001692292159</v>
      </c>
      <c r="G94" s="62">
        <f t="shared" si="5"/>
        <v>91.047004116991047</v>
      </c>
      <c r="H94" s="62">
        <f t="shared" si="5"/>
        <v>95.553225823773474</v>
      </c>
      <c r="I94" s="62">
        <f t="shared" si="5"/>
        <v>95.319750662657185</v>
      </c>
      <c r="J94" s="62">
        <f t="shared" si="5"/>
        <v>96.684645306623167</v>
      </c>
      <c r="K94" s="62">
        <f t="shared" si="5"/>
        <v>90.931149091031969</v>
      </c>
      <c r="L94" s="62">
        <f t="shared" si="5"/>
        <v>93.791526438038929</v>
      </c>
      <c r="M94" s="62">
        <f t="shared" si="5"/>
        <v>95.703669911927264</v>
      </c>
      <c r="N94" s="62">
        <f t="shared" si="5"/>
        <v>92.656079531907736</v>
      </c>
      <c r="O94" s="62">
        <f t="shared" si="5"/>
        <v>90.814465494893199</v>
      </c>
      <c r="P94" s="62">
        <f t="shared" si="5"/>
        <v>94.37143717421182</v>
      </c>
      <c r="Q94" s="62">
        <f t="shared" si="5"/>
        <v>95.678967090875759</v>
      </c>
      <c r="R94" s="62">
        <f t="shared" si="5"/>
        <v>91.393911355305519</v>
      </c>
      <c r="S94" s="62">
        <f t="shared" si="5"/>
        <v>95.541379869377835</v>
      </c>
      <c r="T94" s="62">
        <f t="shared" si="5"/>
        <v>97.870341328783809</v>
      </c>
      <c r="U94" s="62">
        <f t="shared" si="5"/>
        <v>98.492512230785508</v>
      </c>
      <c r="V94" s="62">
        <f t="shared" si="5"/>
        <v>97.696708467003802</v>
      </c>
    </row>
    <row r="95" spans="3:22" x14ac:dyDescent="0.2">
      <c r="C95" s="87" t="s">
        <v>127</v>
      </c>
      <c r="D95" s="60">
        <f t="shared" ref="D95:V95" si="6">+IFERROR(IF(D56&gt;0,+((D56/D17)*100)," "),"")</f>
        <v>86.959021208309764</v>
      </c>
      <c r="E95" s="60">
        <f t="shared" si="6"/>
        <v>91.885170061567337</v>
      </c>
      <c r="F95" s="60">
        <f t="shared" si="6"/>
        <v>97.623412691031973</v>
      </c>
      <c r="G95" s="60">
        <f t="shared" si="6"/>
        <v>97.782302006310559</v>
      </c>
      <c r="H95" s="60">
        <f t="shared" si="6"/>
        <v>97.366980045354538</v>
      </c>
      <c r="I95" s="60">
        <f t="shared" si="6"/>
        <v>99.027427343110702</v>
      </c>
      <c r="J95" s="60">
        <f t="shared" si="6"/>
        <v>98.5397710717031</v>
      </c>
      <c r="K95" s="60">
        <f t="shared" si="6"/>
        <v>98.568381726243373</v>
      </c>
      <c r="L95" s="60">
        <f t="shared" si="6"/>
        <v>97.445486068836075</v>
      </c>
      <c r="M95" s="60">
        <f t="shared" si="6"/>
        <v>98.938369829605264</v>
      </c>
      <c r="N95" s="60">
        <f t="shared" si="6"/>
        <v>98.798074828872828</v>
      </c>
      <c r="O95" s="60">
        <f t="shared" si="6"/>
        <v>99.00028992899766</v>
      </c>
      <c r="P95" s="60">
        <f t="shared" si="6"/>
        <v>97.333950173802052</v>
      </c>
      <c r="Q95" s="60">
        <f t="shared" si="6"/>
        <v>96.26825040964836</v>
      </c>
      <c r="R95" s="60">
        <f t="shared" si="6"/>
        <v>97.561608140849032</v>
      </c>
      <c r="S95" s="60">
        <f t="shared" si="6"/>
        <v>98.424446448225183</v>
      </c>
      <c r="T95" s="60">
        <f t="shared" si="6"/>
        <v>98.631344378749475</v>
      </c>
      <c r="U95" s="60">
        <f t="shared" si="6"/>
        <v>99.39686288818848</v>
      </c>
      <c r="V95" s="60">
        <f t="shared" si="6"/>
        <v>98.695524972927572</v>
      </c>
    </row>
    <row r="96" spans="3:22" x14ac:dyDescent="0.2">
      <c r="C96" s="88" t="s">
        <v>128</v>
      </c>
      <c r="D96" s="62">
        <f t="shared" ref="D96:V96" si="7">+IFERROR(IF(D57&gt;0,+((D57/D18)*100)," "),"")</f>
        <v>95.114374259608752</v>
      </c>
      <c r="E96" s="62">
        <f t="shared" si="7"/>
        <v>98.101601760810325</v>
      </c>
      <c r="F96" s="62">
        <f t="shared" si="7"/>
        <v>98.011344744234407</v>
      </c>
      <c r="G96" s="62">
        <f t="shared" si="7"/>
        <v>99.131728348422385</v>
      </c>
      <c r="H96" s="62">
        <f t="shared" si="7"/>
        <v>98.928557507580436</v>
      </c>
      <c r="I96" s="62">
        <f t="shared" si="7"/>
        <v>94.575257406497855</v>
      </c>
      <c r="J96" s="62">
        <f t="shared" si="7"/>
        <v>96.833116343918547</v>
      </c>
      <c r="K96" s="62">
        <f t="shared" si="7"/>
        <v>96.414533939019336</v>
      </c>
      <c r="L96" s="62">
        <f t="shared" si="7"/>
        <v>97.795776169055642</v>
      </c>
      <c r="M96" s="62">
        <f t="shared" si="7"/>
        <v>91.978010896371458</v>
      </c>
      <c r="N96" s="62">
        <f t="shared" si="7"/>
        <v>91.846370590724618</v>
      </c>
      <c r="O96" s="62">
        <f t="shared" si="7"/>
        <v>97.537040942554484</v>
      </c>
      <c r="P96" s="62">
        <f t="shared" si="7"/>
        <v>97.565665231947193</v>
      </c>
      <c r="Q96" s="62">
        <f t="shared" si="7"/>
        <v>94.720475211488449</v>
      </c>
      <c r="R96" s="62">
        <f t="shared" si="7"/>
        <v>99.061404361184145</v>
      </c>
      <c r="S96" s="62">
        <f t="shared" si="7"/>
        <v>98.62706286644017</v>
      </c>
      <c r="T96" s="62">
        <f t="shared" si="7"/>
        <v>99.613836542258525</v>
      </c>
      <c r="U96" s="62">
        <f t="shared" si="7"/>
        <v>99.711882299771133</v>
      </c>
      <c r="V96" s="62">
        <f t="shared" si="7"/>
        <v>99.408767209191467</v>
      </c>
    </row>
    <row r="97" spans="3:22" x14ac:dyDescent="0.2">
      <c r="C97" s="87" t="s">
        <v>129</v>
      </c>
      <c r="D97" s="60">
        <f t="shared" ref="D97:V97" si="8">+IFERROR(IF(D58&gt;0,+((D58/D19)*100)," "),"")</f>
        <v>97.500804869567389</v>
      </c>
      <c r="E97" s="60">
        <f t="shared" si="8"/>
        <v>97.541174989269408</v>
      </c>
      <c r="F97" s="60">
        <f t="shared" si="8"/>
        <v>97.872955805911332</v>
      </c>
      <c r="G97" s="60">
        <f t="shared" si="8"/>
        <v>97.672458718433219</v>
      </c>
      <c r="H97" s="60">
        <f t="shared" si="8"/>
        <v>98.758030951858771</v>
      </c>
      <c r="I97" s="60">
        <f t="shared" si="8"/>
        <v>98.780375119173186</v>
      </c>
      <c r="J97" s="60">
        <f t="shared" si="8"/>
        <v>98.902191409498087</v>
      </c>
      <c r="K97" s="60">
        <f t="shared" si="8"/>
        <v>97.844545292147018</v>
      </c>
      <c r="L97" s="60">
        <f t="shared" si="8"/>
        <v>99.060476755379725</v>
      </c>
      <c r="M97" s="60">
        <f t="shared" si="8"/>
        <v>98.167986101530076</v>
      </c>
      <c r="N97" s="60">
        <f t="shared" si="8"/>
        <v>98.032268437522859</v>
      </c>
      <c r="O97" s="60">
        <f t="shared" si="8"/>
        <v>97.669465911901895</v>
      </c>
      <c r="P97" s="60">
        <f t="shared" si="8"/>
        <v>98.428247151530996</v>
      </c>
      <c r="Q97" s="60">
        <f t="shared" si="8"/>
        <v>98.457444854383468</v>
      </c>
      <c r="R97" s="60">
        <f t="shared" si="8"/>
        <v>98.916828210849744</v>
      </c>
      <c r="S97" s="60">
        <f t="shared" si="8"/>
        <v>98.306084337679977</v>
      </c>
      <c r="T97" s="60">
        <f t="shared" si="8"/>
        <v>99.44855219768543</v>
      </c>
      <c r="U97" s="60">
        <f t="shared" si="8"/>
        <v>99.746931111572053</v>
      </c>
      <c r="V97" s="60">
        <f t="shared" si="8"/>
        <v>99.649867645985807</v>
      </c>
    </row>
    <row r="98" spans="3:22" x14ac:dyDescent="0.2">
      <c r="C98" s="88" t="s">
        <v>130</v>
      </c>
      <c r="D98" s="62">
        <f t="shared" ref="D98:V98" si="9">+IFERROR(IF(D59&gt;0,+((D59/D20)*100)," "),"")</f>
        <v>98.166917498286807</v>
      </c>
      <c r="E98" s="62">
        <f t="shared" si="9"/>
        <v>97.783388107353616</v>
      </c>
      <c r="F98" s="62">
        <f t="shared" si="9"/>
        <v>95.000221825884068</v>
      </c>
      <c r="G98" s="62">
        <f t="shared" si="9"/>
        <v>95.387030093187889</v>
      </c>
      <c r="H98" s="62">
        <f t="shared" si="9"/>
        <v>97.107109958202471</v>
      </c>
      <c r="I98" s="62">
        <f t="shared" si="9"/>
        <v>99.130851908763148</v>
      </c>
      <c r="J98" s="62">
        <f t="shared" si="9"/>
        <v>97.552200206094128</v>
      </c>
      <c r="K98" s="62">
        <f t="shared" si="9"/>
        <v>96.771406037204073</v>
      </c>
      <c r="L98" s="62">
        <f t="shared" si="9"/>
        <v>96.994436531566848</v>
      </c>
      <c r="M98" s="62">
        <f t="shared" si="9"/>
        <v>97.443065142519515</v>
      </c>
      <c r="N98" s="62">
        <f t="shared" si="9"/>
        <v>96.829106238289341</v>
      </c>
      <c r="O98" s="62">
        <f t="shared" si="9"/>
        <v>89.119381515514846</v>
      </c>
      <c r="P98" s="62">
        <f t="shared" si="9"/>
        <v>83.555911719755088</v>
      </c>
      <c r="Q98" s="62">
        <f t="shared" si="9"/>
        <v>95.918233366242148</v>
      </c>
      <c r="R98" s="62">
        <f t="shared" si="9"/>
        <v>97.139063980899891</v>
      </c>
      <c r="S98" s="62">
        <f t="shared" si="9"/>
        <v>98.885135875862602</v>
      </c>
      <c r="T98" s="62">
        <f t="shared" si="9"/>
        <v>94.527951748784417</v>
      </c>
      <c r="U98" s="62">
        <f t="shared" si="9"/>
        <v>99.170963690722175</v>
      </c>
      <c r="V98" s="62">
        <f t="shared" si="9"/>
        <v>98.126025247475653</v>
      </c>
    </row>
    <row r="99" spans="3:22" x14ac:dyDescent="0.2">
      <c r="C99" s="87" t="s">
        <v>131</v>
      </c>
      <c r="D99" s="60">
        <f t="shared" ref="D99:V99" si="10">+IFERROR(IF(D60&gt;0,+((D60/D21)*100)," "),"")</f>
        <v>95.05849666311515</v>
      </c>
      <c r="E99" s="60">
        <f t="shared" si="10"/>
        <v>97.083960796250722</v>
      </c>
      <c r="F99" s="60">
        <f t="shared" si="10"/>
        <v>99.726116515669162</v>
      </c>
      <c r="G99" s="60">
        <f t="shared" si="10"/>
        <v>99.591703715564535</v>
      </c>
      <c r="H99" s="60">
        <f t="shared" si="10"/>
        <v>99.909740128966149</v>
      </c>
      <c r="I99" s="60">
        <f t="shared" si="10"/>
        <v>99.81484014375097</v>
      </c>
      <c r="J99" s="60">
        <f t="shared" si="10"/>
        <v>99.605426660853965</v>
      </c>
      <c r="K99" s="60">
        <f t="shared" si="10"/>
        <v>99.780240759031429</v>
      </c>
      <c r="L99" s="60">
        <f t="shared" si="10"/>
        <v>99.87483180376239</v>
      </c>
      <c r="M99" s="60">
        <f t="shared" si="10"/>
        <v>99.680349980612263</v>
      </c>
      <c r="N99" s="60">
        <f t="shared" si="10"/>
        <v>97.84434878715166</v>
      </c>
      <c r="O99" s="60">
        <f t="shared" si="10"/>
        <v>99.972122286556214</v>
      </c>
      <c r="P99" s="60">
        <f t="shared" si="10"/>
        <v>99.905318999129094</v>
      </c>
      <c r="Q99" s="60">
        <f t="shared" si="10"/>
        <v>99.862159132602471</v>
      </c>
      <c r="R99" s="60">
        <f t="shared" si="10"/>
        <v>99.971036212627652</v>
      </c>
      <c r="S99" s="60">
        <f t="shared" si="10"/>
        <v>99.950851111059094</v>
      </c>
      <c r="T99" s="60">
        <f t="shared" si="10"/>
        <v>99.171685587364294</v>
      </c>
      <c r="U99" s="60">
        <f t="shared" si="10"/>
        <v>99.968547468125095</v>
      </c>
      <c r="V99" s="60">
        <f t="shared" si="10"/>
        <v>99.971017673079757</v>
      </c>
    </row>
    <row r="100" spans="3:22" x14ac:dyDescent="0.2">
      <c r="C100" s="88" t="s">
        <v>132</v>
      </c>
      <c r="D100" s="62">
        <f t="shared" ref="D100:V100" si="11">+IFERROR(IF(D61&gt;0,+((D61/D22)*100)," "),"")</f>
        <v>86.579180208039602</v>
      </c>
      <c r="E100" s="62">
        <f t="shared" si="11"/>
        <v>89.43776706064267</v>
      </c>
      <c r="F100" s="62">
        <f t="shared" si="11"/>
        <v>86.215671922166038</v>
      </c>
      <c r="G100" s="62">
        <f t="shared" si="11"/>
        <v>87.731614637130193</v>
      </c>
      <c r="H100" s="62">
        <f t="shared" si="11"/>
        <v>84.27505894789941</v>
      </c>
      <c r="I100" s="62">
        <f t="shared" si="11"/>
        <v>92.993629282741836</v>
      </c>
      <c r="J100" s="62">
        <f t="shared" si="11"/>
        <v>78.264527061519857</v>
      </c>
      <c r="K100" s="62">
        <f t="shared" si="11"/>
        <v>58.310330186470928</v>
      </c>
      <c r="L100" s="62">
        <f t="shared" si="11"/>
        <v>61.250703109831775</v>
      </c>
      <c r="M100" s="62">
        <f t="shared" si="11"/>
        <v>42.92358688526523</v>
      </c>
      <c r="N100" s="62">
        <f t="shared" si="11"/>
        <v>69.217563279823096</v>
      </c>
      <c r="O100" s="62">
        <f t="shared" si="11"/>
        <v>67.170116037465604</v>
      </c>
      <c r="P100" s="62">
        <f t="shared" si="11"/>
        <v>70.34155823890481</v>
      </c>
      <c r="Q100" s="62">
        <f t="shared" si="11"/>
        <v>53.471154921233477</v>
      </c>
      <c r="R100" s="62">
        <f t="shared" si="11"/>
        <v>60.500333834850451</v>
      </c>
      <c r="S100" s="62">
        <f t="shared" si="11"/>
        <v>61.962783966975543</v>
      </c>
      <c r="T100" s="62">
        <f t="shared" si="11"/>
        <v>81.92235938728291</v>
      </c>
      <c r="U100" s="62">
        <f t="shared" si="11"/>
        <v>85.178874452201981</v>
      </c>
      <c r="V100" s="62">
        <f t="shared" si="11"/>
        <v>86.8600832669581</v>
      </c>
    </row>
    <row r="101" spans="3:22" x14ac:dyDescent="0.2">
      <c r="C101" s="87" t="s">
        <v>133</v>
      </c>
      <c r="D101" s="60">
        <f t="shared" ref="D101:V101" si="12">+IFERROR(IF(D62&gt;0,+((D62/D23)*100)," "),"")</f>
        <v>97.414955033237248</v>
      </c>
      <c r="E101" s="60">
        <f t="shared" si="12"/>
        <v>99.474456504943831</v>
      </c>
      <c r="F101" s="60">
        <f t="shared" si="12"/>
        <v>99.722220701515838</v>
      </c>
      <c r="G101" s="60">
        <f t="shared" si="12"/>
        <v>98.47724668621764</v>
      </c>
      <c r="H101" s="60">
        <f t="shared" si="12"/>
        <v>99.674599706929712</v>
      </c>
      <c r="I101" s="60">
        <f t="shared" si="12"/>
        <v>99.737708358071856</v>
      </c>
      <c r="J101" s="60">
        <f t="shared" si="12"/>
        <v>99.702489978687709</v>
      </c>
      <c r="K101" s="60">
        <f t="shared" si="12"/>
        <v>99.177979870258383</v>
      </c>
      <c r="L101" s="60">
        <f t="shared" si="12"/>
        <v>99.35182700966557</v>
      </c>
      <c r="M101" s="60">
        <f t="shared" si="12"/>
        <v>99.452223207070105</v>
      </c>
      <c r="N101" s="60">
        <f t="shared" si="12"/>
        <v>95.976502284700857</v>
      </c>
      <c r="O101" s="60">
        <f t="shared" si="12"/>
        <v>98.157185556911614</v>
      </c>
      <c r="P101" s="60">
        <f t="shared" si="12"/>
        <v>96.385489812981305</v>
      </c>
      <c r="Q101" s="60">
        <f t="shared" si="12"/>
        <v>98.477653183158893</v>
      </c>
      <c r="R101" s="60">
        <f t="shared" si="12"/>
        <v>93.680274417996898</v>
      </c>
      <c r="S101" s="60">
        <f t="shared" si="12"/>
        <v>92.737546432904665</v>
      </c>
      <c r="T101" s="60">
        <f t="shared" si="12"/>
        <v>97.429828664890294</v>
      </c>
      <c r="U101" s="60">
        <f t="shared" si="12"/>
        <v>99.414050223263288</v>
      </c>
      <c r="V101" s="60">
        <f t="shared" si="12"/>
        <v>96.89183612368403</v>
      </c>
    </row>
    <row r="102" spans="3:22" x14ac:dyDescent="0.2">
      <c r="C102" s="88" t="s">
        <v>134</v>
      </c>
      <c r="D102" s="62">
        <f t="shared" ref="D102:V102" si="13">+IFERROR(IF(D63&gt;0,+((D63/D24)*100)," "),"")</f>
        <v>93.017738345486052</v>
      </c>
      <c r="E102" s="62">
        <f t="shared" si="13"/>
        <v>93.215773354294939</v>
      </c>
      <c r="F102" s="62">
        <f t="shared" si="13"/>
        <v>97.541662402578552</v>
      </c>
      <c r="G102" s="62">
        <f t="shared" si="13"/>
        <v>97.948415499516571</v>
      </c>
      <c r="H102" s="62">
        <f t="shared" si="13"/>
        <v>97.427780945644798</v>
      </c>
      <c r="I102" s="62">
        <f t="shared" si="13"/>
        <v>93.745226365293433</v>
      </c>
      <c r="J102" s="62">
        <f t="shared" si="13"/>
        <v>95.53613150020719</v>
      </c>
      <c r="K102" s="62">
        <f t="shared" si="13"/>
        <v>83.761266946465298</v>
      </c>
      <c r="L102" s="62">
        <f t="shared" si="13"/>
        <v>87.957029826464364</v>
      </c>
      <c r="M102" s="62">
        <f t="shared" si="13"/>
        <v>73.98408118331939</v>
      </c>
      <c r="N102" s="62">
        <f t="shared" si="13"/>
        <v>77.074133616634683</v>
      </c>
      <c r="O102" s="62">
        <f t="shared" si="13"/>
        <v>97.885650051153476</v>
      </c>
      <c r="P102" s="62">
        <f t="shared" si="13"/>
        <v>95.654434483126749</v>
      </c>
      <c r="Q102" s="62">
        <f t="shared" si="13"/>
        <v>87.783413027722659</v>
      </c>
      <c r="R102" s="62">
        <f t="shared" si="13"/>
        <v>76.970807615513365</v>
      </c>
      <c r="S102" s="62">
        <f t="shared" si="13"/>
        <v>94.981622223748744</v>
      </c>
      <c r="T102" s="62">
        <f t="shared" si="13"/>
        <v>98.496148322266947</v>
      </c>
      <c r="U102" s="62">
        <f t="shared" si="13"/>
        <v>97.36105635630112</v>
      </c>
      <c r="V102" s="62">
        <f t="shared" si="13"/>
        <v>89.978355574108562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95.942453022142132</v>
      </c>
      <c r="E104" s="62">
        <f t="shared" si="15"/>
        <v>98.325752814200811</v>
      </c>
      <c r="F104" s="62">
        <f t="shared" si="15"/>
        <v>95.447841774292613</v>
      </c>
      <c r="G104" s="62">
        <f t="shared" si="15"/>
        <v>97.372700466958307</v>
      </c>
      <c r="H104" s="62">
        <f t="shared" si="15"/>
        <v>95.929851803435852</v>
      </c>
      <c r="I104" s="62">
        <f t="shared" si="15"/>
        <v>97.248166755970303</v>
      </c>
      <c r="J104" s="62">
        <f t="shared" si="15"/>
        <v>83.908535910482286</v>
      </c>
      <c r="K104" s="62">
        <f t="shared" si="15"/>
        <v>76.904014455420352</v>
      </c>
      <c r="L104" s="62">
        <f t="shared" si="15"/>
        <v>80.249385506063248</v>
      </c>
      <c r="M104" s="62">
        <f t="shared" si="15"/>
        <v>85.897442068161666</v>
      </c>
      <c r="N104" s="62">
        <f t="shared" si="15"/>
        <v>90.0869845218173</v>
      </c>
      <c r="O104" s="62">
        <f t="shared" si="15"/>
        <v>91.519685498996324</v>
      </c>
      <c r="P104" s="62">
        <f t="shared" si="15"/>
        <v>91.730100413713004</v>
      </c>
      <c r="Q104" s="62">
        <f t="shared" si="15"/>
        <v>92.605682192516682</v>
      </c>
      <c r="R104" s="62">
        <f t="shared" si="15"/>
        <v>93.513513323319486</v>
      </c>
      <c r="S104" s="62">
        <f t="shared" si="15"/>
        <v>93.859439100226254</v>
      </c>
      <c r="T104" s="62">
        <f t="shared" si="15"/>
        <v>94.003892938870706</v>
      </c>
      <c r="U104" s="62">
        <f t="shared" si="15"/>
        <v>97.93722200652708</v>
      </c>
      <c r="V104" s="62">
        <f t="shared" si="15"/>
        <v>92.941654442216247</v>
      </c>
    </row>
    <row r="105" spans="3:22" x14ac:dyDescent="0.2">
      <c r="C105" s="87" t="s">
        <v>137</v>
      </c>
      <c r="D105" s="60">
        <f t="shared" ref="D105:V105" si="16">+IFERROR(IF(D66&gt;0,+((D66/D27)*100)," "),"")</f>
        <v>97.261041476294466</v>
      </c>
      <c r="E105" s="60">
        <f t="shared" si="16"/>
        <v>95.52456257364976</v>
      </c>
      <c r="F105" s="60">
        <f t="shared" si="16"/>
        <v>99.238568233848511</v>
      </c>
      <c r="G105" s="60">
        <f t="shared" si="16"/>
        <v>97.298467069546575</v>
      </c>
      <c r="H105" s="60">
        <f t="shared" si="16"/>
        <v>96.892666135481392</v>
      </c>
      <c r="I105" s="60">
        <f t="shared" si="16"/>
        <v>98.04113354356609</v>
      </c>
      <c r="J105" s="60">
        <f t="shared" si="16"/>
        <v>98.720045159294585</v>
      </c>
      <c r="K105" s="60">
        <f t="shared" si="16"/>
        <v>96.640781720330253</v>
      </c>
      <c r="L105" s="60">
        <f t="shared" si="16"/>
        <v>98.317803314435807</v>
      </c>
      <c r="M105" s="60">
        <f t="shared" si="16"/>
        <v>94.017074737379488</v>
      </c>
      <c r="N105" s="60">
        <f t="shared" si="16"/>
        <v>93.497618139091102</v>
      </c>
      <c r="O105" s="60">
        <f t="shared" si="16"/>
        <v>94.487081878940458</v>
      </c>
      <c r="P105" s="60">
        <f t="shared" si="16"/>
        <v>85.068831697067125</v>
      </c>
      <c r="Q105" s="60">
        <f t="shared" si="16"/>
        <v>74.803058263686168</v>
      </c>
      <c r="R105" s="60">
        <f t="shared" si="16"/>
        <v>91.026701141398703</v>
      </c>
      <c r="S105" s="60">
        <f t="shared" si="16"/>
        <v>93.447286792489649</v>
      </c>
      <c r="T105" s="60">
        <f t="shared" si="16"/>
        <v>97.871984709079214</v>
      </c>
      <c r="U105" s="60">
        <f t="shared" si="16"/>
        <v>95.775279597570972</v>
      </c>
      <c r="V105" s="60">
        <f t="shared" si="16"/>
        <v>92.977954152557444</v>
      </c>
    </row>
    <row r="106" spans="3:22" x14ac:dyDescent="0.2">
      <c r="C106" s="88" t="s">
        <v>138</v>
      </c>
      <c r="D106" s="62">
        <f t="shared" ref="D106:V106" si="17">+IFERROR(IF(D67&gt;0,+((D67/D28)*100)," "),"")</f>
        <v>95.926119449799714</v>
      </c>
      <c r="E106" s="62">
        <f t="shared" si="17"/>
        <v>95.999796479435346</v>
      </c>
      <c r="F106" s="62">
        <f t="shared" si="17"/>
        <v>97.621588672158822</v>
      </c>
      <c r="G106" s="62">
        <f t="shared" si="17"/>
        <v>98.202665634016412</v>
      </c>
      <c r="H106" s="62">
        <f t="shared" si="17"/>
        <v>98.662440266772009</v>
      </c>
      <c r="I106" s="62">
        <f t="shared" si="17"/>
        <v>96.072999180176581</v>
      </c>
      <c r="J106" s="62">
        <f t="shared" si="17"/>
        <v>96.123437672804428</v>
      </c>
      <c r="K106" s="62">
        <f t="shared" si="17"/>
        <v>93.954927304251299</v>
      </c>
      <c r="L106" s="62">
        <f t="shared" si="17"/>
        <v>93.310283173934707</v>
      </c>
      <c r="M106" s="62">
        <f t="shared" si="17"/>
        <v>89.126019096815426</v>
      </c>
      <c r="N106" s="62">
        <f t="shared" si="17"/>
        <v>84.415068002737627</v>
      </c>
      <c r="O106" s="62">
        <f t="shared" si="17"/>
        <v>88.494160448100672</v>
      </c>
      <c r="P106" s="62">
        <f t="shared" si="17"/>
        <v>78.593213922021548</v>
      </c>
      <c r="Q106" s="62">
        <f t="shared" si="17"/>
        <v>76.795108758073198</v>
      </c>
      <c r="R106" s="62">
        <f t="shared" si="17"/>
        <v>83.798632367478945</v>
      </c>
      <c r="S106" s="62">
        <f t="shared" si="17"/>
        <v>94.71077485215055</v>
      </c>
      <c r="T106" s="62">
        <f t="shared" si="17"/>
        <v>97.117475985002827</v>
      </c>
      <c r="U106" s="62">
        <f t="shared" si="17"/>
        <v>98.246649591297512</v>
      </c>
      <c r="V106" s="62">
        <f t="shared" si="17"/>
        <v>97.085973391286132</v>
      </c>
    </row>
    <row r="107" spans="3:22" x14ac:dyDescent="0.2">
      <c r="C107" s="87" t="s">
        <v>139</v>
      </c>
      <c r="D107" s="60">
        <f t="shared" ref="D107:V107" si="18">+IFERROR(IF(D68&gt;0,+((D68/D29)*100)," "),"")</f>
        <v>96.695329438738781</v>
      </c>
      <c r="E107" s="60">
        <f t="shared" si="18"/>
        <v>98.181444628840524</v>
      </c>
      <c r="F107" s="60">
        <f t="shared" si="18"/>
        <v>95.312940230659365</v>
      </c>
      <c r="G107" s="60">
        <f t="shared" si="18"/>
        <v>94.284457576436452</v>
      </c>
      <c r="H107" s="60">
        <f t="shared" si="18"/>
        <v>96.004748990736516</v>
      </c>
      <c r="I107" s="60">
        <f t="shared" si="18"/>
        <v>97.409137304106039</v>
      </c>
      <c r="J107" s="60">
        <f t="shared" si="18"/>
        <v>93.234879843726333</v>
      </c>
      <c r="K107" s="60">
        <f t="shared" si="18"/>
        <v>90.400410295762597</v>
      </c>
      <c r="L107" s="60">
        <f t="shared" si="18"/>
        <v>94.265615663244034</v>
      </c>
      <c r="M107" s="60">
        <f t="shared" si="18"/>
        <v>92.479410127212731</v>
      </c>
      <c r="N107" s="60">
        <f t="shared" si="18"/>
        <v>89.279223101843101</v>
      </c>
      <c r="O107" s="60">
        <f t="shared" si="18"/>
        <v>95.790091454720198</v>
      </c>
      <c r="P107" s="60">
        <f t="shared" si="18"/>
        <v>90.601076816014654</v>
      </c>
      <c r="Q107" s="60">
        <f t="shared" si="18"/>
        <v>92.383894832231363</v>
      </c>
      <c r="R107" s="60">
        <f t="shared" si="18"/>
        <v>92.261560723474176</v>
      </c>
      <c r="S107" s="60">
        <f t="shared" si="18"/>
        <v>94.145252879649874</v>
      </c>
      <c r="T107" s="60">
        <f t="shared" si="18"/>
        <v>97.420070451318367</v>
      </c>
      <c r="U107" s="60">
        <f t="shared" si="18"/>
        <v>96.884741445616427</v>
      </c>
      <c r="V107" s="60">
        <f t="shared" si="18"/>
        <v>97.332399261303451</v>
      </c>
    </row>
    <row r="108" spans="3:22" x14ac:dyDescent="0.2">
      <c r="C108" s="88" t="s">
        <v>140</v>
      </c>
      <c r="D108" s="62">
        <f t="shared" ref="D108:V108" si="19">+IFERROR(IF(D69&gt;0,+((D69/D30)*100)," "),"")</f>
        <v>90.699548096140418</v>
      </c>
      <c r="E108" s="62">
        <f t="shared" si="19"/>
        <v>81.638951332836967</v>
      </c>
      <c r="F108" s="62">
        <f t="shared" si="19"/>
        <v>91.13232517812159</v>
      </c>
      <c r="G108" s="62">
        <f t="shared" si="19"/>
        <v>90.082346633498531</v>
      </c>
      <c r="H108" s="62">
        <f t="shared" si="19"/>
        <v>99.113212450108733</v>
      </c>
      <c r="I108" s="62">
        <f t="shared" si="19"/>
        <v>98.741171980705261</v>
      </c>
      <c r="J108" s="62">
        <f t="shared" si="19"/>
        <v>86.577280020855909</v>
      </c>
      <c r="K108" s="62">
        <f t="shared" si="19"/>
        <v>77.817152751568884</v>
      </c>
      <c r="L108" s="62">
        <f t="shared" si="19"/>
        <v>94.223400256778874</v>
      </c>
      <c r="M108" s="62">
        <f t="shared" si="19"/>
        <v>82.057043068685061</v>
      </c>
      <c r="N108" s="62">
        <f t="shared" si="19"/>
        <v>98.024247811081707</v>
      </c>
      <c r="O108" s="62">
        <f t="shared" si="19"/>
        <v>96.981216594926607</v>
      </c>
      <c r="P108" s="62">
        <f t="shared" si="19"/>
        <v>76.319332366146455</v>
      </c>
      <c r="Q108" s="62">
        <f t="shared" si="19"/>
        <v>77.816249430413777</v>
      </c>
      <c r="R108" s="62">
        <f t="shared" si="19"/>
        <v>90.412178052357135</v>
      </c>
      <c r="S108" s="62">
        <f t="shared" si="19"/>
        <v>93.49778367496036</v>
      </c>
      <c r="T108" s="62">
        <f t="shared" si="19"/>
        <v>93.378293767216505</v>
      </c>
      <c r="U108" s="62">
        <f t="shared" si="19"/>
        <v>95.499230970073043</v>
      </c>
      <c r="V108" s="62">
        <f t="shared" si="19"/>
        <v>91.127846790597189</v>
      </c>
    </row>
    <row r="109" spans="3:22" x14ac:dyDescent="0.2">
      <c r="C109" s="87" t="s">
        <v>141</v>
      </c>
      <c r="D109" s="60">
        <f t="shared" ref="D109:V109" si="20">+IFERROR(IF(D70&gt;0,+((D70/D31)*100)," "),"")</f>
        <v>95.38565821087775</v>
      </c>
      <c r="E109" s="60">
        <f t="shared" si="20"/>
        <v>97.291271441594063</v>
      </c>
      <c r="F109" s="60">
        <f t="shared" si="20"/>
        <v>97.638379403165274</v>
      </c>
      <c r="G109" s="60">
        <f t="shared" si="20"/>
        <v>97.708932233700452</v>
      </c>
      <c r="H109" s="60">
        <f t="shared" si="20"/>
        <v>95.745009771295642</v>
      </c>
      <c r="I109" s="60">
        <f t="shared" si="20"/>
        <v>96.479663971217803</v>
      </c>
      <c r="J109" s="60">
        <f t="shared" si="20"/>
        <v>97.302163238918354</v>
      </c>
      <c r="K109" s="60">
        <f t="shared" si="20"/>
        <v>95.540765124431076</v>
      </c>
      <c r="L109" s="60">
        <f t="shared" si="20"/>
        <v>94.622456832976098</v>
      </c>
      <c r="M109" s="60">
        <f t="shared" si="20"/>
        <v>93.015741131711025</v>
      </c>
      <c r="N109" s="60">
        <f t="shared" si="20"/>
        <v>91.481292384299877</v>
      </c>
      <c r="O109" s="60">
        <f t="shared" si="20"/>
        <v>93.94277299173585</v>
      </c>
      <c r="P109" s="60">
        <f t="shared" si="20"/>
        <v>88.518906095545034</v>
      </c>
      <c r="Q109" s="60">
        <f t="shared" si="20"/>
        <v>90.261695430048462</v>
      </c>
      <c r="R109" s="60">
        <f t="shared" si="20"/>
        <v>94.443739072936665</v>
      </c>
      <c r="S109" s="60">
        <f t="shared" si="20"/>
        <v>95.68340153266243</v>
      </c>
      <c r="T109" s="60">
        <f t="shared" si="20"/>
        <v>96.358806181256313</v>
      </c>
      <c r="U109" s="60">
        <f t="shared" si="20"/>
        <v>96.903006787693428</v>
      </c>
      <c r="V109" s="60">
        <f t="shared" si="20"/>
        <v>96.479546291367782</v>
      </c>
    </row>
    <row r="110" spans="3:22" x14ac:dyDescent="0.2">
      <c r="C110" s="88" t="s">
        <v>142</v>
      </c>
      <c r="D110" s="62">
        <f t="shared" ref="D110:V110" si="21">+IFERROR(IF(D71&gt;0,+((D71/D32)*100)," "),"")</f>
        <v>87.607906926004546</v>
      </c>
      <c r="E110" s="62">
        <f t="shared" si="21"/>
        <v>92.670718522507244</v>
      </c>
      <c r="F110" s="62">
        <f t="shared" si="21"/>
        <v>92.403137640596626</v>
      </c>
      <c r="G110" s="62">
        <f t="shared" si="21"/>
        <v>88.838129007073491</v>
      </c>
      <c r="H110" s="62">
        <f t="shared" si="21"/>
        <v>89.467134980149154</v>
      </c>
      <c r="I110" s="62">
        <f t="shared" si="21"/>
        <v>88.433508196115909</v>
      </c>
      <c r="J110" s="62">
        <f t="shared" si="21"/>
        <v>72.09542951347548</v>
      </c>
      <c r="K110" s="62">
        <f t="shared" si="21"/>
        <v>70.22831280270232</v>
      </c>
      <c r="L110" s="62">
        <f t="shared" si="21"/>
        <v>81.621044692233326</v>
      </c>
      <c r="M110" s="62">
        <f t="shared" si="21"/>
        <v>71.73421175191325</v>
      </c>
      <c r="N110" s="62">
        <f t="shared" si="21"/>
        <v>92.26961578864325</v>
      </c>
      <c r="O110" s="62">
        <f t="shared" si="21"/>
        <v>88.347697767444984</v>
      </c>
      <c r="P110" s="62">
        <f t="shared" si="21"/>
        <v>87.383892511374881</v>
      </c>
      <c r="Q110" s="62">
        <f t="shared" si="21"/>
        <v>67.695109508648272</v>
      </c>
      <c r="R110" s="62">
        <f t="shared" si="21"/>
        <v>87.5792268069047</v>
      </c>
      <c r="S110" s="62">
        <f t="shared" si="21"/>
        <v>89.936466038195292</v>
      </c>
      <c r="T110" s="62">
        <f t="shared" si="21"/>
        <v>94.778376367150614</v>
      </c>
      <c r="U110" s="62">
        <f t="shared" si="21"/>
        <v>93.040726231360367</v>
      </c>
      <c r="V110" s="62">
        <f t="shared" si="21"/>
        <v>94.497362369708782</v>
      </c>
    </row>
    <row r="111" spans="3:22" x14ac:dyDescent="0.2">
      <c r="C111" s="87" t="s">
        <v>143</v>
      </c>
      <c r="D111" s="60">
        <f t="shared" ref="D111:V111" si="22">+IFERROR(IF(D72&gt;0,+((D72/D33)*100)," "),"")</f>
        <v>91.121416902551147</v>
      </c>
      <c r="E111" s="60">
        <f t="shared" si="22"/>
        <v>97.012939424745895</v>
      </c>
      <c r="F111" s="60">
        <f t="shared" si="22"/>
        <v>92.489250782692238</v>
      </c>
      <c r="G111" s="60">
        <f t="shared" si="22"/>
        <v>95.042790989278146</v>
      </c>
      <c r="H111" s="60">
        <f t="shared" si="22"/>
        <v>97.362105032533506</v>
      </c>
      <c r="I111" s="60">
        <f t="shared" si="22"/>
        <v>99.462926130154329</v>
      </c>
      <c r="J111" s="60">
        <f t="shared" si="22"/>
        <v>98.668636502283888</v>
      </c>
      <c r="K111" s="60">
        <f t="shared" si="22"/>
        <v>99.469372817642551</v>
      </c>
      <c r="L111" s="60">
        <f t="shared" si="22"/>
        <v>98.285469294354172</v>
      </c>
      <c r="M111" s="60">
        <f t="shared" si="22"/>
        <v>91.861705356181858</v>
      </c>
      <c r="N111" s="60">
        <f t="shared" si="22"/>
        <v>91.165194258219842</v>
      </c>
      <c r="O111" s="60">
        <f t="shared" si="22"/>
        <v>96.453823405360538</v>
      </c>
      <c r="P111" s="60">
        <f t="shared" si="22"/>
        <v>95.574116548326344</v>
      </c>
      <c r="Q111" s="60">
        <f t="shared" si="22"/>
        <v>93.156431780101911</v>
      </c>
      <c r="R111" s="60">
        <f t="shared" si="22"/>
        <v>94.031483184133037</v>
      </c>
      <c r="S111" s="60">
        <f t="shared" si="22"/>
        <v>96.606633235879173</v>
      </c>
      <c r="T111" s="60">
        <f t="shared" si="22"/>
        <v>98.692010531777555</v>
      </c>
      <c r="U111" s="60">
        <f t="shared" si="22"/>
        <v>98.41244297910572</v>
      </c>
      <c r="V111" s="60">
        <f t="shared" si="22"/>
        <v>97.252781330568382</v>
      </c>
    </row>
    <row r="112" spans="3:22" x14ac:dyDescent="0.2">
      <c r="C112" s="88" t="s">
        <v>144</v>
      </c>
      <c r="D112" s="62">
        <f t="shared" ref="D112:V112" si="23">+IFERROR(IF(D73&gt;0,+((D73/D34)*100)," "),"")</f>
        <v>99.29219830147251</v>
      </c>
      <c r="E112" s="62">
        <f t="shared" si="23"/>
        <v>97.197979451948584</v>
      </c>
      <c r="F112" s="62">
        <f t="shared" si="23"/>
        <v>98.881360937648125</v>
      </c>
      <c r="G112" s="62">
        <f t="shared" si="23"/>
        <v>99.425039365868457</v>
      </c>
      <c r="H112" s="62">
        <f t="shared" si="23"/>
        <v>99.086724614956893</v>
      </c>
      <c r="I112" s="62">
        <f t="shared" si="23"/>
        <v>99.891525681601067</v>
      </c>
      <c r="J112" s="62">
        <f t="shared" si="23"/>
        <v>98.878379622489135</v>
      </c>
      <c r="K112" s="62">
        <f t="shared" si="23"/>
        <v>99.508056861722253</v>
      </c>
      <c r="L112" s="62">
        <f t="shared" si="23"/>
        <v>99.243613870119745</v>
      </c>
      <c r="M112" s="62">
        <f t="shared" si="23"/>
        <v>99.131728799000015</v>
      </c>
      <c r="N112" s="62">
        <f t="shared" si="23"/>
        <v>98.799482048851019</v>
      </c>
      <c r="O112" s="62">
        <f t="shared" si="23"/>
        <v>97.520309041840775</v>
      </c>
      <c r="P112" s="62">
        <f t="shared" si="23"/>
        <v>98.768752530293852</v>
      </c>
      <c r="Q112" s="62">
        <f t="shared" si="23"/>
        <v>99.751244998334855</v>
      </c>
      <c r="R112" s="62">
        <f t="shared" si="23"/>
        <v>99.814171537535984</v>
      </c>
      <c r="S112" s="62">
        <f t="shared" si="23"/>
        <v>99.42739026334182</v>
      </c>
      <c r="T112" s="62">
        <f t="shared" si="23"/>
        <v>99.202966952618638</v>
      </c>
      <c r="U112" s="62">
        <f t="shared" si="23"/>
        <v>98.498012535292844</v>
      </c>
      <c r="V112" s="62">
        <f t="shared" si="23"/>
        <v>99.443620323360747</v>
      </c>
    </row>
    <row r="113" spans="3:22" x14ac:dyDescent="0.2">
      <c r="C113" s="87" t="s">
        <v>145</v>
      </c>
      <c r="D113" s="60">
        <f t="shared" ref="D113:V113" si="24">+IFERROR(IF(D74&gt;0,+((D74/D35)*100)," "),"")</f>
        <v>97.902355581969744</v>
      </c>
      <c r="E113" s="60">
        <f t="shared" si="24"/>
        <v>96.869282101205329</v>
      </c>
      <c r="F113" s="60">
        <f t="shared" si="24"/>
        <v>82.429896607171699</v>
      </c>
      <c r="G113" s="60">
        <f t="shared" si="24"/>
        <v>91.39767591597095</v>
      </c>
      <c r="H113" s="60">
        <f t="shared" si="24"/>
        <v>97.408124285306002</v>
      </c>
      <c r="I113" s="60">
        <f t="shared" si="24"/>
        <v>97.273099122421229</v>
      </c>
      <c r="J113" s="60">
        <f t="shared" si="24"/>
        <v>87.110488428070965</v>
      </c>
      <c r="K113" s="60">
        <f t="shared" si="24"/>
        <v>94.17844144394509</v>
      </c>
      <c r="L113" s="60">
        <f t="shared" si="24"/>
        <v>94.156096963269974</v>
      </c>
      <c r="M113" s="60">
        <f t="shared" si="24"/>
        <v>97.243005079182311</v>
      </c>
      <c r="N113" s="60">
        <f t="shared" si="24"/>
        <v>98.75861241485147</v>
      </c>
      <c r="O113" s="60">
        <f t="shared" si="24"/>
        <v>92.441648074029033</v>
      </c>
      <c r="P113" s="60">
        <f t="shared" si="24"/>
        <v>91.705112097477411</v>
      </c>
      <c r="Q113" s="60">
        <f t="shared" si="24"/>
        <v>88.618914213514529</v>
      </c>
      <c r="R113" s="60">
        <f t="shared" si="24"/>
        <v>94.369072339607371</v>
      </c>
      <c r="S113" s="60">
        <f t="shared" si="24"/>
        <v>92.371780984594693</v>
      </c>
      <c r="T113" s="60">
        <f t="shared" si="24"/>
        <v>94.723851771875374</v>
      </c>
      <c r="U113" s="60">
        <f t="shared" si="24"/>
        <v>96.123561287133583</v>
      </c>
      <c r="V113" s="60">
        <f t="shared" si="24"/>
        <v>97.643800416449366</v>
      </c>
    </row>
    <row r="114" spans="3:22" x14ac:dyDescent="0.2">
      <c r="C114" s="88" t="s">
        <v>146</v>
      </c>
      <c r="D114" s="62">
        <f t="shared" ref="D114:V114" si="25">+IFERROR(IF(D75&gt;0,+((D75/D36)*100)," "),"")</f>
        <v>93.936193735780364</v>
      </c>
      <c r="E114" s="62">
        <f t="shared" si="25"/>
        <v>94.890453023847087</v>
      </c>
      <c r="F114" s="62">
        <f t="shared" si="25"/>
        <v>95.212529488722836</v>
      </c>
      <c r="G114" s="62">
        <f t="shared" si="25"/>
        <v>98.74904890294917</v>
      </c>
      <c r="H114" s="62">
        <f t="shared" si="25"/>
        <v>90.463364974179555</v>
      </c>
      <c r="I114" s="62">
        <f t="shared" si="25"/>
        <v>90.165066438580382</v>
      </c>
      <c r="J114" s="62">
        <f t="shared" si="25"/>
        <v>95.035009912893898</v>
      </c>
      <c r="K114" s="62">
        <f t="shared" si="25"/>
        <v>87.301104690373762</v>
      </c>
      <c r="L114" s="62">
        <f t="shared" si="25"/>
        <v>90.500191102981759</v>
      </c>
      <c r="M114" s="62">
        <f t="shared" si="25"/>
        <v>95.485933026147137</v>
      </c>
      <c r="N114" s="62">
        <f t="shared" si="25"/>
        <v>89.314966596489938</v>
      </c>
      <c r="O114" s="62">
        <f t="shared" si="25"/>
        <v>97.064882215082179</v>
      </c>
      <c r="P114" s="62">
        <f t="shared" si="25"/>
        <v>96.561825943655293</v>
      </c>
      <c r="Q114" s="62">
        <f t="shared" si="25"/>
        <v>98.856439727559149</v>
      </c>
      <c r="R114" s="62">
        <f t="shared" si="25"/>
        <v>98.075035127855486</v>
      </c>
      <c r="S114" s="62">
        <f t="shared" si="25"/>
        <v>98.659491232979619</v>
      </c>
      <c r="T114" s="62">
        <f t="shared" si="25"/>
        <v>98.083560884061626</v>
      </c>
      <c r="U114" s="62">
        <f t="shared" si="25"/>
        <v>96.950750015384699</v>
      </c>
      <c r="V114" s="62">
        <f t="shared" si="25"/>
        <v>90.775091435410815</v>
      </c>
    </row>
    <row r="115" spans="3:22" x14ac:dyDescent="0.2">
      <c r="C115" s="90" t="s">
        <v>147</v>
      </c>
      <c r="D115" s="61">
        <f t="shared" ref="D115:V115" si="26">+IFERROR(IF(D76&gt;0,+((D76/D37)*100)," "),"")</f>
        <v>96.544357132852809</v>
      </c>
      <c r="E115" s="61">
        <f t="shared" si="26"/>
        <v>98.883952791106935</v>
      </c>
      <c r="F115" s="61">
        <f t="shared" si="26"/>
        <v>98.915757176088732</v>
      </c>
      <c r="G115" s="61">
        <f t="shared" si="26"/>
        <v>99.362001753861406</v>
      </c>
      <c r="H115" s="61">
        <f t="shared" si="26"/>
        <v>99.503949323023065</v>
      </c>
      <c r="I115" s="61">
        <f t="shared" si="26"/>
        <v>99.397948584887217</v>
      </c>
      <c r="J115" s="61">
        <f t="shared" si="26"/>
        <v>99.13044319538227</v>
      </c>
      <c r="K115" s="61">
        <f t="shared" si="26"/>
        <v>97.257152387297197</v>
      </c>
      <c r="L115" s="61">
        <f t="shared" si="26"/>
        <v>99.682006044567714</v>
      </c>
      <c r="M115" s="61">
        <f t="shared" si="26"/>
        <v>95.587339576337925</v>
      </c>
      <c r="N115" s="61">
        <f t="shared" si="26"/>
        <v>87.007785128777698</v>
      </c>
      <c r="O115" s="61">
        <f t="shared" si="26"/>
        <v>98.868537456913003</v>
      </c>
      <c r="P115" s="61">
        <f t="shared" si="26"/>
        <v>98.575683566307077</v>
      </c>
      <c r="Q115" s="61">
        <f t="shared" si="26"/>
        <v>98.403192370272421</v>
      </c>
      <c r="R115" s="61">
        <f t="shared" si="26"/>
        <v>97.35099800601435</v>
      </c>
      <c r="S115" s="61">
        <f t="shared" si="26"/>
        <v>98.734403145059446</v>
      </c>
      <c r="T115" s="61">
        <f t="shared" si="26"/>
        <v>99.705522404434078</v>
      </c>
      <c r="U115" s="61">
        <f t="shared" si="26"/>
        <v>99.797841488648601</v>
      </c>
      <c r="V115" s="61">
        <f t="shared" si="26"/>
        <v>95.506466976453908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>
        <f t="shared" si="27"/>
        <v>59.926249401054143</v>
      </c>
      <c r="V116" s="63">
        <f t="shared" si="27"/>
        <v>81.957035290999485</v>
      </c>
    </row>
    <row r="117" spans="3:22" x14ac:dyDescent="0.2">
      <c r="C117" s="87" t="s">
        <v>149</v>
      </c>
      <c r="D117" s="60">
        <f t="shared" ref="D117:V117" si="28">+IFERROR(IF(D78&gt;0,+((D78/D39)*100)," "),"")</f>
        <v>42.932243030419244</v>
      </c>
      <c r="E117" s="60">
        <f t="shared" si="28"/>
        <v>42.212624359482945</v>
      </c>
      <c r="F117" s="60">
        <f t="shared" si="28"/>
        <v>46.919462483028425</v>
      </c>
      <c r="G117" s="60">
        <f t="shared" si="28"/>
        <v>58.954742789152604</v>
      </c>
      <c r="H117" s="60">
        <f t="shared" si="28"/>
        <v>53.975131561589684</v>
      </c>
      <c r="I117" s="60">
        <f t="shared" si="28"/>
        <v>29.729279866158461</v>
      </c>
      <c r="J117" s="60">
        <f t="shared" si="28"/>
        <v>51.114256016619095</v>
      </c>
      <c r="K117" s="60">
        <f t="shared" si="28"/>
        <v>55.155711369864235</v>
      </c>
      <c r="L117" s="60">
        <f t="shared" si="28"/>
        <v>62.034398203644926</v>
      </c>
      <c r="M117" s="60">
        <f t="shared" si="28"/>
        <v>52.70385616385127</v>
      </c>
      <c r="N117" s="60">
        <f t="shared" si="28"/>
        <v>70.93301222919311</v>
      </c>
      <c r="O117" s="60">
        <f t="shared" si="28"/>
        <v>74.117029018673392</v>
      </c>
      <c r="P117" s="60">
        <f t="shared" si="28"/>
        <v>93.131731424606173</v>
      </c>
      <c r="Q117" s="60">
        <f t="shared" si="28"/>
        <v>74.1798367746309</v>
      </c>
      <c r="R117" s="60">
        <f t="shared" si="28"/>
        <v>75.437898091638942</v>
      </c>
      <c r="S117" s="60">
        <f t="shared" si="28"/>
        <v>85.027955250507446</v>
      </c>
      <c r="T117" s="60">
        <f t="shared" si="28"/>
        <v>92.412269626057181</v>
      </c>
      <c r="U117" s="60">
        <f t="shared" si="28"/>
        <v>96.581717300902341</v>
      </c>
      <c r="V117" s="60">
        <f t="shared" si="28"/>
        <v>80.549937549024577</v>
      </c>
    </row>
    <row r="118" spans="3:22" x14ac:dyDescent="0.2">
      <c r="C118" s="88" t="s">
        <v>150</v>
      </c>
      <c r="D118" s="62">
        <f t="shared" ref="D118:V118" si="29">+IFERROR(IF(D79&gt;0,+((D79/D40)*100)," "),"")</f>
        <v>92.543226451126841</v>
      </c>
      <c r="E118" s="62">
        <f t="shared" si="29"/>
        <v>92.254738933888873</v>
      </c>
      <c r="F118" s="62">
        <f t="shared" si="29"/>
        <v>95.408566734900361</v>
      </c>
      <c r="G118" s="62">
        <f t="shared" si="29"/>
        <v>94.559791713157466</v>
      </c>
      <c r="H118" s="62">
        <f t="shared" si="29"/>
        <v>95.067514418489111</v>
      </c>
      <c r="I118" s="62">
        <f t="shared" si="29"/>
        <v>91.842488313898357</v>
      </c>
      <c r="J118" s="62">
        <f t="shared" si="29"/>
        <v>83.475487566808539</v>
      </c>
      <c r="K118" s="62">
        <f t="shared" si="29"/>
        <v>86.715361976565319</v>
      </c>
      <c r="L118" s="62">
        <f t="shared" si="29"/>
        <v>89.40737873828165</v>
      </c>
      <c r="M118" s="62">
        <f t="shared" si="29"/>
        <v>89.13214332144905</v>
      </c>
      <c r="N118" s="62">
        <f t="shared" si="29"/>
        <v>88.08658857250181</v>
      </c>
      <c r="O118" s="62">
        <f t="shared" si="29"/>
        <v>85.772271079688338</v>
      </c>
      <c r="P118" s="62">
        <f t="shared" si="29"/>
        <v>92.261194758052881</v>
      </c>
      <c r="Q118" s="62">
        <f t="shared" si="29"/>
        <v>90.039115645632208</v>
      </c>
      <c r="R118" s="62">
        <f t="shared" si="29"/>
        <v>93.89298528537033</v>
      </c>
      <c r="S118" s="62">
        <f t="shared" si="29"/>
        <v>94.146355430018005</v>
      </c>
      <c r="T118" s="62">
        <f t="shared" si="29"/>
        <v>94.722407005725344</v>
      </c>
      <c r="U118" s="62">
        <f t="shared" si="29"/>
        <v>90.879234051027822</v>
      </c>
      <c r="V118" s="62">
        <f t="shared" si="29"/>
        <v>95.760083209729686</v>
      </c>
    </row>
    <row r="119" spans="3:22" x14ac:dyDescent="0.2">
      <c r="C119" s="87" t="s">
        <v>151</v>
      </c>
      <c r="D119" s="60">
        <f t="shared" ref="D119:V119" si="30">+IFERROR(IF(D80&gt;0,+((D80/D41)*100)," "),"")</f>
        <v>85.431599017387413</v>
      </c>
      <c r="E119" s="60">
        <f t="shared" si="30"/>
        <v>80.747384982998611</v>
      </c>
      <c r="F119" s="60">
        <f t="shared" si="30"/>
        <v>78.314447146408042</v>
      </c>
      <c r="G119" s="60">
        <f t="shared" si="30"/>
        <v>85.284125623963703</v>
      </c>
      <c r="H119" s="60">
        <f t="shared" si="30"/>
        <v>87.395875094143321</v>
      </c>
      <c r="I119" s="60">
        <f t="shared" si="30"/>
        <v>89.613344358374377</v>
      </c>
      <c r="J119" s="60">
        <f t="shared" si="30"/>
        <v>93.034680191030191</v>
      </c>
      <c r="K119" s="60">
        <f t="shared" si="30"/>
        <v>66.48863064161678</v>
      </c>
      <c r="L119" s="60">
        <f t="shared" si="30"/>
        <v>82.656981949464011</v>
      </c>
      <c r="M119" s="60">
        <f t="shared" si="30"/>
        <v>92.000341446585352</v>
      </c>
      <c r="N119" s="60">
        <f t="shared" si="30"/>
        <v>94.051401440640063</v>
      </c>
      <c r="O119" s="60">
        <f t="shared" si="30"/>
        <v>98.340470802343177</v>
      </c>
      <c r="P119" s="60">
        <f t="shared" si="30"/>
        <v>99.319268894690865</v>
      </c>
      <c r="Q119" s="60">
        <f t="shared" si="30"/>
        <v>99.658083599775424</v>
      </c>
      <c r="R119" s="60">
        <f t="shared" si="30"/>
        <v>99.678288327482505</v>
      </c>
      <c r="S119" s="60">
        <f t="shared" si="30"/>
        <v>99.322030911091844</v>
      </c>
      <c r="T119" s="60">
        <f t="shared" si="30"/>
        <v>99.935689433309491</v>
      </c>
      <c r="U119" s="60">
        <f t="shared" si="30"/>
        <v>99.951549296956401</v>
      </c>
      <c r="V119" s="60">
        <f t="shared" si="30"/>
        <v>99.845606171778655</v>
      </c>
    </row>
    <row r="120" spans="3:22" x14ac:dyDescent="0.2">
      <c r="C120" s="91" t="s">
        <v>179</v>
      </c>
      <c r="D120" s="64">
        <f t="shared" ref="D120:V120" si="31">+IFERROR(IF(D81&gt;0,+((D81/D42)*100)," "),"")</f>
        <v>94.932289539555597</v>
      </c>
      <c r="E120" s="64">
        <f t="shared" si="31"/>
        <v>96.237721411121385</v>
      </c>
      <c r="F120" s="64">
        <f t="shared" si="31"/>
        <v>97.89349622490397</v>
      </c>
      <c r="G120" s="64">
        <f t="shared" si="31"/>
        <v>98.146559458328127</v>
      </c>
      <c r="H120" s="64">
        <f t="shared" si="31"/>
        <v>98.622380290304704</v>
      </c>
      <c r="I120" s="64">
        <f t="shared" si="31"/>
        <v>98.160413207793979</v>
      </c>
      <c r="J120" s="64">
        <f t="shared" si="31"/>
        <v>97.886144839681634</v>
      </c>
      <c r="K120" s="64">
        <f t="shared" si="31"/>
        <v>95.679795313690335</v>
      </c>
      <c r="L120" s="64">
        <f t="shared" si="31"/>
        <v>97.523718256093204</v>
      </c>
      <c r="M120" s="64">
        <f t="shared" si="31"/>
        <v>94.529092965709751</v>
      </c>
      <c r="N120" s="64">
        <f t="shared" si="31"/>
        <v>91.983290185035244</v>
      </c>
      <c r="O120" s="64">
        <f t="shared" si="31"/>
        <v>98.062435680322366</v>
      </c>
      <c r="P120" s="64">
        <f t="shared" si="31"/>
        <v>97.766714692032124</v>
      </c>
      <c r="Q120" s="64">
        <f t="shared" si="31"/>
        <v>96.665596480826594</v>
      </c>
      <c r="R120" s="64">
        <f t="shared" si="31"/>
        <v>95.078690300677394</v>
      </c>
      <c r="S120" s="64">
        <f t="shared" si="31"/>
        <v>97.826289839176113</v>
      </c>
      <c r="T120" s="64">
        <f t="shared" si="31"/>
        <v>98.956883759356955</v>
      </c>
      <c r="U120" s="64">
        <f t="shared" si="31"/>
        <v>99.137014390568467</v>
      </c>
      <c r="V120" s="64">
        <f t="shared" si="31"/>
        <v>97.200335529479048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C126" s="9"/>
      <c r="D126" s="164" t="s">
        <v>182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ht="15.75" customHeight="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3:22" x14ac:dyDescent="0.2">
      <c r="C128" s="181" t="s">
        <v>120</v>
      </c>
      <c r="D128" s="155">
        <v>2000</v>
      </c>
      <c r="E128" s="155">
        <v>2001</v>
      </c>
      <c r="F128" s="155">
        <v>2002</v>
      </c>
      <c r="G128" s="155">
        <v>2003</v>
      </c>
      <c r="H128" s="155">
        <v>2004</v>
      </c>
      <c r="I128" s="155">
        <v>2005</v>
      </c>
      <c r="J128" s="155">
        <v>2006</v>
      </c>
      <c r="K128" s="155">
        <v>2007</v>
      </c>
      <c r="L128" s="155">
        <v>2008</v>
      </c>
      <c r="M128" s="155">
        <v>2009</v>
      </c>
      <c r="N128" s="155">
        <v>2010</v>
      </c>
      <c r="O128" s="155">
        <v>2011</v>
      </c>
      <c r="P128" s="155">
        <v>2012</v>
      </c>
      <c r="Q128" s="155">
        <v>2013</v>
      </c>
      <c r="R128" s="155">
        <v>2014</v>
      </c>
      <c r="S128" s="155">
        <v>2015</v>
      </c>
      <c r="T128" s="155">
        <v>2016</v>
      </c>
      <c r="U128" s="155">
        <v>2017</v>
      </c>
      <c r="V128" s="155">
        <v>2018</v>
      </c>
    </row>
    <row r="129" spans="3:22" ht="12" customHeight="1" thickBot="1" x14ac:dyDescent="0.25">
      <c r="C129" s="162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</row>
    <row r="130" spans="3:22" x14ac:dyDescent="0.2">
      <c r="C130" s="87" t="s">
        <v>123</v>
      </c>
      <c r="D130" s="56">
        <f>222.124814193099*Deflactores!$A$5</f>
        <v>828.95105320097878</v>
      </c>
      <c r="E130" s="56">
        <f>218.367590217*Deflactores!$B$5</f>
        <v>757.029493432658</v>
      </c>
      <c r="F130" s="56">
        <f>234.00828153269*Deflactores!$C$5</f>
        <v>758.23737436809324</v>
      </c>
      <c r="G130" s="56">
        <f>255.2115002705*Deflactores!$D$5</f>
        <v>776.53282736497738</v>
      </c>
      <c r="H130" s="56">
        <f>230.38824859065*Deflactores!$E$5</f>
        <v>664.47686306101366</v>
      </c>
      <c r="I130" s="56">
        <f>246.01010022728*Deflactores!$F$5</f>
        <v>676.67892149916497</v>
      </c>
      <c r="J130" s="56">
        <f>330.89418432616*Deflactores!$G$5</f>
        <v>871.15254361063671</v>
      </c>
      <c r="K130" s="56">
        <f>408.519768399719*Deflactores!$H$5</f>
        <v>1017.5738142404307</v>
      </c>
      <c r="L130" s="56">
        <f>737.32749905714*Deflactores!$I$5</f>
        <v>1705.693254669897</v>
      </c>
      <c r="M130" s="56">
        <f>329.10998471905*Deflactores!$J$5</f>
        <v>746.40353763136875</v>
      </c>
      <c r="N130" s="56">
        <f>387.87214163266*Deflactores!$K$5</f>
        <v>852.63399345800667</v>
      </c>
      <c r="O130" s="56">
        <f>276.99535675509*Deflactores!$L$5</f>
        <v>587.02425376007704</v>
      </c>
      <c r="P130" s="56">
        <f>389.89337569897*Deflactores!$M$5</f>
        <v>806.60301832145922</v>
      </c>
      <c r="Q130" s="56">
        <f>1360.44157914843*Deflactores!$N$5</f>
        <v>2760.8909539393267</v>
      </c>
      <c r="R130" s="56">
        <f>370.54897343679*Deflactores!$O$5</f>
        <v>725.44378924546379</v>
      </c>
      <c r="S130" s="56">
        <f>507.64841724706*Deflactores!$P$5</f>
        <v>930.83337440725245</v>
      </c>
      <c r="T130" s="56">
        <f>496.49831748097*Deflactores!$Q$5</f>
        <v>860.88732728389414</v>
      </c>
      <c r="U130" s="56">
        <f>572.62400768223*Deflactores!$R$5</f>
        <v>953.86975241665573</v>
      </c>
      <c r="V130" s="56">
        <f>542.207281734146*Deflactores!$S$5</f>
        <v>875.36534128211088</v>
      </c>
    </row>
    <row r="131" spans="3:22" x14ac:dyDescent="0.2">
      <c r="C131" s="88" t="s">
        <v>124</v>
      </c>
      <c r="D131" s="57">
        <f>83.98998956845*Deflactores!$A$5</f>
        <v>313.44355003300171</v>
      </c>
      <c r="E131" s="57">
        <f>87.54642611221*Deflactores!$B$5</f>
        <v>303.50303607648829</v>
      </c>
      <c r="F131" s="57">
        <f>91.71599906838*Deflactores!$C$5</f>
        <v>297.17964623162334</v>
      </c>
      <c r="G131" s="57">
        <f>95.6120785984899*Deflactores!$D$5</f>
        <v>290.9191695736053</v>
      </c>
      <c r="H131" s="57">
        <f>101.76931173269*Deflactores!$E$5</f>
        <v>293.51910711456605</v>
      </c>
      <c r="I131" s="57">
        <f>108.84738859964*Deflactores!$F$5</f>
        <v>299.39719327603996</v>
      </c>
      <c r="J131" s="57">
        <f>112.41079347924*Deflactores!$G$5</f>
        <v>295.94641824289067</v>
      </c>
      <c r="K131" s="57">
        <f>122.22620291332*Deflactores!$H$5</f>
        <v>304.45083229592228</v>
      </c>
      <c r="L131" s="57">
        <f>1045.64662823755*Deflactores!$I$5</f>
        <v>2418.9419258522621</v>
      </c>
      <c r="M131" s="57">
        <f>1254.96676436468*Deflactores!$J$5</f>
        <v>2846.1963356451447</v>
      </c>
      <c r="N131" s="57">
        <f>1351.68793149371*Deflactores!$K$5</f>
        <v>2971.3272886454474</v>
      </c>
      <c r="O131" s="57">
        <f>1091.70411365078*Deflactores!$L$5</f>
        <v>2313.6012103238236</v>
      </c>
      <c r="P131" s="57">
        <f>200.40428465808*Deflactores!$M$5</f>
        <v>414.59206789541582</v>
      </c>
      <c r="Q131" s="57">
        <f>236.12314525709*Deflactores!$N$5</f>
        <v>479.19018776540582</v>
      </c>
      <c r="R131" s="57">
        <f>260.69888760772*Deflactores!$O$5</f>
        <v>510.38432821480501</v>
      </c>
      <c r="S131" s="57">
        <f>259.92938949881*Deflactores!$P$5</f>
        <v>476.61125793886356</v>
      </c>
      <c r="T131" s="57">
        <f>275.16214171036*Deflactores!$Q$5</f>
        <v>477.10856695062887</v>
      </c>
      <c r="U131" s="57">
        <f>292.18057753445*Deflactores!$R$5</f>
        <v>486.71067125149835</v>
      </c>
      <c r="V131" s="57">
        <f>308.413534822359*Deflactores!$S$5</f>
        <v>497.91754603946805</v>
      </c>
    </row>
    <row r="132" spans="3:22" x14ac:dyDescent="0.2">
      <c r="C132" s="87" t="s">
        <v>125</v>
      </c>
      <c r="D132" s="56">
        <f>7.4800009024*Deflactores!$A$5</f>
        <v>27.914731852509032</v>
      </c>
      <c r="E132" s="56">
        <f>5.004461224*Deflactores!$B$5</f>
        <v>17.349299598641455</v>
      </c>
      <c r="F132" s="56">
        <f>5.552895033*Deflactores!$C$5</f>
        <v>17.992579247138178</v>
      </c>
      <c r="G132" s="56">
        <f>5.77523603946*Deflactores!$D$5</f>
        <v>17.572328698623192</v>
      </c>
      <c r="H132" s="56">
        <f>5.70175097836*Deflactores!$E$5</f>
        <v>16.444769328436472</v>
      </c>
      <c r="I132" s="56">
        <f>5.93439640719999*Deflactores!$F$5</f>
        <v>16.323236147063326</v>
      </c>
      <c r="J132" s="56">
        <f>6.3373701568*Deflactores!$G$5</f>
        <v>16.684536608405999</v>
      </c>
      <c r="K132" s="56">
        <f>6.53084866*Deflactores!$H$5</f>
        <v>16.267561805432027</v>
      </c>
      <c r="L132" s="56">
        <f>7.55060477075*Deflactores!$I$5</f>
        <v>17.467157596340435</v>
      </c>
      <c r="M132" s="56">
        <f>9.10560782598*Deflactores!$J$5</f>
        <v>20.651023090038592</v>
      </c>
      <c r="N132" s="56">
        <f>24.86316433908*Deflactores!$K$5</f>
        <v>54.655070124911106</v>
      </c>
      <c r="O132" s="56">
        <f>9.245342365*Deflactores!$L$5</f>
        <v>19.593253353229077</v>
      </c>
      <c r="P132" s="56">
        <f>12.26222954297*Deflactores!$M$5</f>
        <v>25.367836380853646</v>
      </c>
      <c r="Q132" s="56">
        <f>16.18188487038*Deflactores!$N$5</f>
        <v>32.839645774635208</v>
      </c>
      <c r="R132" s="56">
        <f>20.8623101315599*Deflactores!$O$5</f>
        <v>40.843274166658972</v>
      </c>
      <c r="S132" s="56">
        <f>19.85339796843*Deflactores!$P$5</f>
        <v>36.403551742799827</v>
      </c>
      <c r="T132" s="56">
        <f>20.49881051983*Deflactores!$Q$5</f>
        <v>35.543254789764333</v>
      </c>
      <c r="U132" s="56">
        <f>22.18707046851*Deflactores!$R$5</f>
        <v>36.95893837967229</v>
      </c>
      <c r="V132" s="56">
        <f>21.95025763725*Deflactores!$S$5</f>
        <v>35.437544671860053</v>
      </c>
    </row>
    <row r="133" spans="3:22" x14ac:dyDescent="0.2">
      <c r="C133" s="88" t="s">
        <v>126</v>
      </c>
      <c r="D133" s="57">
        <f>144.238100280329*Deflactores!$A$5</f>
        <v>538.28441263273237</v>
      </c>
      <c r="E133" s="57">
        <f>142.847855055259*Deflactores!$B$5</f>
        <v>495.2201892366981</v>
      </c>
      <c r="F133" s="57">
        <f>145.063460937199*Deflactores!$C$5</f>
        <v>470.03694492070667</v>
      </c>
      <c r="G133" s="57">
        <f>142.9712129488*Deflactores!$D$5</f>
        <v>435.01895527928519</v>
      </c>
      <c r="H133" s="57">
        <f>147.92108650638*Deflactores!$E$5</f>
        <v>426.62826834096256</v>
      </c>
      <c r="I133" s="57">
        <f>165.97263838644*Deflactores!$F$5</f>
        <v>456.52672730895091</v>
      </c>
      <c r="J133" s="57">
        <f>245.97585378084*Deflactores!$G$5</f>
        <v>647.58614940406483</v>
      </c>
      <c r="K133" s="57">
        <f>224.753885766309*Deflactores!$H$5</f>
        <v>559.83501043407136</v>
      </c>
      <c r="L133" s="57">
        <f>231.137730252739*Deflactores!$I$5</f>
        <v>534.70142900672454</v>
      </c>
      <c r="M133" s="57">
        <f>279.455442555739*Deflactores!$J$5</f>
        <v>633.78973783492654</v>
      </c>
      <c r="N133" s="57">
        <f>226.47980551878*Deflactores!$K$5</f>
        <v>497.8557629950966</v>
      </c>
      <c r="O133" s="57">
        <f>337.93891329389*Deflactores!$L$5</f>
        <v>716.17929165591261</v>
      </c>
      <c r="P133" s="57">
        <f>474.563546549459*Deflactores!$M$5</f>
        <v>981.76684419401681</v>
      </c>
      <c r="Q133" s="57">
        <f>675.423748569308*Deflactores!$N$5</f>
        <v>1370.7103238259217</v>
      </c>
      <c r="R133" s="57">
        <f>567.302868225348*Deflactores!$O$5</f>
        <v>1110.639542617489</v>
      </c>
      <c r="S133" s="57">
        <f>555.316762918119*Deflactores!$P$5</f>
        <v>1018.2389203439963</v>
      </c>
      <c r="T133" s="57">
        <f>542.91012510251*Deflactores!$Q$5</f>
        <v>941.36159197111203</v>
      </c>
      <c r="U133" s="57">
        <f>620.14735867007*Deflactores!$R$5</f>
        <v>1033.0335430238017</v>
      </c>
      <c r="V133" s="57">
        <f>564.987764612059*Deflactores!$S$5</f>
        <v>912.14324124910752</v>
      </c>
    </row>
    <row r="134" spans="3:22" x14ac:dyDescent="0.2">
      <c r="C134" s="87" t="s">
        <v>127</v>
      </c>
      <c r="D134" s="56">
        <f>168.145621939619*Deflactores!$A$5</f>
        <v>627.50526502099899</v>
      </c>
      <c r="E134" s="56">
        <f>180.690713609919*Deflactores!$B$5</f>
        <v>626.41255168026976</v>
      </c>
      <c r="F134" s="56">
        <f>184.05198404973*Deflactores!$C$5</f>
        <v>596.36818072872427</v>
      </c>
      <c r="G134" s="56">
        <f>202.91752296671*Deflactores!$D$5</f>
        <v>617.41777962288347</v>
      </c>
      <c r="H134" s="56">
        <f>215.22518708014*Deflactores!$E$5</f>
        <v>620.74414835642438</v>
      </c>
      <c r="I134" s="56">
        <f>232.36405837457*Deflactores!$F$5</f>
        <v>639.14392242760937</v>
      </c>
      <c r="J134" s="56">
        <f>245.32097440796*Deflactores!$G$5</f>
        <v>645.86203378503592</v>
      </c>
      <c r="K134" s="56">
        <f>268.95410375599*Deflactores!$H$5</f>
        <v>669.932459539668</v>
      </c>
      <c r="L134" s="56">
        <f>290.24802463175*Deflactores!$I$5</f>
        <v>671.44396272852396</v>
      </c>
      <c r="M134" s="56">
        <f>320.39755102817*Deflactores!$J$5</f>
        <v>726.64421208613226</v>
      </c>
      <c r="N134" s="56">
        <f>330.420910244069*Deflactores!$K$5</f>
        <v>726.34270416421111</v>
      </c>
      <c r="O134" s="56">
        <f>346.845641381639*Deflactores!$L$5</f>
        <v>735.05493444792376</v>
      </c>
      <c r="P134" s="56">
        <f>367.903559809254*Deflactores!$M$5</f>
        <v>761.11096081424841</v>
      </c>
      <c r="Q134" s="56">
        <f>387.015021271943*Deflactores!$N$5</f>
        <v>785.41136028580968</v>
      </c>
      <c r="R134" s="56">
        <f>400.185791997995*Deflactores!$O$5</f>
        <v>783.46539367419234</v>
      </c>
      <c r="S134" s="56">
        <f>412.976977419946*Deflactores!$P$5</f>
        <v>757.2420998157703</v>
      </c>
      <c r="T134" s="56">
        <f>435.709711989344*Deflactores!$Q$5</f>
        <v>755.48487521414108</v>
      </c>
      <c r="U134" s="56">
        <f>480.81214223413*Deflactores!$R$5</f>
        <v>800.93072054062964</v>
      </c>
      <c r="V134" s="56">
        <f>494.89480554938*Deflactores!$S$5</f>
        <v>798.98181922774222</v>
      </c>
    </row>
    <row r="135" spans="3:22" x14ac:dyDescent="0.2">
      <c r="C135" s="88" t="s">
        <v>128</v>
      </c>
      <c r="D135" s="57">
        <f>38.1737133256599*Deflactores!$A$5</f>
        <v>142.46107523308456</v>
      </c>
      <c r="E135" s="57">
        <f>40.30094531914*Deflactores!$B$5</f>
        <v>139.71397582163118</v>
      </c>
      <c r="F135" s="57">
        <f>40.67830021621*Deflactores!$C$5</f>
        <v>131.80647858989278</v>
      </c>
      <c r="G135" s="57">
        <f>48.60549279229*Deflactores!$D$5</f>
        <v>147.89208442198009</v>
      </c>
      <c r="H135" s="57">
        <f>53.3581402709*Deflactores!$E$5</f>
        <v>153.89348147254452</v>
      </c>
      <c r="I135" s="57">
        <f>61.44267143271*Deflactores!$F$5</f>
        <v>169.00509613508666</v>
      </c>
      <c r="J135" s="57">
        <f>68.93680993588*Deflactores!$G$5</f>
        <v>181.49148630805072</v>
      </c>
      <c r="K135" s="57">
        <f>81.49983902528*Deflactores!$H$5</f>
        <v>203.00633769034596</v>
      </c>
      <c r="L135" s="57">
        <f>99.49439567945*Deflactores!$I$5</f>
        <v>230.16491288458505</v>
      </c>
      <c r="M135" s="57">
        <f>96.74107373799*Deflactores!$J$5</f>
        <v>219.40349130985578</v>
      </c>
      <c r="N135" s="57">
        <f>105.41960336892*Deflactores!$K$5</f>
        <v>231.73702816307875</v>
      </c>
      <c r="O135" s="57">
        <f>118.73751768268*Deflactores!$L$5</f>
        <v>251.6352747841444</v>
      </c>
      <c r="P135" s="57">
        <f>150.27514970007*Deflactores!$M$5</f>
        <v>310.88599315001341</v>
      </c>
      <c r="Q135" s="57">
        <f>204.468558032969*Deflactores!$N$5</f>
        <v>414.95011685220726</v>
      </c>
      <c r="R135" s="57">
        <f>199.112182804239*Deflactores!$O$5</f>
        <v>389.81270151348212</v>
      </c>
      <c r="S135" s="57">
        <f>217.68253425043*Deflactores!$P$5</f>
        <v>399.1466554838816</v>
      </c>
      <c r="T135" s="57">
        <f>208.196424162699*Deflactores!$Q$5</f>
        <v>360.99550962599113</v>
      </c>
      <c r="U135" s="57">
        <f>213.71670242014*Deflactores!$R$5</f>
        <v>356.00655105248615</v>
      </c>
      <c r="V135" s="57">
        <f>252.709597565559*Deflactores!$S$5</f>
        <v>407.98644830208178</v>
      </c>
    </row>
    <row r="136" spans="3:22" x14ac:dyDescent="0.2">
      <c r="C136" s="87" t="s">
        <v>129</v>
      </c>
      <c r="D136" s="56">
        <f>5907.42356248733*Deflactores!$A$5</f>
        <v>22046.005988196743</v>
      </c>
      <c r="E136" s="56">
        <f>6533.42244119463*Deflactores!$B$5</f>
        <v>22649.851455172964</v>
      </c>
      <c r="F136" s="56">
        <f>7333.09014137714*Deflactores!$C$5</f>
        <v>23760.795893138558</v>
      </c>
      <c r="G136" s="56">
        <f>8288.75347013472*Deflactores!$D$5</f>
        <v>25220.216019548148</v>
      </c>
      <c r="H136" s="56">
        <f>9438.45062371736*Deflactores!$E$5</f>
        <v>27222.013713673867</v>
      </c>
      <c r="I136" s="56">
        <f>10348.0624762821*Deflactores!$F$5</f>
        <v>28463.529544467321</v>
      </c>
      <c r="J136" s="56">
        <f>11220.5781129928*Deflactores!$G$5</f>
        <v>29540.667763083235</v>
      </c>
      <c r="K136" s="56">
        <f>13282.8554247752*Deflactores!$H$5</f>
        <v>33086.001961519753</v>
      </c>
      <c r="L136" s="56">
        <f>14929.9637065032*Deflactores!$I$5</f>
        <v>34538.164410270248</v>
      </c>
      <c r="M136" s="56">
        <f>16853.9335010462*Deflactores!$J$5</f>
        <v>38223.804114979073</v>
      </c>
      <c r="N136" s="56">
        <f>18305.0685211937*Deflactores!$K$5</f>
        <v>40238.836457940743</v>
      </c>
      <c r="O136" s="56">
        <f>19769.6028433506*Deflactores!$L$5</f>
        <v>41896.862431928581</v>
      </c>
      <c r="P136" s="56">
        <f>21479.6504365308*Deflactores!$M$5</f>
        <v>44436.638205344512</v>
      </c>
      <c r="Q136" s="56">
        <f>23020.5455384256*Deflactores!$N$5</f>
        <v>46718.078090182506</v>
      </c>
      <c r="R136" s="56">
        <f>24186.6270196346*Deflactores!$O$5</f>
        <v>47351.469338731098</v>
      </c>
      <c r="S136" s="56">
        <f>25176.5204996881*Deflactores!$P$5</f>
        <v>46164.126069071797</v>
      </c>
      <c r="T136" s="56">
        <f>27488.0724823446*Deflactores!$Q$5</f>
        <v>47662.061316891792</v>
      </c>
      <c r="U136" s="56">
        <f>28703.70509456*Deflactores!$R$5</f>
        <v>47814.26504070466</v>
      </c>
      <c r="V136" s="56">
        <f>29434.0087530151*Deflactores!$S$5</f>
        <v>47519.67003279199</v>
      </c>
    </row>
    <row r="137" spans="3:22" x14ac:dyDescent="0.2">
      <c r="C137" s="88" t="s">
        <v>130</v>
      </c>
      <c r="D137" s="57">
        <f>6.911688302*Deflactores!$A$5</f>
        <v>25.793837208836198</v>
      </c>
      <c r="E137" s="57">
        <f>6.86678604313*Deflactores!$B$5</f>
        <v>23.805545294406315</v>
      </c>
      <c r="F137" s="57">
        <f>7.53816628743999*Deflactores!$C$5</f>
        <v>24.425286899686551</v>
      </c>
      <c r="G137" s="57">
        <f>6.49895046697*Deflactores!$D$5</f>
        <v>19.774376843019162</v>
      </c>
      <c r="H137" s="57">
        <f>8.08030196897*Deflactores!$E$5</f>
        <v>23.304893968210923</v>
      </c>
      <c r="I137" s="57">
        <f>8.48689846788*Deflactores!$F$5</f>
        <v>23.344185042859166</v>
      </c>
      <c r="J137" s="57">
        <f>8.947296323*Deflactores!$G$5</f>
        <v>23.55574778714335</v>
      </c>
      <c r="K137" s="57">
        <f>9.4300604395*Deflactores!$H$5</f>
        <v>23.489151106515724</v>
      </c>
      <c r="L137" s="57">
        <f>10.10922054117*Deflactores!$I$5</f>
        <v>23.386119884439236</v>
      </c>
      <c r="M137" s="57">
        <f>10.6886029675*Deflactores!$J$5</f>
        <v>24.241169936213584</v>
      </c>
      <c r="N137" s="57">
        <f>13.48423579342*Deflactores!$K$5</f>
        <v>29.641514765351729</v>
      </c>
      <c r="O137" s="57">
        <f>10.69761660297*Deflactores!$L$5</f>
        <v>22.670995199830113</v>
      </c>
      <c r="P137" s="57">
        <f>17.00020386953*Deflactores!$M$5</f>
        <v>35.169655623567635</v>
      </c>
      <c r="Q137" s="57">
        <f>23.58124672871*Deflactores!$N$5</f>
        <v>47.855969542374233</v>
      </c>
      <c r="R137" s="57">
        <f>24.2334173202399*Deflactores!$O$5</f>
        <v>47.443073243759414</v>
      </c>
      <c r="S137" s="57">
        <f>28.36021246125*Deflactores!$P$5</f>
        <v>52.001801576314939</v>
      </c>
      <c r="T137" s="57">
        <f>59.84470980392*Deflactores!$Q$5</f>
        <v>103.76581442725958</v>
      </c>
      <c r="U137" s="57">
        <f>54.8438541566299*Deflactores!$R$5</f>
        <v>91.358191211205096</v>
      </c>
      <c r="V137" s="57">
        <f>36.46642153386*Deflactores!$S$5</f>
        <v>58.87313322172669</v>
      </c>
    </row>
    <row r="138" spans="3:22" x14ac:dyDescent="0.2">
      <c r="C138" s="87" t="s">
        <v>131</v>
      </c>
      <c r="D138" s="56">
        <f>4767.63741646977*Deflactores!$A$5</f>
        <v>17792.420320168778</v>
      </c>
      <c r="E138" s="56">
        <f>7256.87772076036*Deflactores!$B$5</f>
        <v>25157.902138273785</v>
      </c>
      <c r="F138" s="56">
        <f>8433.19672662194*Deflactores!$C$5</f>
        <v>27325.378835492844</v>
      </c>
      <c r="G138" s="56">
        <f>9485.83426901536*Deflactores!$D$5</f>
        <v>28862.577497592247</v>
      </c>
      <c r="H138" s="56">
        <f>11103.5406628056*Deflactores!$E$5</f>
        <v>32024.401911230561</v>
      </c>
      <c r="I138" s="56">
        <f>11913.735529711*Deflactores!$F$5</f>
        <v>32770.092373537256</v>
      </c>
      <c r="J138" s="56">
        <f>12771.2374031876*Deflactores!$G$5</f>
        <v>33623.123269750984</v>
      </c>
      <c r="K138" s="56">
        <f>13678.5521634784*Deflactores!$H$5</f>
        <v>34071.635144613938</v>
      </c>
      <c r="L138" s="56">
        <f>15395.643394213*Deflactores!$I$5</f>
        <v>35615.442421980253</v>
      </c>
      <c r="M138" s="56">
        <f>17649.7546982472*Deflactores!$J$5</f>
        <v>40028.683287575252</v>
      </c>
      <c r="N138" s="56">
        <f>19184.3160264629*Deflactores!$K$5</f>
        <v>42171.628817041543</v>
      </c>
      <c r="O138" s="56">
        <f>20814.8548507237*Deflactores!$L$5</f>
        <v>44112.019706791965</v>
      </c>
      <c r="P138" s="56">
        <f>21747.6739099752*Deflactores!$M$5</f>
        <v>44991.119394653491</v>
      </c>
      <c r="Q138" s="56">
        <f>23672.1662445763*Deflactores!$N$5</f>
        <v>48040.482330530074</v>
      </c>
      <c r="R138" s="56">
        <f>25016.1222907151*Deflactores!$O$5</f>
        <v>48975.417145231979</v>
      </c>
      <c r="S138" s="56">
        <f>26584.600258389*Deflactores!$P$5</f>
        <v>48746.006734304385</v>
      </c>
      <c r="T138" s="56">
        <f>28765.949324675*Deflactores!$Q$5</f>
        <v>49877.794866550728</v>
      </c>
      <c r="U138" s="56">
        <f>32304.5530290798*Deflactores!$R$5</f>
        <v>53812.511502100831</v>
      </c>
      <c r="V138" s="56">
        <f>34698.157180987*Deflactores!$S$5</f>
        <v>56018.362766082726</v>
      </c>
    </row>
    <row r="139" spans="3:22" x14ac:dyDescent="0.2">
      <c r="C139" s="88" t="s">
        <v>132</v>
      </c>
      <c r="D139" s="57">
        <f>27.0460544952199*Deflactores!$A$5</f>
        <v>100.93359195453698</v>
      </c>
      <c r="E139" s="57">
        <f>28.85357543767*Deflactores!$B$5</f>
        <v>100.02861494049596</v>
      </c>
      <c r="F139" s="57">
        <f>30.5732848540499*Deflactores!$C$5</f>
        <v>99.064046288054911</v>
      </c>
      <c r="G139" s="57">
        <f>31.02774847197*Deflactores!$D$5</f>
        <v>94.408226988873125</v>
      </c>
      <c r="H139" s="57">
        <f>30.34563718894*Deflactores!$E$5</f>
        <v>87.52171141645988</v>
      </c>
      <c r="I139" s="57">
        <f>31.31989653012*Deflactores!$F$5</f>
        <v>86.148958054515276</v>
      </c>
      <c r="J139" s="57">
        <f>39.3906369443899*Deflactores!$G$5</f>
        <v>103.70461372244633</v>
      </c>
      <c r="K139" s="57">
        <f>42.54074139805*Deflactores!$H$5</f>
        <v>105.96389167310443</v>
      </c>
      <c r="L139" s="57">
        <f>43.64812894736*Deflactores!$I$5</f>
        <v>100.97320284361754</v>
      </c>
      <c r="M139" s="57">
        <f>41.48100681689*Deflactores!$J$5</f>
        <v>94.076666373609001</v>
      </c>
      <c r="N139" s="57">
        <f>47.53467306237*Deflactores!$K$5</f>
        <v>104.49236686679471</v>
      </c>
      <c r="O139" s="57">
        <f>46.1825875940299*Deflactores!$L$5</f>
        <v>97.872756195927181</v>
      </c>
      <c r="P139" s="57">
        <f>50.00917226723*Deflactores!$M$5</f>
        <v>103.45789851441197</v>
      </c>
      <c r="Q139" s="57">
        <f>53.8796491209599*Deflactores!$N$5</f>
        <v>109.34378817839209</v>
      </c>
      <c r="R139" s="57">
        <f>61.05252871064*Deflactores!$O$5</f>
        <v>119.52584124057594</v>
      </c>
      <c r="S139" s="57">
        <f>61.14247627293*Deflactores!$P$5</f>
        <v>112.11195696695813</v>
      </c>
      <c r="T139" s="57">
        <f>66.50172310378*Deflactores!$Q$5</f>
        <v>115.30852904608498</v>
      </c>
      <c r="U139" s="57">
        <f>70.19442634322*Deflactores!$R$5</f>
        <v>116.92897814056194</v>
      </c>
      <c r="V139" s="57">
        <f>76.1317125890399*Deflactores!$S$5</f>
        <v>122.91067423467911</v>
      </c>
    </row>
    <row r="140" spans="3:22" x14ac:dyDescent="0.2">
      <c r="C140" s="87" t="s">
        <v>133</v>
      </c>
      <c r="D140" s="56">
        <f>602.50234428489*Deflactores!$A$5</f>
        <v>2248.4878813081978</v>
      </c>
      <c r="E140" s="56">
        <f>628.75255188928*Deflactores!$B$5</f>
        <v>2179.7384189578202</v>
      </c>
      <c r="F140" s="56">
        <f>668.961280795839*Deflactores!$C$5</f>
        <v>2167.5790351620335</v>
      </c>
      <c r="G140" s="56">
        <f>690.381102590499*Deflactores!$D$5</f>
        <v>2100.6247327637338</v>
      </c>
      <c r="H140" s="56">
        <f>723.44723264948*Deflactores!$E$5</f>
        <v>2086.5384874522065</v>
      </c>
      <c r="I140" s="56">
        <f>812.724987644989*Deflactores!$F$5</f>
        <v>2235.4930452324948</v>
      </c>
      <c r="J140" s="56">
        <f>889.32597128657*Deflactores!$G$5</f>
        <v>2341.3484391180518</v>
      </c>
      <c r="K140" s="56">
        <f>1015.97885089196*Deflactores!$H$5</f>
        <v>2530.6816327139891</v>
      </c>
      <c r="L140" s="56">
        <f>1169.7203911875*Deflactores!$I$5</f>
        <v>2705.9674074949057</v>
      </c>
      <c r="M140" s="56">
        <f>1354.53650786752*Deflactores!$J$5</f>
        <v>3072.0150960665628</v>
      </c>
      <c r="N140" s="56">
        <f>1420.75229556257*Deflactores!$K$5</f>
        <v>3123.1469689498895</v>
      </c>
      <c r="O140" s="56">
        <f>1511.70665331145*Deflactores!$L$5</f>
        <v>3203.6943884547291</v>
      </c>
      <c r="P140" s="56">
        <f>1777.5244721857*Deflactores!$M$5</f>
        <v>3677.3043446427346</v>
      </c>
      <c r="Q140" s="56">
        <f>2039.45646714808*Deflactores!$N$5</f>
        <v>4138.8891646686843</v>
      </c>
      <c r="R140" s="56">
        <f>2326.48662643212*Deflactores!$O$5</f>
        <v>4554.6888397889861</v>
      </c>
      <c r="S140" s="56">
        <f>2611.84829878625*Deflactores!$P$5</f>
        <v>4789.1325626173348</v>
      </c>
      <c r="T140" s="56">
        <f>2958.725662096*Deflactores!$Q$5</f>
        <v>5130.1874301028693</v>
      </c>
      <c r="U140" s="56">
        <f>3244.97349774679*Deflactores!$R$5</f>
        <v>5405.4353735933919</v>
      </c>
      <c r="V140" s="56">
        <f>3355.25717259692*Deflactores!$S$5</f>
        <v>5416.8874873570112</v>
      </c>
    </row>
    <row r="141" spans="3:22" x14ac:dyDescent="0.2">
      <c r="C141" s="88" t="s">
        <v>134</v>
      </c>
      <c r="D141" s="57">
        <f>5714.9413800053*Deflactores!$A$5</f>
        <v>21327.678733898207</v>
      </c>
      <c r="E141" s="57">
        <f>4919.09349417365*Deflactores!$B$5</f>
        <v>17053.349594331215</v>
      </c>
      <c r="F141" s="57">
        <f>4349.07553856882*Deflactores!$C$5</f>
        <v>14091.94407862124</v>
      </c>
      <c r="G141" s="57">
        <f>3478.8740606916*Deflactores!$D$5</f>
        <v>10585.180948085163</v>
      </c>
      <c r="H141" s="57">
        <f>4250.22625052219*Deflactores!$E$5</f>
        <v>12258.337929659378</v>
      </c>
      <c r="I141" s="57">
        <f>5127.94848158207*Deflactores!$F$5</f>
        <v>14105.008878962488</v>
      </c>
      <c r="J141" s="57">
        <f>5195.7958086813*Deflactores!$G$5</f>
        <v>13679.088207705179</v>
      </c>
      <c r="K141" s="57">
        <f>5686.70162285612*Deflactores!$H$5</f>
        <v>14164.892640287047</v>
      </c>
      <c r="L141" s="57">
        <f>5724.39518833667*Deflactores!$I$5</f>
        <v>13242.503870120807</v>
      </c>
      <c r="M141" s="57">
        <f>5509.48686593612*Deflactores!$J$5</f>
        <v>12495.21642674808</v>
      </c>
      <c r="N141" s="57">
        <f>6654.51997361832*Deflactores!$K$5</f>
        <v>14628.196590168571</v>
      </c>
      <c r="O141" s="57">
        <f>6922.17639370402*Deflactores!$L$5</f>
        <v>14669.868403254575</v>
      </c>
      <c r="P141" s="57">
        <f>7367.68979295495*Deflactores!$M$5</f>
        <v>15242.117962122045</v>
      </c>
      <c r="Q141" s="57">
        <f>10307.6196407544*Deflactores!$N$5</f>
        <v>20918.365227134269</v>
      </c>
      <c r="R141" s="57">
        <f>11012.416500871*Deflactores!$O$5</f>
        <v>21559.604068108187</v>
      </c>
      <c r="S141" s="57">
        <f>14317.3687086914*Deflactores!$P$5</f>
        <v>26252.587765398384</v>
      </c>
      <c r="T141" s="57">
        <f>15148.7159109444*Deflactores!$Q$5</f>
        <v>26266.62990223684</v>
      </c>
      <c r="U141" s="57">
        <f>18318.8847972068*Deflactores!$R$5</f>
        <v>30515.364133593499</v>
      </c>
      <c r="V141" s="57">
        <f>9968.44327742332*Deflactores!$S$5</f>
        <v>16093.531100660424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138.26553373093*Deflactores!$A$5</f>
        <v>515.99529851721877</v>
      </c>
      <c r="E143" s="57">
        <f>143.817717899989*Deflactores!$B$5</f>
        <v>498.58247746507249</v>
      </c>
      <c r="F143" s="57">
        <f>151.003144581369*Deflactores!$C$5</f>
        <v>489.2828028084474</v>
      </c>
      <c r="G143" s="57">
        <f>145.684314951949*Deflactores!$D$5</f>
        <v>443.27411920098098</v>
      </c>
      <c r="H143" s="57">
        <f>146.50443900392*Deflactores!$E$5</f>
        <v>422.54242848473632</v>
      </c>
      <c r="I143" s="57">
        <f>150.36224422048*Deflactores!$F$5</f>
        <v>413.58855249970657</v>
      </c>
      <c r="J143" s="57">
        <f>286.423250910489*Deflactores!$G$5</f>
        <v>754.07291937760897</v>
      </c>
      <c r="K143" s="57">
        <f>206.3289375548*Deflactores!$H$5</f>
        <v>513.94067121467094</v>
      </c>
      <c r="L143" s="57">
        <f>286.031754822509*Deflactores!$I$5</f>
        <v>661.69027392309204</v>
      </c>
      <c r="M143" s="57">
        <f>471.14805222227*Deflactores!$J$5</f>
        <v>1068.5381460761121</v>
      </c>
      <c r="N143" s="57">
        <f>603.181745098669*Deflactores!$K$5</f>
        <v>1325.9350309090171</v>
      </c>
      <c r="O143" s="57">
        <f>798.13852607074*Deflactores!$L$5</f>
        <v>1691.4603845800186</v>
      </c>
      <c r="P143" s="57">
        <f>1319.06021490712*Deflactores!$M$5</f>
        <v>2728.8433633540353</v>
      </c>
      <c r="Q143" s="57">
        <f>1123.06947597608*Deflactores!$N$5</f>
        <v>2279.1661210535835</v>
      </c>
      <c r="R143" s="57">
        <f>1148.6913168245*Deflactores!$O$5</f>
        <v>2248.8551886183463</v>
      </c>
      <c r="S143" s="57">
        <f>1111.51966864374*Deflactores!$P$5</f>
        <v>2038.1026882629872</v>
      </c>
      <c r="T143" s="57">
        <f>1089.61959734252*Deflactores!$Q$5</f>
        <v>1889.3109400079861</v>
      </c>
      <c r="U143" s="57">
        <f>1206.46590553429*Deflactores!$R$5</f>
        <v>2009.715483759034</v>
      </c>
      <c r="V143" s="57">
        <f>1322.58557221971*Deflactores!$S$5</f>
        <v>2135.245338458154</v>
      </c>
    </row>
    <row r="144" spans="3:22" x14ac:dyDescent="0.2">
      <c r="C144" s="87" t="s">
        <v>137</v>
      </c>
      <c r="D144" s="56">
        <f>41.4623345620499*Deflactores!$A$5</f>
        <v>154.73393203833425</v>
      </c>
      <c r="E144" s="56">
        <f>38.53777138555*Deflactores!$B$5</f>
        <v>133.60146311563446</v>
      </c>
      <c r="F144" s="56">
        <f>41.2701122593*Deflactores!$C$5</f>
        <v>133.72407743183501</v>
      </c>
      <c r="G144" s="56">
        <f>40.84839648938*Deflactores!$D$5</f>
        <v>124.28954332231716</v>
      </c>
      <c r="H144" s="56">
        <f>43.17407628115*Deflactores!$E$5</f>
        <v>124.52099856806558</v>
      </c>
      <c r="I144" s="56">
        <f>44.5209525541499*Deflactores!$F$5</f>
        <v>122.45997270284818</v>
      </c>
      <c r="J144" s="56">
        <f>46.9906695168*Deflactores!$G$5</f>
        <v>123.71339000378674</v>
      </c>
      <c r="K144" s="56">
        <f>48.43621042957*Deflactores!$H$5</f>
        <v>120.64879892408059</v>
      </c>
      <c r="L144" s="56">
        <f>51.8119674619999*Deflactores!$I$5</f>
        <v>119.85898196407925</v>
      </c>
      <c r="M144" s="56">
        <f>55.84385986891*Deflactores!$J$5</f>
        <v>126.65083557622054</v>
      </c>
      <c r="N144" s="56">
        <f>55.2589337216899*Deflactores!$K$5</f>
        <v>121.47210453174885</v>
      </c>
      <c r="O144" s="56">
        <f>57.1631239167899*Deflactores!$L$5</f>
        <v>121.14333089531756</v>
      </c>
      <c r="P144" s="56">
        <f>94.0253671901599*Deflactores!$M$5</f>
        <v>194.5176545726238</v>
      </c>
      <c r="Q144" s="56">
        <f>115.52672200124*Deflactores!$N$5</f>
        <v>234.45084787186394</v>
      </c>
      <c r="R144" s="56">
        <f>122.400133255609*Deflactores!$O$5</f>
        <v>239.62936841935601</v>
      </c>
      <c r="S144" s="56">
        <f>122.16916820745*Deflactores!$P$5</f>
        <v>224.01160966433901</v>
      </c>
      <c r="T144" s="56">
        <f>135.42637836581*Deflactores!$Q$5</f>
        <v>234.81822356739033</v>
      </c>
      <c r="U144" s="56">
        <f>141.41537391028*Deflactores!$R$5</f>
        <v>235.56792221426389</v>
      </c>
      <c r="V144" s="56">
        <f>143.23609048606*Deflactores!$S$5</f>
        <v>231.24718803338243</v>
      </c>
    </row>
    <row r="145" spans="3:22" x14ac:dyDescent="0.2">
      <c r="C145" s="88" t="s">
        <v>138</v>
      </c>
      <c r="D145" s="57">
        <f>145.20093360966*Deflactores!$A$5</f>
        <v>541.87762532851025</v>
      </c>
      <c r="E145" s="57">
        <f>157.23552125867*Deflactores!$B$5</f>
        <v>545.09887153942782</v>
      </c>
      <c r="F145" s="57">
        <f>171.920296316729*Deflactores!$C$5</f>
        <v>557.05889221519249</v>
      </c>
      <c r="G145" s="57">
        <f>181.024966819509*Deflactores!$D$5</f>
        <v>550.80523079489637</v>
      </c>
      <c r="H145" s="57">
        <f>205.74318372704*Deflactores!$E$5</f>
        <v>593.39652154757334</v>
      </c>
      <c r="I145" s="57">
        <f>222.820924808759*Deflactores!$F$5</f>
        <v>612.89444192632311</v>
      </c>
      <c r="J145" s="57">
        <f>231.50549271652*Deflactores!$G$5</f>
        <v>609.48970514706593</v>
      </c>
      <c r="K145" s="57">
        <f>247.228236222159*Deflactores!$H$5</f>
        <v>615.81592564295011</v>
      </c>
      <c r="L145" s="57">
        <f>284.13260741899*Deflactores!$I$5</f>
        <v>657.29688981637071</v>
      </c>
      <c r="M145" s="57">
        <f>271.04674477507*Deflactores!$J$5</f>
        <v>614.71926880700494</v>
      </c>
      <c r="N145" s="57">
        <f>272.46507854433*Deflactores!$K$5</f>
        <v>598.94218496650115</v>
      </c>
      <c r="O145" s="57">
        <f>275.626656918009*Deflactores!$L$5</f>
        <v>584.12362751891453</v>
      </c>
      <c r="P145" s="57">
        <f>110.500662654179*Deflactores!$M$5</f>
        <v>228.60139099207987</v>
      </c>
      <c r="Q145" s="57">
        <f>141.49083727288*Deflactores!$N$5</f>
        <v>287.14262977504529</v>
      </c>
      <c r="R145" s="57">
        <f>121.384811127959*Deflactores!$O$5</f>
        <v>237.64161731386594</v>
      </c>
      <c r="S145" s="57">
        <f>61.57294763745*Deflactores!$P$5</f>
        <v>112.9012770932668</v>
      </c>
      <c r="T145" s="57">
        <f>81.17168908215*Deflactores!$Q$5</f>
        <v>140.7450458635839</v>
      </c>
      <c r="U145" s="57">
        <f>83.01780791045*Deflactores!$R$5</f>
        <v>138.29000324006472</v>
      </c>
      <c r="V145" s="57">
        <f>85.16751586172*Deflactores!$S$5</f>
        <v>137.4985067518858</v>
      </c>
    </row>
    <row r="146" spans="3:22" x14ac:dyDescent="0.2">
      <c r="C146" s="87" t="s">
        <v>139</v>
      </c>
      <c r="D146" s="56">
        <f>459.70547677558*Deflactores!$A$5</f>
        <v>1715.5820276977156</v>
      </c>
      <c r="E146" s="56">
        <f>514.41192875036*Deflactores!$B$5</f>
        <v>1783.3461524698582</v>
      </c>
      <c r="F146" s="56">
        <f>526.961275631739*Deflactores!$C$5</f>
        <v>1707.468348605661</v>
      </c>
      <c r="G146" s="56">
        <f>567.758025497939*Deflactores!$D$5</f>
        <v>1727.5191138791847</v>
      </c>
      <c r="H146" s="56">
        <f>672.628252167389*Deflactores!$E$5</f>
        <v>1939.9683522944138</v>
      </c>
      <c r="I146" s="56">
        <f>792.339285676469*Deflactores!$F$5</f>
        <v>2179.4198400701162</v>
      </c>
      <c r="J146" s="56">
        <f>869.144216373439*Deflactores!$G$5</f>
        <v>2288.2154801242159</v>
      </c>
      <c r="K146" s="56">
        <f>860.81928996674*Deflactores!$H$5</f>
        <v>2144.197750073427</v>
      </c>
      <c r="L146" s="56">
        <f>940.67197581647*Deflactores!$I$5</f>
        <v>2176.0992856755161</v>
      </c>
      <c r="M146" s="56">
        <f>1251.11370149365*Deflactores!$J$5</f>
        <v>2837.4577987086009</v>
      </c>
      <c r="N146" s="56">
        <f>2272.79698811987*Deflactores!$K$5</f>
        <v>4996.1411617317372</v>
      </c>
      <c r="O146" s="56">
        <f>2385.99703200844*Deflactores!$L$5</f>
        <v>5056.5400936554706</v>
      </c>
      <c r="P146" s="56">
        <f>1931.71520208642*Deflactores!$M$5</f>
        <v>3996.2908057800846</v>
      </c>
      <c r="Q146" s="56">
        <f>2414.72837373522*Deflactores!$N$5</f>
        <v>4900.4689546752033</v>
      </c>
      <c r="R146" s="56">
        <f>2605.48426388206*Deflactores!$O$5</f>
        <v>5100.897621384066</v>
      </c>
      <c r="S146" s="56">
        <f>2576.36821119419*Deflactores!$P$5</f>
        <v>4724.0756284567206</v>
      </c>
      <c r="T146" s="56">
        <f>2541.86441705906*Deflactores!$Q$5</f>
        <v>4407.3842494015707</v>
      </c>
      <c r="U146" s="56">
        <f>2847.27909976675*Deflactores!$R$5</f>
        <v>4742.9611289766235</v>
      </c>
      <c r="V146" s="56">
        <f>2961.61033193039*Deflactores!$S$5</f>
        <v>4781.3652200746665</v>
      </c>
    </row>
    <row r="147" spans="3:22" x14ac:dyDescent="0.2">
      <c r="C147" s="88" t="s">
        <v>140</v>
      </c>
      <c r="D147" s="57">
        <f>102.44803926789*Deflactores!$A$5</f>
        <v>382.32743315056007</v>
      </c>
      <c r="E147" s="57">
        <f>78.04915571209*Deflactores!$B$5</f>
        <v>270.57821516853608</v>
      </c>
      <c r="F147" s="57">
        <f>99.42932301794*Deflactores!$C$5</f>
        <v>322.17248178794915</v>
      </c>
      <c r="G147" s="57">
        <f>67.18051263772*Deflactores!$D$5</f>
        <v>204.41035520383801</v>
      </c>
      <c r="H147" s="57">
        <f>2118.57145574798*Deflactores!$E$5</f>
        <v>6110.301734995498</v>
      </c>
      <c r="I147" s="57">
        <f>2105.53666144738*Deflactores!$F$5</f>
        <v>5791.519437327448</v>
      </c>
      <c r="J147" s="57">
        <f>130.623575099039*Deflactores!$G$5</f>
        <v>343.89561706795621</v>
      </c>
      <c r="K147" s="57">
        <f>116.704704471559*Deflactores!$H$5</f>
        <v>290.6974409931841</v>
      </c>
      <c r="L147" s="57">
        <f>120.004995080509*Deflactores!$I$5</f>
        <v>277.61301578642946</v>
      </c>
      <c r="M147" s="57">
        <f>104.424507521189*Deflactores!$J$5</f>
        <v>236.82910105497433</v>
      </c>
      <c r="N147" s="57">
        <f>953.92518210105*Deflactores!$K$5</f>
        <v>2096.9514181950935</v>
      </c>
      <c r="O147" s="57">
        <f>707.04380221883*Deflactores!$L$5</f>
        <v>1498.4072846396887</v>
      </c>
      <c r="P147" s="57">
        <f>163.5443739173*Deflactores!$M$5</f>
        <v>338.33707842483869</v>
      </c>
      <c r="Q147" s="57">
        <f>280.374385694519*Deflactores!$N$5</f>
        <v>568.99400683183433</v>
      </c>
      <c r="R147" s="57">
        <f>440.58155477272*Deflactores!$O$5</f>
        <v>862.55036574943222</v>
      </c>
      <c r="S147" s="57">
        <f>722.188406297429*Deflactores!$P$5</f>
        <v>1324.2178018344346</v>
      </c>
      <c r="T147" s="57">
        <f>531.12411387791*Deflactores!$Q$5</f>
        <v>920.9256159662732</v>
      </c>
      <c r="U147" s="57">
        <f>667.699732059889*Deflactores!$R$5</f>
        <v>1112.2456787771848</v>
      </c>
      <c r="V147" s="57">
        <f>583.70012659325*Deflactores!$S$5</f>
        <v>942.35337247322332</v>
      </c>
    </row>
    <row r="148" spans="3:22" x14ac:dyDescent="0.2">
      <c r="C148" s="87" t="s">
        <v>141</v>
      </c>
      <c r="D148" s="56">
        <f>346.56155818694*Deflactores!$A$5</f>
        <v>1293.3384759448522</v>
      </c>
      <c r="E148" s="56">
        <f>344.21546720842*Deflactores!$B$5</f>
        <v>1193.3147245592932</v>
      </c>
      <c r="F148" s="56">
        <f>368.441932765959*Deflactores!$C$5</f>
        <v>1193.8314399720932</v>
      </c>
      <c r="G148" s="56">
        <f>373.958293749549*Deflactores!$D$5</f>
        <v>1137.8440660163558</v>
      </c>
      <c r="H148" s="56">
        <f>391.502878472259*Deflactores!$E$5</f>
        <v>1129.1574381852458</v>
      </c>
      <c r="I148" s="56">
        <f>436.548535009829*Deflactores!$F$5</f>
        <v>1200.776681849969</v>
      </c>
      <c r="J148" s="56">
        <f>498.65728081346*Deflactores!$G$5</f>
        <v>1312.8262119663543</v>
      </c>
      <c r="K148" s="56">
        <f>564.894573611649*Deflactores!$H$5</f>
        <v>1407.0847248480982</v>
      </c>
      <c r="L148" s="56">
        <f>641.2924328496*Deflactores!$I$5</f>
        <v>1483.530966064839</v>
      </c>
      <c r="M148" s="56">
        <f>712.488127224819*Deflactores!$J$5</f>
        <v>1615.8843042545075</v>
      </c>
      <c r="N148" s="56">
        <f>802.26068116254*Deflactores!$K$5</f>
        <v>1763.5572523839112</v>
      </c>
      <c r="O148" s="56">
        <f>841.651196739249*Deflactores!$L$5</f>
        <v>1783.6749015579107</v>
      </c>
      <c r="P148" s="56">
        <f>960.408873686879*Deflactores!$M$5</f>
        <v>1986.8731930871741</v>
      </c>
      <c r="Q148" s="56">
        <f>1078.52056801704*Deflactores!$N$5</f>
        <v>2188.7582131528429</v>
      </c>
      <c r="R148" s="56">
        <f>1219.27156394122*Deflactores!$O$5</f>
        <v>2387.0339600755792</v>
      </c>
      <c r="S148" s="56">
        <f>1315.71499915379*Deflactores!$P$5</f>
        <v>2412.5189615720215</v>
      </c>
      <c r="T148" s="56">
        <f>1426.74714426155*Deflactores!$Q$5</f>
        <v>2473.8624331397295</v>
      </c>
      <c r="U148" s="56">
        <f>1473.28724633961*Deflactores!$R$5</f>
        <v>2454.1830626222122</v>
      </c>
      <c r="V148" s="56">
        <f>1555.10218304274*Deflactores!$S$5</f>
        <v>2510.6312641799323</v>
      </c>
    </row>
    <row r="149" spans="3:22" x14ac:dyDescent="0.2">
      <c r="C149" s="88" t="s">
        <v>142</v>
      </c>
      <c r="D149" s="57">
        <f>35.92921651784*Deflactores!$A$5</f>
        <v>134.08480264279623</v>
      </c>
      <c r="E149" s="57">
        <f>39.5225876584899*Deflactores!$B$5</f>
        <v>137.0155913912044</v>
      </c>
      <c r="F149" s="57">
        <f>42.85838355421*Deflactores!$C$5</f>
        <v>138.87041946959977</v>
      </c>
      <c r="G149" s="57">
        <f>39.93811564153*Deflactores!$D$5</f>
        <v>121.51982894922682</v>
      </c>
      <c r="H149" s="57">
        <f>46.7662852174499*Deflactores!$E$5</f>
        <v>134.88150844673294</v>
      </c>
      <c r="I149" s="57">
        <f>40.73782181588*Deflactores!$F$5</f>
        <v>112.0540388590842</v>
      </c>
      <c r="J149" s="57">
        <f>49.6557395263599*Deflactores!$G$5</f>
        <v>130.72977961624383</v>
      </c>
      <c r="K149" s="57">
        <f>56.30379101789*Deflactores!$H$5</f>
        <v>140.2459998611657</v>
      </c>
      <c r="L149" s="57">
        <f>59.4365520008*Deflactores!$I$5</f>
        <v>137.49728032420032</v>
      </c>
      <c r="M149" s="57">
        <f>58.6188164287399*Deflactores!$J$5</f>
        <v>132.94428606146957</v>
      </c>
      <c r="N149" s="57">
        <f>182.08310818444*Deflactores!$K$5</f>
        <v>400.26140320120584</v>
      </c>
      <c r="O149" s="57">
        <f>71.56005613904*Deflactores!$L$5</f>
        <v>151.65412534763459</v>
      </c>
      <c r="P149" s="57">
        <f>92.37137783813*Deflactores!$M$5</f>
        <v>191.09591702392302</v>
      </c>
      <c r="Q149" s="57">
        <f>115.462494284449*Deflactores!$N$5</f>
        <v>234.32050363290625</v>
      </c>
      <c r="R149" s="57">
        <f>168.47162539721*Deflactores!$O$5</f>
        <v>329.82602319728909</v>
      </c>
      <c r="S149" s="57">
        <f>168.63980494138*Deflactores!$P$5</f>
        <v>309.22101470193184</v>
      </c>
      <c r="T149" s="57">
        <f>165.6255608775*Deflactores!$Q$5</f>
        <v>287.1811271328063</v>
      </c>
      <c r="U149" s="57">
        <f>171.40204116766*Deflactores!$R$5</f>
        <v>285.51932922629879</v>
      </c>
      <c r="V149" s="57">
        <f>162.753684345698*Deflactores!$S$5</f>
        <v>262.75732407453717</v>
      </c>
    </row>
    <row r="150" spans="3:22" x14ac:dyDescent="0.2">
      <c r="C150" s="87" t="s">
        <v>143</v>
      </c>
      <c r="D150" s="56">
        <f>43.09638433476*Deflactores!$A$5</f>
        <v>160.83206783190352</v>
      </c>
      <c r="E150" s="56">
        <f>49.8516351752499*Deflactores!$B$5</f>
        <v>172.82398952155083</v>
      </c>
      <c r="F150" s="56">
        <f>44.61879786302*Deflactores!$C$5</f>
        <v>144.57454205265307</v>
      </c>
      <c r="G150" s="56">
        <f>43.01179650741*Deflactores!$D$5</f>
        <v>130.87212730047523</v>
      </c>
      <c r="H150" s="56">
        <f>72.66717688817*Deflactores!$E$5</f>
        <v>209.5838569958668</v>
      </c>
      <c r="I150" s="56">
        <f>83.9373622477999*Deflactores!$F$5</f>
        <v>230.87931636486354</v>
      </c>
      <c r="J150" s="56">
        <f>153.67729701814*Deflactores!$G$5</f>
        <v>404.58966803900978</v>
      </c>
      <c r="K150" s="56">
        <f>220.12080702452*Deflactores!$H$5</f>
        <v>548.29456619699943</v>
      </c>
      <c r="L150" s="56">
        <f>230.23721046073*Deflactores!$I$5</f>
        <v>532.61821559492228</v>
      </c>
      <c r="M150" s="56">
        <f>242.234704079849*Deflactores!$J$5</f>
        <v>549.37512824666805</v>
      </c>
      <c r="N150" s="56">
        <f>233.57271468664*Deflactores!$K$5</f>
        <v>513.44764191574075</v>
      </c>
      <c r="O150" s="56">
        <f>231.88984514513*Deflactores!$L$5</f>
        <v>491.43409801348008</v>
      </c>
      <c r="P150" s="56">
        <f>461.901050196629*Deflactores!$M$5</f>
        <v>955.57094445766722</v>
      </c>
      <c r="Q150" s="56">
        <f>464.91617155111*Deflactores!$N$5</f>
        <v>943.5045738450774</v>
      </c>
      <c r="R150" s="56">
        <f>529.710350074369*Deflactores!$O$5</f>
        <v>1037.0426343281797</v>
      </c>
      <c r="S150" s="56">
        <f>525.026806258089*Deflactores!$P$5</f>
        <v>962.6987046935584</v>
      </c>
      <c r="T150" s="56">
        <f>641.46877520373*Deflactores!$Q$5</f>
        <v>1112.2542010273348</v>
      </c>
      <c r="U150" s="56">
        <f>1085.66618486037*Deflactores!$R$5</f>
        <v>1808.4888531858064</v>
      </c>
      <c r="V150" s="56">
        <f>535.55672130543*Deflactores!$S$5</f>
        <v>864.62835877464465</v>
      </c>
    </row>
    <row r="151" spans="3:22" x14ac:dyDescent="0.2">
      <c r="C151" s="88" t="s">
        <v>144</v>
      </c>
      <c r="D151" s="57">
        <f>678.44721150574*Deflactores!$A$5</f>
        <v>2531.9077139668038</v>
      </c>
      <c r="E151" s="57">
        <f>736.81475745617*Deflactores!$B$5</f>
        <v>2554.3648763832307</v>
      </c>
      <c r="F151" s="57">
        <f>747.57260765507*Deflactores!$C$5</f>
        <v>2422.2967130276716</v>
      </c>
      <c r="G151" s="57">
        <f>766.533401883579*Deflactores!$D$5</f>
        <v>2332.3335711888135</v>
      </c>
      <c r="H151" s="57">
        <f>839.57765320767*Deflactores!$E$5</f>
        <v>2421.4773483989275</v>
      </c>
      <c r="I151" s="57">
        <f>992.574045490239*Deflactores!$F$5</f>
        <v>2730.1884515712195</v>
      </c>
      <c r="J151" s="57">
        <f>1105.08848766432*Deflactores!$G$5</f>
        <v>2909.3912572203958</v>
      </c>
      <c r="K151" s="57">
        <f>1212.86646386487*Deflactores!$H$5</f>
        <v>3021.105095192569</v>
      </c>
      <c r="L151" s="57">
        <f>1347.25005625124*Deflactores!$I$5</f>
        <v>3116.6548599366611</v>
      </c>
      <c r="M151" s="57">
        <f>1554.2829444968*Deflactores!$J$5</f>
        <v>3525.0291456300511</v>
      </c>
      <c r="N151" s="57">
        <f>1657.850552971*Deflactores!$K$5</f>
        <v>3644.3445811453562</v>
      </c>
      <c r="O151" s="57">
        <f>1830.8304714417*Deflactores!$L$5</f>
        <v>3879.9996644330931</v>
      </c>
      <c r="P151" s="57">
        <f>2201.67452918483*Deflactores!$M$5</f>
        <v>4554.7768474350441</v>
      </c>
      <c r="Q151" s="57">
        <f>2483.41697163107*Deflactores!$N$5</f>
        <v>5039.8661412035181</v>
      </c>
      <c r="R151" s="57">
        <f>2744.17665261521*Deflactores!$O$5</f>
        <v>5372.4232205212193</v>
      </c>
      <c r="S151" s="57">
        <f>2965.76541632754*Deflactores!$P$5</f>
        <v>5438.0814287794019</v>
      </c>
      <c r="T151" s="57">
        <f>3287.70824833605*Deflactores!$Q$5</f>
        <v>5700.6162299990438</v>
      </c>
      <c r="U151" s="57">
        <f>3516.74807606508*Deflactores!$R$5</f>
        <v>5858.1539921907961</v>
      </c>
      <c r="V151" s="57">
        <f>3912.23873500985*Deflactores!$S$5</f>
        <v>6316.1051332544675</v>
      </c>
    </row>
    <row r="152" spans="3:22" x14ac:dyDescent="0.2">
      <c r="C152" s="87" t="s">
        <v>145</v>
      </c>
      <c r="D152" s="56">
        <f>185.343321357329*Deflactores!$A$5</f>
        <v>691.6856272949384</v>
      </c>
      <c r="E152" s="56">
        <f>137.18875462474*Deflactores!$B$5</f>
        <v>475.60140822646184</v>
      </c>
      <c r="F152" s="56">
        <f>195.71264788576*Deflactores!$C$5</f>
        <v>634.15125008212749</v>
      </c>
      <c r="G152" s="56">
        <f>240.290428760269*Deflactores!$D$5</f>
        <v>731.13243657195324</v>
      </c>
      <c r="H152" s="56">
        <f>130.76368663002*Deflactores!$E$5</f>
        <v>377.14356016739737</v>
      </c>
      <c r="I152" s="56">
        <f>143.58627310984*Deflactores!$F$5</f>
        <v>394.95046886402935</v>
      </c>
      <c r="J152" s="56">
        <f>399.54435852686*Deflactores!$G$5</f>
        <v>1051.8893975872058</v>
      </c>
      <c r="K152" s="56">
        <f>337.63036568637*Deflactores!$H$5</f>
        <v>840.99680257996363</v>
      </c>
      <c r="L152" s="56">
        <f>258.84513221658*Deflactores!$I$5</f>
        <v>598.79822275792105</v>
      </c>
      <c r="M152" s="56">
        <f>308.842359788199*Deflactores!$J$5</f>
        <v>700.43766710122679</v>
      </c>
      <c r="N152" s="56">
        <f>661.41322131935*Deflactores!$K$5</f>
        <v>1453.9414814522377</v>
      </c>
      <c r="O152" s="56">
        <f>524.87450936606*Deflactores!$L$5</f>
        <v>1112.3437980612869</v>
      </c>
      <c r="P152" s="56">
        <f>381.16079132079*Deflactores!$M$5</f>
        <v>788.53723583782676</v>
      </c>
      <c r="Q152" s="56">
        <f>509.38016871281*Deflactores!$N$5</f>
        <v>1033.7401630987986</v>
      </c>
      <c r="R152" s="56">
        <f>1049.67831011722*Deflactores!$O$5</f>
        <v>2055.0120641748545</v>
      </c>
      <c r="S152" s="56">
        <f>798.83197147*Deflactores!$P$5</f>
        <v>1464.7528374464255</v>
      </c>
      <c r="T152" s="56">
        <f>683.51093964477*Deflactores!$Q$5</f>
        <v>1185.1518631231668</v>
      </c>
      <c r="U152" s="56">
        <f>716.02464274794*Deflactores!$R$5</f>
        <v>1192.7446972869857</v>
      </c>
      <c r="V152" s="56">
        <f>1756.92144828711*Deflactores!$S$5</f>
        <v>2836.4579285377254</v>
      </c>
    </row>
    <row r="153" spans="3:22" x14ac:dyDescent="0.2">
      <c r="C153" s="88" t="s">
        <v>146</v>
      </c>
      <c r="D153" s="57">
        <f>192.827962196889*Deflactores!$A$5</f>
        <v>719.61767500119186</v>
      </c>
      <c r="E153" s="57">
        <f>200.80368685649*Deflactores!$B$5</f>
        <v>696.1395378742626</v>
      </c>
      <c r="F153" s="57">
        <f>216.85042737683*Deflactores!$C$5</f>
        <v>702.64222106958675</v>
      </c>
      <c r="G153" s="57">
        <f>212.91087961598*Deflactores!$D$5</f>
        <v>647.82459704881921</v>
      </c>
      <c r="H153" s="57">
        <f>211.562227982589*Deflactores!$E$5</f>
        <v>610.17958360301077</v>
      </c>
      <c r="I153" s="57">
        <f>256.23959066047*Deflactores!$F$5</f>
        <v>704.81630507578234</v>
      </c>
      <c r="J153" s="57">
        <f>259.52755329722*Deflactores!$G$5</f>
        <v>683.2640127910646</v>
      </c>
      <c r="K153" s="57">
        <f>253.7612872879*Deflactores!$H$5</f>
        <v>632.08897337729843</v>
      </c>
      <c r="L153" s="57">
        <f>252.9760003695*Deflactores!$I$5</f>
        <v>585.22089298908134</v>
      </c>
      <c r="M153" s="57">
        <f>273.022479218949*Deflactores!$J$5</f>
        <v>619.20012702098575</v>
      </c>
      <c r="N153" s="57">
        <f>311.50715707957*Deflactores!$K$5</f>
        <v>684.76583601367861</v>
      </c>
      <c r="O153" s="57">
        <f>351.59212960048*Deflactores!$L$5</f>
        <v>745.11396120305346</v>
      </c>
      <c r="P153" s="57">
        <f>547.777687394393*Deflactores!$M$5</f>
        <v>1133.2306819252108</v>
      </c>
      <c r="Q153" s="57">
        <f>569.976886000631*Deflactores!$N$5</f>
        <v>1156.7156228043789</v>
      </c>
      <c r="R153" s="57">
        <f>597.072924218361*Deflactores!$O$5</f>
        <v>1168.9219931808152</v>
      </c>
      <c r="S153" s="57">
        <f>759.507740521363*Deflactores!$P$5</f>
        <v>1392.6472120839112</v>
      </c>
      <c r="T153" s="57">
        <f>915.771240339807*Deflactores!$Q$5</f>
        <v>1587.8721593649921</v>
      </c>
      <c r="U153" s="57">
        <f>838.489985261667*Deflactores!$R$5</f>
        <v>1396.7458994301119</v>
      </c>
      <c r="V153" s="57">
        <f>758.362631127235*Deflactores!$S$5</f>
        <v>1224.3368648409012</v>
      </c>
    </row>
    <row r="154" spans="3:22" x14ac:dyDescent="0.2">
      <c r="C154" s="90" t="s">
        <v>147</v>
      </c>
      <c r="D154" s="58">
        <f>4117.30805126345*Deflactores!$A$5</f>
        <v>15365.446034681445</v>
      </c>
      <c r="E154" s="58">
        <f>5092.13265230786*Deflactores!$B$5</f>
        <v>17653.235988169145</v>
      </c>
      <c r="F154" s="58">
        <f>6330.51199668525*Deflactores!$C$5</f>
        <v>20512.226162824045</v>
      </c>
      <c r="G154" s="58">
        <f>7073.87906995174*Deflactores!$D$5</f>
        <v>21523.713895358935</v>
      </c>
      <c r="H154" s="58">
        <f>8775.76324771565*Deflactores!$E$5</f>
        <v>25310.716451381031</v>
      </c>
      <c r="I154" s="58">
        <f>11696.0260211394*Deflactores!$F$5</f>
        <v>32171.2574666605</v>
      </c>
      <c r="J154" s="58">
        <f>13198.984815996*Deflactores!$G$5</f>
        <v>34749.263481159491</v>
      </c>
      <c r="K154" s="58">
        <f>14698.1113975922*Deflactores!$H$5</f>
        <v>36611.235083107254</v>
      </c>
      <c r="L154" s="58">
        <f>17085.017086885*Deflactores!$I$5</f>
        <v>39523.547457927241</v>
      </c>
      <c r="M154" s="58">
        <f>19106.1818402009*Deflactores!$J$5</f>
        <v>43331.78079762069</v>
      </c>
      <c r="N154" s="58">
        <f>19755.1934114014*Deflactores!$K$5</f>
        <v>43426.551283105007</v>
      </c>
      <c r="O154" s="58">
        <f>20620.0098726586*Deflactores!$L$5</f>
        <v>43699.093189945357</v>
      </c>
      <c r="P154" s="58">
        <f>23225.1544675611*Deflactores!$M$5</f>
        <v>48047.699350964882</v>
      </c>
      <c r="Q154" s="58">
        <f>23420.6451422444*Deflactores!$N$5</f>
        <v>47530.043406289267</v>
      </c>
      <c r="R154" s="58">
        <f>26894.2529446699*Deflactores!$O$5</f>
        <v>52652.335220773355</v>
      </c>
      <c r="S154" s="58">
        <f>23981.3772554261*Deflactores!$P$5</f>
        <v>43972.689671043961</v>
      </c>
      <c r="T154" s="58">
        <f>25803.9908725816*Deflactores!$Q$5</f>
        <v>44742.002043957</v>
      </c>
      <c r="U154" s="58">
        <f>32684.3842491535*Deflactores!$R$5</f>
        <v>54445.229493297731</v>
      </c>
      <c r="V154" s="58">
        <f>41149.5322399837*Deflactores!$S$5</f>
        <v>66433.770895969341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0.150079299*Deflactores!$R$5</f>
        <v>0.25000017788188478</v>
      </c>
      <c r="V155" s="59">
        <f>108.237900364679*Deflactores!$S$5</f>
        <v>174.74443775331451</v>
      </c>
    </row>
    <row r="156" spans="3:22" x14ac:dyDescent="0.2">
      <c r="C156" s="90" t="s">
        <v>149</v>
      </c>
      <c r="D156" s="56">
        <f>99.32323639877*Deflactores!$A$5</f>
        <v>370.66593266124227</v>
      </c>
      <c r="E156" s="56">
        <f>84.49515585203*Deflactores!$B$5</f>
        <v>292.92499389955736</v>
      </c>
      <c r="F156" s="56">
        <f>91.1241443004899*Deflactores!$C$5</f>
        <v>295.2619089521009</v>
      </c>
      <c r="G156" s="56">
        <f>121.4433190052*Deflactores!$D$5</f>
        <v>369.51596527484367</v>
      </c>
      <c r="H156" s="56">
        <f>103.65489479229*Deflactores!$E$5</f>
        <v>298.95743274162601</v>
      </c>
      <c r="I156" s="56">
        <f>41.32341012656*Deflactores!$F$5</f>
        <v>113.66476649241054</v>
      </c>
      <c r="J156" s="56">
        <f>124.029877516739*Deflactores!$G$5</f>
        <v>326.53624149501474</v>
      </c>
      <c r="K156" s="56">
        <f>134.77384859592*Deflactores!$H$5</f>
        <v>335.70551484652941</v>
      </c>
      <c r="L156" s="56">
        <f>187.59631094177*Deflactores!$I$5</f>
        <v>433.97508242064947</v>
      </c>
      <c r="M156" s="56">
        <f>223.249999110389*Deflactores!$J$5</f>
        <v>506.31885038202228</v>
      </c>
      <c r="N156" s="56">
        <f>355.11426370292*Deflactores!$K$5</f>
        <v>780.62449012302352</v>
      </c>
      <c r="O156" s="56">
        <f>385.35488532156*Deflactores!$L$5</f>
        <v>816.66590602346628</v>
      </c>
      <c r="P156" s="56">
        <f>617.73594735805*Deflactores!$M$5</f>
        <v>1277.9588234127198</v>
      </c>
      <c r="Q156" s="56">
        <f>326.3019466606*Deflactores!$N$5</f>
        <v>662.19976410302934</v>
      </c>
      <c r="R156" s="56">
        <f>410.82271500473*Deflactores!$O$5</f>
        <v>804.28987379715352</v>
      </c>
      <c r="S156" s="56">
        <f>430.10858991997*Deflactores!$P$5</f>
        <v>788.65493620145719</v>
      </c>
      <c r="T156" s="56">
        <f>173.9817918508*Deflactores!$Q$5</f>
        <v>301.67014571653363</v>
      </c>
      <c r="U156" s="56">
        <f>187.57856316011*Deflactores!$R$5</f>
        <v>312.46597278453345</v>
      </c>
      <c r="V156" s="56">
        <f>283.00853759891*Deflactores!$S$5</f>
        <v>456.90250471864795</v>
      </c>
    </row>
    <row r="157" spans="3:22" x14ac:dyDescent="0.2">
      <c r="C157" s="88" t="s">
        <v>150</v>
      </c>
      <c r="D157" s="57">
        <f>274.242174973859*Deflactores!$A$5</f>
        <v>1023.4486435139146</v>
      </c>
      <c r="E157" s="57">
        <f>297.41448586057*Deflactores!$B$5</f>
        <v>1031.066640186029</v>
      </c>
      <c r="F157" s="57">
        <f>274.09597097826*Deflactores!$C$5</f>
        <v>888.13014649823822</v>
      </c>
      <c r="G157" s="57">
        <f>282.53133291007*Deflactores!$D$5</f>
        <v>859.65896729306701</v>
      </c>
      <c r="H157" s="57">
        <f>341.544851682949*Deflactores!$E$5</f>
        <v>985.0704323212409</v>
      </c>
      <c r="I157" s="57">
        <f>319.62309670146*Deflactores!$F$5</f>
        <v>879.15988881087321</v>
      </c>
      <c r="J157" s="57">
        <f>309.488624895159*Deflactores!$G$5</f>
        <v>814.79764700313251</v>
      </c>
      <c r="K157" s="57">
        <f>318.99820570742*Deflactores!$H$5</f>
        <v>794.58632366583959</v>
      </c>
      <c r="L157" s="57">
        <f>310.7924340114*Deflactores!$I$5</f>
        <v>718.97027979232075</v>
      </c>
      <c r="M157" s="57">
        <f>410.336003610079*Deflactores!$J$5</f>
        <v>930.61972876191737</v>
      </c>
      <c r="N157" s="57">
        <f>479.390593916239*Deflactores!$K$5</f>
        <v>1053.8130292020719</v>
      </c>
      <c r="O157" s="57">
        <f>366.66421317663*Deflactores!$L$5</f>
        <v>777.0555746566024</v>
      </c>
      <c r="P157" s="57">
        <f>587.500257819767*Deflactores!$M$5</f>
        <v>1215.4078800967723</v>
      </c>
      <c r="Q157" s="57">
        <f>540.67021179017*Deflactores!$N$5</f>
        <v>1097.2404252230494</v>
      </c>
      <c r="R157" s="57">
        <f>574.1075176449*Deflactores!$O$5</f>
        <v>1123.9613732344312</v>
      </c>
      <c r="S157" s="57">
        <f>584.233075784699*Deflactores!$P$5</f>
        <v>1071.26039774164</v>
      </c>
      <c r="T157" s="57">
        <f>668.39278437799*Deflactores!$Q$5</f>
        <v>1158.9382228693305</v>
      </c>
      <c r="U157" s="57">
        <f>850.643225417159*Deflactores!$R$5</f>
        <v>1416.9906115320405</v>
      </c>
      <c r="V157" s="57">
        <f>862.248005660099*Deflactores!$S$5</f>
        <v>1392.0543769357846</v>
      </c>
    </row>
    <row r="158" spans="3:22" x14ac:dyDescent="0.2">
      <c r="C158" s="87" t="s">
        <v>151</v>
      </c>
      <c r="D158" s="56">
        <f>40.51596496101*Deflactores!$A$5</f>
        <v>151.20216058655294</v>
      </c>
      <c r="E158" s="56">
        <f>35.1102267495*Deflactores!$B$5</f>
        <v>121.71896545667208</v>
      </c>
      <c r="F158" s="56">
        <f>23.47416900016*Deflactores!$C$5</f>
        <v>76.061377621234996</v>
      </c>
      <c r="G158" s="56">
        <f>22.8757458436599*Deflactores!$D$5</f>
        <v>69.604103181995882</v>
      </c>
      <c r="H158" s="56">
        <f>21.1658782174*Deflactores!$E$5</f>
        <v>61.045806146208839</v>
      </c>
      <c r="I158" s="56">
        <f>15.91946775644*Deflactores!$F$5</f>
        <v>43.788317074446709</v>
      </c>
      <c r="J158" s="56">
        <f>24.03546936661*Deflactores!$G$5</f>
        <v>63.278719504356275</v>
      </c>
      <c r="K158" s="56">
        <f>26.3765574402599*Deflactores!$H$5</f>
        <v>65.700845435600073</v>
      </c>
      <c r="L158" s="56">
        <f>8.44150337384*Deflactores!$I$5</f>
        <v>19.528113874017098</v>
      </c>
      <c r="M158" s="56">
        <f>6.964427172*Deflactores!$J$5</f>
        <v>15.794941873897926</v>
      </c>
      <c r="N158" s="56">
        <f>8.90393254072999*Deflactores!$K$5</f>
        <v>19.572933306649357</v>
      </c>
      <c r="O158" s="56">
        <f>322.950475881969*Deflactores!$L$5</f>
        <v>684.41494589273816</v>
      </c>
      <c r="P158" s="56">
        <f>1353.55427615768*Deflactores!$M$5</f>
        <v>2800.2039343537044</v>
      </c>
      <c r="Q158" s="56">
        <f>1461.5972508773*Deflactores!$N$5</f>
        <v>2966.177078162837</v>
      </c>
      <c r="R158" s="56">
        <f>1516.99246693318*Deflactores!$O$5</f>
        <v>2969.8982924224924</v>
      </c>
      <c r="S158" s="56">
        <f>1588.44879393395*Deflactores!$P$5</f>
        <v>2912.6086100078983</v>
      </c>
      <c r="T158" s="56">
        <f>1748.39326824629*Deflactores!$Q$5</f>
        <v>3031.5704097011208</v>
      </c>
      <c r="U158" s="56">
        <f>1945.34180877998*Deflactores!$R$5</f>
        <v>3240.5255186863747</v>
      </c>
      <c r="V158" s="56">
        <f>1959.86339763276*Deflactores!$S$5</f>
        <v>3164.0971077483723</v>
      </c>
    </row>
    <row r="159" spans="3:22" x14ac:dyDescent="0.2">
      <c r="C159" s="79" t="s">
        <v>179</v>
      </c>
      <c r="D159" s="44">
        <f t="shared" ref="D159:V159" si="32">+SUM(D130:D158)</f>
        <v>91772.625891566582</v>
      </c>
      <c r="E159" s="44">
        <f t="shared" si="32"/>
        <v>97063.318208243028</v>
      </c>
      <c r="F159" s="44">
        <f t="shared" si="32"/>
        <v>99958.561164107028</v>
      </c>
      <c r="G159" s="44">
        <f t="shared" si="32"/>
        <v>100142.45286736824</v>
      </c>
      <c r="H159" s="44">
        <f t="shared" si="32"/>
        <v>116606.76873935222</v>
      </c>
      <c r="I159" s="44">
        <f t="shared" si="32"/>
        <v>127642.1100282405</v>
      </c>
      <c r="J159" s="44">
        <f t="shared" si="32"/>
        <v>128536.16473722905</v>
      </c>
      <c r="K159" s="44">
        <f t="shared" si="32"/>
        <v>134836.07495387981</v>
      </c>
      <c r="L159" s="44">
        <f t="shared" si="32"/>
        <v>142847.74989417993</v>
      </c>
      <c r="M159" s="44">
        <f t="shared" si="32"/>
        <v>155942.70522645261</v>
      </c>
      <c r="N159" s="44">
        <f t="shared" si="32"/>
        <v>168510.81639546662</v>
      </c>
      <c r="O159" s="44">
        <f t="shared" si="32"/>
        <v>171719.20178657473</v>
      </c>
      <c r="P159" s="44">
        <f t="shared" si="32"/>
        <v>182224.07928337538</v>
      </c>
      <c r="Q159" s="44">
        <f t="shared" si="32"/>
        <v>196939.79561040286</v>
      </c>
      <c r="R159" s="44">
        <f t="shared" si="32"/>
        <v>204759.05615296715</v>
      </c>
      <c r="S159" s="44">
        <f t="shared" si="32"/>
        <v>198882.88552925171</v>
      </c>
      <c r="T159" s="44">
        <f t="shared" si="32"/>
        <v>201761.43189592901</v>
      </c>
      <c r="U159" s="44">
        <f t="shared" si="32"/>
        <v>222073.45104339678</v>
      </c>
      <c r="V159" s="44">
        <f t="shared" si="32"/>
        <v>222622.26295769992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C164" s="9"/>
      <c r="D164" s="164" t="s">
        <v>183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ht="2.25" customHeight="1" x14ac:dyDescent="0.2">
      <c r="H165" s="27"/>
      <c r="I165" s="27"/>
      <c r="J165" s="27"/>
      <c r="L165" s="179"/>
      <c r="M165" s="160"/>
      <c r="N165" s="160"/>
      <c r="O165" s="160"/>
      <c r="P165" s="160"/>
      <c r="Q165" s="160"/>
      <c r="R165" s="28"/>
      <c r="S165" s="28"/>
      <c r="T165" s="28"/>
      <c r="U165" s="28"/>
      <c r="V165" s="2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1" t="s">
        <v>120</v>
      </c>
      <c r="D167" s="155">
        <v>2000</v>
      </c>
      <c r="E167" s="155">
        <v>2001</v>
      </c>
      <c r="F167" s="155">
        <v>2002</v>
      </c>
      <c r="G167" s="155">
        <v>2003</v>
      </c>
      <c r="H167" s="155">
        <v>2004</v>
      </c>
      <c r="I167" s="155">
        <v>2005</v>
      </c>
      <c r="J167" s="155">
        <v>2006</v>
      </c>
      <c r="K167" s="155">
        <v>2007</v>
      </c>
      <c r="L167" s="155">
        <v>2008</v>
      </c>
      <c r="M167" s="155">
        <v>2009</v>
      </c>
      <c r="N167" s="155">
        <v>2010</v>
      </c>
      <c r="O167" s="155">
        <v>2011</v>
      </c>
      <c r="P167" s="155">
        <v>2012</v>
      </c>
      <c r="Q167" s="155">
        <v>2013</v>
      </c>
      <c r="R167" s="155">
        <v>2014</v>
      </c>
      <c r="S167" s="155">
        <v>2015</v>
      </c>
      <c r="T167" s="155">
        <v>2016</v>
      </c>
      <c r="U167" s="155">
        <v>2017</v>
      </c>
      <c r="V167" s="155">
        <v>2018</v>
      </c>
    </row>
    <row r="168" spans="2:22" ht="12" customHeight="1" thickBot="1" x14ac:dyDescent="0.25">
      <c r="C168" s="162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</row>
    <row r="169" spans="2:22" x14ac:dyDescent="0.2">
      <c r="C169" s="87" t="s">
        <v>123</v>
      </c>
      <c r="D169" s="60">
        <f t="shared" ref="D169:V169" si="33">+IFERROR(IF(D130&gt;0,+((D130/D13)*100)," "),"")</f>
        <v>92.571933987807142</v>
      </c>
      <c r="E169" s="60">
        <f t="shared" si="33"/>
        <v>92.360426729861089</v>
      </c>
      <c r="F169" s="60">
        <f t="shared" si="33"/>
        <v>95.716834371573327</v>
      </c>
      <c r="G169" s="60">
        <f t="shared" si="33"/>
        <v>88.816507380005277</v>
      </c>
      <c r="H169" s="60">
        <f t="shared" si="33"/>
        <v>85.119257441066779</v>
      </c>
      <c r="I169" s="60">
        <f t="shared" si="33"/>
        <v>84.841981600949467</v>
      </c>
      <c r="J169" s="60">
        <f t="shared" si="33"/>
        <v>81.679296772984088</v>
      </c>
      <c r="K169" s="60">
        <f t="shared" si="33"/>
        <v>93.722377531982843</v>
      </c>
      <c r="L169" s="60">
        <f t="shared" si="33"/>
        <v>99.10183978158625</v>
      </c>
      <c r="M169" s="60">
        <f t="shared" si="33"/>
        <v>95.353044647991041</v>
      </c>
      <c r="N169" s="60">
        <f t="shared" si="33"/>
        <v>93.328077077988553</v>
      </c>
      <c r="O169" s="60">
        <f t="shared" si="33"/>
        <v>95.955613291388119</v>
      </c>
      <c r="P169" s="60">
        <f t="shared" si="33"/>
        <v>88.158105816388556</v>
      </c>
      <c r="Q169" s="60">
        <f t="shared" si="33"/>
        <v>96.075820339535539</v>
      </c>
      <c r="R169" s="60">
        <f t="shared" si="33"/>
        <v>88.269024828802799</v>
      </c>
      <c r="S169" s="60">
        <f t="shared" si="33"/>
        <v>95.005851795591084</v>
      </c>
      <c r="T169" s="60">
        <f t="shared" si="33"/>
        <v>93.46868386390021</v>
      </c>
      <c r="U169" s="60">
        <f t="shared" si="33"/>
        <v>96.321287829064218</v>
      </c>
      <c r="V169" s="60">
        <f t="shared" si="33"/>
        <v>79.104424505438175</v>
      </c>
    </row>
    <row r="170" spans="2:22" x14ac:dyDescent="0.2">
      <c r="C170" s="88" t="s">
        <v>124</v>
      </c>
      <c r="D170" s="62">
        <f t="shared" ref="D170:V170" si="34">+IFERROR(IF(D131&gt;0,+((D131/D14)*100)," "),"")</f>
        <v>89.564677008008985</v>
      </c>
      <c r="E170" s="62">
        <f t="shared" si="34"/>
        <v>90.020823457112215</v>
      </c>
      <c r="F170" s="62">
        <f t="shared" si="34"/>
        <v>89.200772318754062</v>
      </c>
      <c r="G170" s="62">
        <f t="shared" si="34"/>
        <v>86.531256937794211</v>
      </c>
      <c r="H170" s="62">
        <f t="shared" si="34"/>
        <v>91.422575330384362</v>
      </c>
      <c r="I170" s="62">
        <f t="shared" si="34"/>
        <v>91.585991052628941</v>
      </c>
      <c r="J170" s="62">
        <f t="shared" si="34"/>
        <v>90.511810487497073</v>
      </c>
      <c r="K170" s="62">
        <f t="shared" si="34"/>
        <v>91.157361524882575</v>
      </c>
      <c r="L170" s="62">
        <f t="shared" si="34"/>
        <v>99.258883826059431</v>
      </c>
      <c r="M170" s="62">
        <f t="shared" si="34"/>
        <v>99.342684760167941</v>
      </c>
      <c r="N170" s="62">
        <f t="shared" si="34"/>
        <v>96.696074782046509</v>
      </c>
      <c r="O170" s="62">
        <f t="shared" si="34"/>
        <v>98.612124260741766</v>
      </c>
      <c r="P170" s="62">
        <f t="shared" si="34"/>
        <v>84.269427558561588</v>
      </c>
      <c r="Q170" s="62">
        <f t="shared" si="34"/>
        <v>86.717820191705911</v>
      </c>
      <c r="R170" s="62">
        <f t="shared" si="34"/>
        <v>92.971446769806604</v>
      </c>
      <c r="S170" s="62">
        <f t="shared" si="34"/>
        <v>91.553020619726894</v>
      </c>
      <c r="T170" s="62">
        <f t="shared" si="34"/>
        <v>94.875530287171344</v>
      </c>
      <c r="U170" s="62">
        <f t="shared" si="34"/>
        <v>96.25331429737119</v>
      </c>
      <c r="V170" s="62">
        <f t="shared" si="34"/>
        <v>95.596736741891775</v>
      </c>
    </row>
    <row r="171" spans="2:22" x14ac:dyDescent="0.2">
      <c r="C171" s="87" t="s">
        <v>125</v>
      </c>
      <c r="D171" s="60">
        <f t="shared" ref="D171:V171" si="35">+IFERROR(IF(D132&gt;0,+((D132/D15)*100)," "),"")</f>
        <v>92.619805029499375</v>
      </c>
      <c r="E171" s="60">
        <f t="shared" si="35"/>
        <v>82.890223804266711</v>
      </c>
      <c r="F171" s="60">
        <f t="shared" si="35"/>
        <v>94.694404033766872</v>
      </c>
      <c r="G171" s="60">
        <f t="shared" si="35"/>
        <v>91.719820870516216</v>
      </c>
      <c r="H171" s="60">
        <f t="shared" si="35"/>
        <v>85.239266715310734</v>
      </c>
      <c r="I171" s="60">
        <f t="shared" si="35"/>
        <v>88.374941092352643</v>
      </c>
      <c r="J171" s="60">
        <f t="shared" si="35"/>
        <v>85.872790350967605</v>
      </c>
      <c r="K171" s="60">
        <f t="shared" si="35"/>
        <v>78.70233981643338</v>
      </c>
      <c r="L171" s="60">
        <f t="shared" si="35"/>
        <v>93.923635916967953</v>
      </c>
      <c r="M171" s="60">
        <f t="shared" si="35"/>
        <v>31.462723460639701</v>
      </c>
      <c r="N171" s="60">
        <f t="shared" si="35"/>
        <v>94.493413434310384</v>
      </c>
      <c r="O171" s="60">
        <f t="shared" si="35"/>
        <v>88.219651295250813</v>
      </c>
      <c r="P171" s="60">
        <f t="shared" si="35"/>
        <v>72.392727882760028</v>
      </c>
      <c r="Q171" s="60">
        <f t="shared" si="35"/>
        <v>91.796487805650102</v>
      </c>
      <c r="R171" s="60">
        <f t="shared" si="35"/>
        <v>91.561598119639669</v>
      </c>
      <c r="S171" s="60">
        <f t="shared" si="35"/>
        <v>93.188827062022</v>
      </c>
      <c r="T171" s="60">
        <f t="shared" si="35"/>
        <v>93.71799167204955</v>
      </c>
      <c r="U171" s="60">
        <f t="shared" si="35"/>
        <v>94.687759219496641</v>
      </c>
      <c r="V171" s="60">
        <f t="shared" si="35"/>
        <v>92.616957482539135</v>
      </c>
    </row>
    <row r="172" spans="2:22" x14ac:dyDescent="0.2">
      <c r="C172" s="88" t="s">
        <v>126</v>
      </c>
      <c r="D172" s="62">
        <f t="shared" ref="D172:V172" si="36">+IFERROR(IF(D133&gt;0,+((D133/D16)*100)," "),"")</f>
        <v>92.375516080694737</v>
      </c>
      <c r="E172" s="62">
        <f t="shared" si="36"/>
        <v>90.98934592793097</v>
      </c>
      <c r="F172" s="62">
        <f t="shared" si="36"/>
        <v>91.122472531444629</v>
      </c>
      <c r="G172" s="62">
        <f t="shared" si="36"/>
        <v>87.737762436483706</v>
      </c>
      <c r="H172" s="62">
        <f t="shared" si="36"/>
        <v>93.737409542754506</v>
      </c>
      <c r="I172" s="62">
        <f t="shared" si="36"/>
        <v>93.243854389875963</v>
      </c>
      <c r="J172" s="62">
        <f t="shared" si="36"/>
        <v>94.76096730764084</v>
      </c>
      <c r="K172" s="62">
        <f t="shared" si="36"/>
        <v>90.263031371586933</v>
      </c>
      <c r="L172" s="62">
        <f t="shared" si="36"/>
        <v>91.037307680570294</v>
      </c>
      <c r="M172" s="62">
        <f t="shared" si="36"/>
        <v>93.824088801264409</v>
      </c>
      <c r="N172" s="62">
        <f t="shared" si="36"/>
        <v>91.267447345786962</v>
      </c>
      <c r="O172" s="62">
        <f t="shared" si="36"/>
        <v>89.361285367588522</v>
      </c>
      <c r="P172" s="62">
        <f t="shared" si="36"/>
        <v>93.432448612358613</v>
      </c>
      <c r="Q172" s="62">
        <f t="shared" si="36"/>
        <v>95.272435308435547</v>
      </c>
      <c r="R172" s="62">
        <f t="shared" si="36"/>
        <v>91.032755643866508</v>
      </c>
      <c r="S172" s="62">
        <f t="shared" si="36"/>
        <v>95.16171853543996</v>
      </c>
      <c r="T172" s="62">
        <f t="shared" si="36"/>
        <v>96.279268018908823</v>
      </c>
      <c r="U172" s="62">
        <f t="shared" si="36"/>
        <v>98.22959751568149</v>
      </c>
      <c r="V172" s="62">
        <f t="shared" si="36"/>
        <v>95.442844862014738</v>
      </c>
    </row>
    <row r="173" spans="2:22" x14ac:dyDescent="0.2">
      <c r="C173" s="87" t="s">
        <v>127</v>
      </c>
      <c r="D173" s="60">
        <f t="shared" ref="D173:V173" si="37">+IFERROR(IF(D134&gt;0,+((D134/D17)*100)," "),"")</f>
        <v>86.625023337689768</v>
      </c>
      <c r="E173" s="60">
        <f t="shared" si="37"/>
        <v>91.019437535437149</v>
      </c>
      <c r="F173" s="60">
        <f t="shared" si="37"/>
        <v>94.643452652291018</v>
      </c>
      <c r="G173" s="60">
        <f t="shared" si="37"/>
        <v>95.09905587444932</v>
      </c>
      <c r="H173" s="60">
        <f t="shared" si="37"/>
        <v>93.497565104521968</v>
      </c>
      <c r="I173" s="60">
        <f t="shared" si="37"/>
        <v>95.306387881107796</v>
      </c>
      <c r="J173" s="60">
        <f t="shared" si="37"/>
        <v>94.625474707542352</v>
      </c>
      <c r="K173" s="60">
        <f t="shared" si="37"/>
        <v>97.282285884965816</v>
      </c>
      <c r="L173" s="60">
        <f t="shared" si="37"/>
        <v>96.073941733529963</v>
      </c>
      <c r="M173" s="60">
        <f t="shared" si="37"/>
        <v>97.557452203060251</v>
      </c>
      <c r="N173" s="60">
        <f t="shared" si="37"/>
        <v>97.273390026468135</v>
      </c>
      <c r="O173" s="60">
        <f t="shared" si="37"/>
        <v>98.035207499081295</v>
      </c>
      <c r="P173" s="60">
        <f t="shared" si="37"/>
        <v>96.074384676546543</v>
      </c>
      <c r="Q173" s="60">
        <f t="shared" si="37"/>
        <v>95.468510495440867</v>
      </c>
      <c r="R173" s="60">
        <f t="shared" si="37"/>
        <v>97.214232843397411</v>
      </c>
      <c r="S173" s="60">
        <f t="shared" si="37"/>
        <v>98.108735614452684</v>
      </c>
      <c r="T173" s="60">
        <f t="shared" si="37"/>
        <v>97.193027758519278</v>
      </c>
      <c r="U173" s="60">
        <f t="shared" si="37"/>
        <v>98.85492464884662</v>
      </c>
      <c r="V173" s="60">
        <f t="shared" si="37"/>
        <v>95.996263344162529</v>
      </c>
    </row>
    <row r="174" spans="2:22" x14ac:dyDescent="0.2">
      <c r="C174" s="88" t="s">
        <v>128</v>
      </c>
      <c r="D174" s="62">
        <f t="shared" ref="D174:V174" si="38">+IFERROR(IF(D135&gt;0,+((D135/D18)*100)," "),"")</f>
        <v>94.160748545203234</v>
      </c>
      <c r="E174" s="62">
        <f t="shared" si="38"/>
        <v>92.716140388448608</v>
      </c>
      <c r="F174" s="62">
        <f t="shared" si="38"/>
        <v>81.225527716192829</v>
      </c>
      <c r="G174" s="62">
        <f t="shared" si="38"/>
        <v>89.009014506879495</v>
      </c>
      <c r="H174" s="62">
        <f t="shared" si="38"/>
        <v>88.502100159624248</v>
      </c>
      <c r="I174" s="62">
        <f t="shared" si="38"/>
        <v>85.117902992911411</v>
      </c>
      <c r="J174" s="62">
        <f t="shared" si="38"/>
        <v>90.450476185425259</v>
      </c>
      <c r="K174" s="62">
        <f t="shared" si="38"/>
        <v>93.866990259470825</v>
      </c>
      <c r="L174" s="62">
        <f t="shared" si="38"/>
        <v>92.105197908712213</v>
      </c>
      <c r="M174" s="62">
        <f t="shared" si="38"/>
        <v>89.975034727672323</v>
      </c>
      <c r="N174" s="62">
        <f t="shared" si="38"/>
        <v>89.405126728605794</v>
      </c>
      <c r="O174" s="62">
        <f t="shared" si="38"/>
        <v>95.776571632954997</v>
      </c>
      <c r="P174" s="62">
        <f t="shared" si="38"/>
        <v>96.541789964976005</v>
      </c>
      <c r="Q174" s="62">
        <f t="shared" si="38"/>
        <v>94.173656834922738</v>
      </c>
      <c r="R174" s="62">
        <f t="shared" si="38"/>
        <v>98.82197975829385</v>
      </c>
      <c r="S174" s="62">
        <f t="shared" si="38"/>
        <v>98.536952424438496</v>
      </c>
      <c r="T174" s="62">
        <f t="shared" si="38"/>
        <v>99.466834165499478</v>
      </c>
      <c r="U174" s="62">
        <f t="shared" si="38"/>
        <v>98.439026496359418</v>
      </c>
      <c r="V174" s="62">
        <f t="shared" si="38"/>
        <v>96.790000367659999</v>
      </c>
    </row>
    <row r="175" spans="2:22" x14ac:dyDescent="0.2">
      <c r="C175" s="87" t="s">
        <v>129</v>
      </c>
      <c r="D175" s="60">
        <f t="shared" ref="D175:V175" si="39">+IFERROR(IF(D136&gt;0,+((D136/D19)*100)," "),"")</f>
        <v>95.472376132213242</v>
      </c>
      <c r="E175" s="60">
        <f t="shared" si="39"/>
        <v>93.371812709259999</v>
      </c>
      <c r="F175" s="60">
        <f t="shared" si="39"/>
        <v>93.516034451834557</v>
      </c>
      <c r="G175" s="60">
        <f t="shared" si="39"/>
        <v>91.817646782337334</v>
      </c>
      <c r="H175" s="60">
        <f t="shared" si="39"/>
        <v>91.740722553027538</v>
      </c>
      <c r="I175" s="60">
        <f t="shared" si="39"/>
        <v>91.381096522660485</v>
      </c>
      <c r="J175" s="60">
        <f t="shared" si="39"/>
        <v>92.110772927022609</v>
      </c>
      <c r="K175" s="60">
        <f t="shared" si="39"/>
        <v>97.09928736904844</v>
      </c>
      <c r="L175" s="60">
        <f t="shared" si="39"/>
        <v>98.199988758850793</v>
      </c>
      <c r="M175" s="60">
        <f t="shared" si="39"/>
        <v>96.815476158473828</v>
      </c>
      <c r="N175" s="60">
        <f t="shared" si="39"/>
        <v>96.701788681754124</v>
      </c>
      <c r="O175" s="60">
        <f t="shared" si="39"/>
        <v>96.526102918197083</v>
      </c>
      <c r="P175" s="60">
        <f t="shared" si="39"/>
        <v>97.432958803525466</v>
      </c>
      <c r="Q175" s="60">
        <f t="shared" si="39"/>
        <v>97.734292547848128</v>
      </c>
      <c r="R175" s="60">
        <f t="shared" si="39"/>
        <v>98.085257809359277</v>
      </c>
      <c r="S175" s="60">
        <f t="shared" si="39"/>
        <v>97.422869518533474</v>
      </c>
      <c r="T175" s="60">
        <f t="shared" si="39"/>
        <v>98.620005649633995</v>
      </c>
      <c r="U175" s="60">
        <f t="shared" si="39"/>
        <v>99.044936658961561</v>
      </c>
      <c r="V175" s="60">
        <f t="shared" si="39"/>
        <v>96.174167831840478</v>
      </c>
    </row>
    <row r="176" spans="2:22" x14ac:dyDescent="0.2">
      <c r="C176" s="88" t="s">
        <v>130</v>
      </c>
      <c r="D176" s="62">
        <f t="shared" ref="D176:V176" si="40">+IFERROR(IF(D137&gt;0,+((D137/D20)*100)," "),"")</f>
        <v>98.166917498286807</v>
      </c>
      <c r="E176" s="62">
        <f t="shared" si="40"/>
        <v>97.627060234413889</v>
      </c>
      <c r="F176" s="62">
        <f t="shared" si="40"/>
        <v>93.776275418006961</v>
      </c>
      <c r="G176" s="62">
        <f t="shared" si="40"/>
        <v>92.414057224058212</v>
      </c>
      <c r="H176" s="62">
        <f t="shared" si="40"/>
        <v>94.1766027001065</v>
      </c>
      <c r="I176" s="62">
        <f t="shared" si="40"/>
        <v>96.771762848367047</v>
      </c>
      <c r="J176" s="62">
        <f t="shared" si="40"/>
        <v>96.189069640234308</v>
      </c>
      <c r="K176" s="62">
        <f t="shared" si="40"/>
        <v>95.923210293238668</v>
      </c>
      <c r="L176" s="62">
        <f t="shared" si="40"/>
        <v>95.658756087223523</v>
      </c>
      <c r="M176" s="62">
        <f t="shared" si="40"/>
        <v>96.206361333591161</v>
      </c>
      <c r="N176" s="62">
        <f t="shared" si="40"/>
        <v>93.05339569426387</v>
      </c>
      <c r="O176" s="62">
        <f t="shared" si="40"/>
        <v>87.739934036639937</v>
      </c>
      <c r="P176" s="62">
        <f t="shared" si="40"/>
        <v>83.008861389590805</v>
      </c>
      <c r="Q176" s="62">
        <f t="shared" si="40"/>
        <v>95.652975759898979</v>
      </c>
      <c r="R176" s="62">
        <f t="shared" si="40"/>
        <v>95.946207466355602</v>
      </c>
      <c r="S176" s="62">
        <f t="shared" si="40"/>
        <v>98.844783464505554</v>
      </c>
      <c r="T176" s="62">
        <f t="shared" si="40"/>
        <v>94.178231229924108</v>
      </c>
      <c r="U176" s="62">
        <f t="shared" si="40"/>
        <v>97.231008814948112</v>
      </c>
      <c r="V176" s="62">
        <f t="shared" si="40"/>
        <v>95.776017388130214</v>
      </c>
    </row>
    <row r="177" spans="3:22" x14ac:dyDescent="0.2">
      <c r="C177" s="87" t="s">
        <v>131</v>
      </c>
      <c r="D177" s="60">
        <f t="shared" ref="D177:V177" si="41">+IFERROR(IF(D138&gt;0,+((D138/D21)*100)," "),"")</f>
        <v>94.844680849813628</v>
      </c>
      <c r="E177" s="60">
        <f t="shared" si="41"/>
        <v>96.493397020869025</v>
      </c>
      <c r="F177" s="60">
        <f t="shared" si="41"/>
        <v>99.505968480597403</v>
      </c>
      <c r="G177" s="60">
        <f t="shared" si="41"/>
        <v>95.732104985158159</v>
      </c>
      <c r="H177" s="60">
        <f t="shared" si="41"/>
        <v>99.407440123194675</v>
      </c>
      <c r="I177" s="60">
        <f t="shared" si="41"/>
        <v>99.313304940837284</v>
      </c>
      <c r="J177" s="60">
        <f t="shared" si="41"/>
        <v>98.901384469593964</v>
      </c>
      <c r="K177" s="60">
        <f t="shared" si="41"/>
        <v>99.566541765586919</v>
      </c>
      <c r="L177" s="60">
        <f t="shared" si="41"/>
        <v>99.829652763151529</v>
      </c>
      <c r="M177" s="60">
        <f t="shared" si="41"/>
        <v>98.766157448563945</v>
      </c>
      <c r="N177" s="60">
        <f t="shared" si="41"/>
        <v>96.775697031487496</v>
      </c>
      <c r="O177" s="60">
        <f t="shared" si="41"/>
        <v>99.954051320421783</v>
      </c>
      <c r="P177" s="60">
        <f t="shared" si="41"/>
        <v>98.133072876711324</v>
      </c>
      <c r="Q177" s="60">
        <f t="shared" si="41"/>
        <v>99.85679267248419</v>
      </c>
      <c r="R177" s="60">
        <f t="shared" si="41"/>
        <v>99.950657215173862</v>
      </c>
      <c r="S177" s="60">
        <f t="shared" si="41"/>
        <v>99.942069813374246</v>
      </c>
      <c r="T177" s="60">
        <f t="shared" si="41"/>
        <v>99.143969959080863</v>
      </c>
      <c r="U177" s="60">
        <f t="shared" si="41"/>
        <v>99.94980724460558</v>
      </c>
      <c r="V177" s="60">
        <f t="shared" si="41"/>
        <v>99.657012370919588</v>
      </c>
    </row>
    <row r="178" spans="3:22" x14ac:dyDescent="0.2">
      <c r="C178" s="88" t="s">
        <v>132</v>
      </c>
      <c r="D178" s="62">
        <f t="shared" ref="D178:V178" si="42">+IFERROR(IF(D139&gt;0,+((D139/D22)*100)," "),"")</f>
        <v>86.072272593845284</v>
      </c>
      <c r="E178" s="62">
        <f t="shared" si="42"/>
        <v>87.828379684837401</v>
      </c>
      <c r="F178" s="62">
        <f t="shared" si="42"/>
        <v>84.887146105028251</v>
      </c>
      <c r="G178" s="62">
        <f t="shared" si="42"/>
        <v>84.789919635212371</v>
      </c>
      <c r="H178" s="62">
        <f t="shared" si="42"/>
        <v>81.181608476330183</v>
      </c>
      <c r="I178" s="62">
        <f t="shared" si="42"/>
        <v>89.069977873735482</v>
      </c>
      <c r="J178" s="62">
        <f t="shared" si="42"/>
        <v>72.117519858708874</v>
      </c>
      <c r="K178" s="62">
        <f t="shared" si="42"/>
        <v>55.108242150321374</v>
      </c>
      <c r="L178" s="62">
        <f t="shared" si="42"/>
        <v>60.982874359712625</v>
      </c>
      <c r="M178" s="62">
        <f t="shared" si="42"/>
        <v>42.382729339705335</v>
      </c>
      <c r="N178" s="62">
        <f t="shared" si="42"/>
        <v>66.90714160284152</v>
      </c>
      <c r="O178" s="62">
        <f t="shared" si="42"/>
        <v>64.157865508823164</v>
      </c>
      <c r="P178" s="62">
        <f t="shared" si="42"/>
        <v>69.828997016953437</v>
      </c>
      <c r="Q178" s="62">
        <f t="shared" si="42"/>
        <v>53.158516107416354</v>
      </c>
      <c r="R178" s="62">
        <f t="shared" si="42"/>
        <v>60.297945746066738</v>
      </c>
      <c r="S178" s="62">
        <f t="shared" si="42"/>
        <v>61.721027992478859</v>
      </c>
      <c r="T178" s="62">
        <f t="shared" si="42"/>
        <v>81.510980520650406</v>
      </c>
      <c r="U178" s="62">
        <f t="shared" si="42"/>
        <v>84.386019807232088</v>
      </c>
      <c r="V178" s="62">
        <f t="shared" si="42"/>
        <v>85.170887920853033</v>
      </c>
    </row>
    <row r="179" spans="3:22" x14ac:dyDescent="0.2">
      <c r="C179" s="87" t="s">
        <v>133</v>
      </c>
      <c r="D179" s="60">
        <f t="shared" ref="D179:V179" si="43">+IFERROR(IF(D140&gt;0,+((D140/D23)*100)," "),"")</f>
        <v>97.40538919209186</v>
      </c>
      <c r="E179" s="60">
        <f t="shared" si="43"/>
        <v>99.16958893831908</v>
      </c>
      <c r="F179" s="60">
        <f t="shared" si="43"/>
        <v>98.997943713064799</v>
      </c>
      <c r="G179" s="60">
        <f t="shared" si="43"/>
        <v>97.629768434448778</v>
      </c>
      <c r="H179" s="60">
        <f t="shared" si="43"/>
        <v>96.297030240443732</v>
      </c>
      <c r="I179" s="60">
        <f t="shared" si="43"/>
        <v>98.147494149225565</v>
      </c>
      <c r="J179" s="60">
        <f t="shared" si="43"/>
        <v>97.614592469455616</v>
      </c>
      <c r="K179" s="60">
        <f t="shared" si="43"/>
        <v>98.528835914298668</v>
      </c>
      <c r="L179" s="60">
        <f t="shared" si="43"/>
        <v>98.126884999350011</v>
      </c>
      <c r="M179" s="60">
        <f t="shared" si="43"/>
        <v>98.260002853003883</v>
      </c>
      <c r="N179" s="60">
        <f t="shared" si="43"/>
        <v>94.140204926159328</v>
      </c>
      <c r="O179" s="60">
        <f t="shared" si="43"/>
        <v>94.63053634865075</v>
      </c>
      <c r="P179" s="60">
        <f t="shared" si="43"/>
        <v>93.049754154460715</v>
      </c>
      <c r="Q179" s="60">
        <f t="shared" si="43"/>
        <v>95.626503019805469</v>
      </c>
      <c r="R179" s="60">
        <f t="shared" si="43"/>
        <v>91.489886225118894</v>
      </c>
      <c r="S179" s="60">
        <f t="shared" si="43"/>
        <v>91.437425807324615</v>
      </c>
      <c r="T179" s="60">
        <f t="shared" si="43"/>
        <v>96.529425682433441</v>
      </c>
      <c r="U179" s="60">
        <f t="shared" si="43"/>
        <v>99.249662867890436</v>
      </c>
      <c r="V179" s="60">
        <f t="shared" si="43"/>
        <v>93.0334525564339</v>
      </c>
    </row>
    <row r="180" spans="3:22" x14ac:dyDescent="0.2">
      <c r="C180" s="88" t="s">
        <v>134</v>
      </c>
      <c r="D180" s="62">
        <f t="shared" ref="D180:V180" si="44">+IFERROR(IF(D141&gt;0,+((D141/D24)*100)," "),"")</f>
        <v>88.111617659592966</v>
      </c>
      <c r="E180" s="62">
        <f t="shared" si="44"/>
        <v>90.335922270256603</v>
      </c>
      <c r="F180" s="62">
        <f t="shared" si="44"/>
        <v>81.527141868526229</v>
      </c>
      <c r="G180" s="62">
        <f t="shared" si="44"/>
        <v>86.017589271359668</v>
      </c>
      <c r="H180" s="62">
        <f t="shared" si="44"/>
        <v>86.100956635462282</v>
      </c>
      <c r="I180" s="62">
        <f t="shared" si="44"/>
        <v>91.361112676324055</v>
      </c>
      <c r="J180" s="62">
        <f t="shared" si="44"/>
        <v>92.288691319998279</v>
      </c>
      <c r="K180" s="62">
        <f t="shared" si="44"/>
        <v>83.332027403178003</v>
      </c>
      <c r="L180" s="62">
        <f t="shared" si="44"/>
        <v>78.440414859578439</v>
      </c>
      <c r="M180" s="62">
        <f t="shared" si="44"/>
        <v>71.530065550131624</v>
      </c>
      <c r="N180" s="62">
        <f t="shared" si="44"/>
        <v>76.742643971482195</v>
      </c>
      <c r="O180" s="62">
        <f t="shared" si="44"/>
        <v>96.866404449837304</v>
      </c>
      <c r="P180" s="62">
        <f t="shared" si="44"/>
        <v>95.349463195360585</v>
      </c>
      <c r="Q180" s="62">
        <f t="shared" si="44"/>
        <v>87.661974171803408</v>
      </c>
      <c r="R180" s="62">
        <f t="shared" si="44"/>
        <v>75.665441288305772</v>
      </c>
      <c r="S180" s="62">
        <f t="shared" si="44"/>
        <v>94.974721485644892</v>
      </c>
      <c r="T180" s="62">
        <f t="shared" si="44"/>
        <v>91.076593888199881</v>
      </c>
      <c r="U180" s="62">
        <f t="shared" si="44"/>
        <v>93.121147459791004</v>
      </c>
      <c r="V180" s="62">
        <f t="shared" si="44"/>
        <v>87.218809839929961</v>
      </c>
    </row>
    <row r="181" spans="3:22" x14ac:dyDescent="0.2">
      <c r="C181" s="87" t="s">
        <v>135</v>
      </c>
      <c r="D181" s="60" t="str">
        <f t="shared" ref="D181:V181" si="45">+IFERROR(IF(D142&gt;0,+((D142/D25)*100)," "),"")</f>
        <v xml:space="preserve"> </v>
      </c>
      <c r="E181" s="60" t="str">
        <f t="shared" si="45"/>
        <v xml:space="preserve"> </v>
      </c>
      <c r="F181" s="60" t="str">
        <f t="shared" si="45"/>
        <v xml:space="preserve"> </v>
      </c>
      <c r="G181" s="60" t="str">
        <f t="shared" si="45"/>
        <v xml:space="preserve"> </v>
      </c>
      <c r="H181" s="60" t="str">
        <f t="shared" si="45"/>
        <v xml:space="preserve"> </v>
      </c>
      <c r="I181" s="60" t="str">
        <f t="shared" si="45"/>
        <v xml:space="preserve"> </v>
      </c>
      <c r="J181" s="60" t="str">
        <f t="shared" si="45"/>
        <v xml:space="preserve"> </v>
      </c>
      <c r="K181" s="60" t="str">
        <f t="shared" si="45"/>
        <v xml:space="preserve"> </v>
      </c>
      <c r="L181" s="60" t="str">
        <f t="shared" si="45"/>
        <v xml:space="preserve"> </v>
      </c>
      <c r="M181" s="60" t="str">
        <f t="shared" si="45"/>
        <v xml:space="preserve"> </v>
      </c>
      <c r="N181" s="60" t="str">
        <f t="shared" si="45"/>
        <v xml:space="preserve"> </v>
      </c>
      <c r="O181" s="60" t="str">
        <f t="shared" si="45"/>
        <v xml:space="preserve"> </v>
      </c>
      <c r="P181" s="60" t="str">
        <f t="shared" si="45"/>
        <v xml:space="preserve"> </v>
      </c>
      <c r="Q181" s="60" t="str">
        <f t="shared" si="45"/>
        <v xml:space="preserve"> </v>
      </c>
      <c r="R181" s="60" t="str">
        <f t="shared" si="45"/>
        <v xml:space="preserve"> </v>
      </c>
      <c r="S181" s="60" t="str">
        <f t="shared" si="45"/>
        <v xml:space="preserve"> </v>
      </c>
      <c r="T181" s="60" t="str">
        <f t="shared" si="45"/>
        <v xml:space="preserve"> </v>
      </c>
      <c r="U181" s="60" t="str">
        <f t="shared" si="45"/>
        <v xml:space="preserve"> </v>
      </c>
      <c r="V181" s="60" t="str">
        <f t="shared" si="45"/>
        <v xml:space="preserve"> </v>
      </c>
    </row>
    <row r="182" spans="3:22" x14ac:dyDescent="0.2">
      <c r="C182" s="88" t="s">
        <v>136</v>
      </c>
      <c r="D182" s="62">
        <f t="shared" ref="D182:V182" si="46">+IFERROR(IF(D143&gt;0,+((D143/D26)*100)," "),"")</f>
        <v>95.920279457414424</v>
      </c>
      <c r="E182" s="62">
        <f t="shared" si="46"/>
        <v>97.073058333712282</v>
      </c>
      <c r="F182" s="62">
        <f t="shared" si="46"/>
        <v>90.275931439507701</v>
      </c>
      <c r="G182" s="62">
        <f t="shared" si="46"/>
        <v>94.423911055616699</v>
      </c>
      <c r="H182" s="62">
        <f t="shared" si="46"/>
        <v>92.746093185114404</v>
      </c>
      <c r="I182" s="62">
        <f t="shared" si="46"/>
        <v>91.065246991650497</v>
      </c>
      <c r="J182" s="62">
        <f t="shared" si="46"/>
        <v>81.061653174781483</v>
      </c>
      <c r="K182" s="62">
        <f t="shared" si="46"/>
        <v>76.339053731891056</v>
      </c>
      <c r="L182" s="62">
        <f t="shared" si="46"/>
        <v>79.815087862361082</v>
      </c>
      <c r="M182" s="62">
        <f t="shared" si="46"/>
        <v>85.496162928981093</v>
      </c>
      <c r="N182" s="62">
        <f t="shared" si="46"/>
        <v>89.596991575922075</v>
      </c>
      <c r="O182" s="62">
        <f t="shared" si="46"/>
        <v>90.354675040608072</v>
      </c>
      <c r="P182" s="62">
        <f t="shared" si="46"/>
        <v>91.096498268036726</v>
      </c>
      <c r="Q182" s="62">
        <f t="shared" si="46"/>
        <v>92.19651272930291</v>
      </c>
      <c r="R182" s="62">
        <f t="shared" si="46"/>
        <v>93.191838847964831</v>
      </c>
      <c r="S182" s="62">
        <f t="shared" si="46"/>
        <v>93.703818575636134</v>
      </c>
      <c r="T182" s="62">
        <f t="shared" si="46"/>
        <v>85.145507110706504</v>
      </c>
      <c r="U182" s="62">
        <f t="shared" si="46"/>
        <v>97.699042151747136</v>
      </c>
      <c r="V182" s="62">
        <f t="shared" si="46"/>
        <v>90.289701322482387</v>
      </c>
    </row>
    <row r="183" spans="3:22" x14ac:dyDescent="0.2">
      <c r="C183" s="87" t="s">
        <v>137</v>
      </c>
      <c r="D183" s="60">
        <f t="shared" ref="D183:V183" si="47">+IFERROR(IF(D144&gt;0,+((D144/D27)*100)," "),"")</f>
        <v>97.260769367901005</v>
      </c>
      <c r="E183" s="60">
        <f t="shared" si="47"/>
        <v>95.058875150284408</v>
      </c>
      <c r="F183" s="60">
        <f t="shared" si="47"/>
        <v>98.705693525384532</v>
      </c>
      <c r="G183" s="60">
        <f t="shared" si="47"/>
        <v>95.349755377007469</v>
      </c>
      <c r="H183" s="60">
        <f t="shared" si="47"/>
        <v>95.153679972200237</v>
      </c>
      <c r="I183" s="60">
        <f t="shared" si="47"/>
        <v>95.206411268484075</v>
      </c>
      <c r="J183" s="60">
        <f t="shared" si="47"/>
        <v>97.47869660137259</v>
      </c>
      <c r="K183" s="60">
        <f t="shared" si="47"/>
        <v>96.624529854801253</v>
      </c>
      <c r="L183" s="60">
        <f t="shared" si="47"/>
        <v>98.172606433936181</v>
      </c>
      <c r="M183" s="60">
        <f t="shared" si="47"/>
        <v>93.753797666913997</v>
      </c>
      <c r="N183" s="60">
        <f t="shared" si="47"/>
        <v>93.418782527296585</v>
      </c>
      <c r="O183" s="60">
        <f t="shared" si="47"/>
        <v>94.425292445565674</v>
      </c>
      <c r="P183" s="60">
        <f t="shared" si="47"/>
        <v>81.333123189120542</v>
      </c>
      <c r="Q183" s="60">
        <f t="shared" si="47"/>
        <v>74.094068612498461</v>
      </c>
      <c r="R183" s="60">
        <f t="shared" si="47"/>
        <v>90.106105164612046</v>
      </c>
      <c r="S183" s="60">
        <f t="shared" si="47"/>
        <v>92.891257355028785</v>
      </c>
      <c r="T183" s="60">
        <f t="shared" si="47"/>
        <v>97.397416927442862</v>
      </c>
      <c r="U183" s="60">
        <f t="shared" si="47"/>
        <v>95.136483338517607</v>
      </c>
      <c r="V183" s="60">
        <f t="shared" si="47"/>
        <v>91.955987112570995</v>
      </c>
    </row>
    <row r="184" spans="3:22" x14ac:dyDescent="0.2">
      <c r="C184" s="88" t="s">
        <v>138</v>
      </c>
      <c r="D184" s="62">
        <f t="shared" ref="D184:V184" si="48">+IFERROR(IF(D145&gt;0,+((D145/D28)*100)," "),"")</f>
        <v>94.588878892385637</v>
      </c>
      <c r="E184" s="62">
        <f t="shared" si="48"/>
        <v>92.900806780386347</v>
      </c>
      <c r="F184" s="62">
        <f t="shared" si="48"/>
        <v>94.112198724653368</v>
      </c>
      <c r="G184" s="62">
        <f t="shared" si="48"/>
        <v>90.800176378383028</v>
      </c>
      <c r="H184" s="62">
        <f t="shared" si="48"/>
        <v>91.094526050773339</v>
      </c>
      <c r="I184" s="62">
        <f t="shared" si="48"/>
        <v>90.47324272756542</v>
      </c>
      <c r="J184" s="62">
        <f t="shared" si="48"/>
        <v>86.334802880848329</v>
      </c>
      <c r="K184" s="62">
        <f t="shared" si="48"/>
        <v>91.561362972956005</v>
      </c>
      <c r="L184" s="62">
        <f t="shared" si="48"/>
        <v>90.513295740208093</v>
      </c>
      <c r="M184" s="62">
        <f t="shared" si="48"/>
        <v>85.996706064936163</v>
      </c>
      <c r="N184" s="62">
        <f t="shared" si="48"/>
        <v>82.458098406758268</v>
      </c>
      <c r="O184" s="62">
        <f t="shared" si="48"/>
        <v>86.356884568745159</v>
      </c>
      <c r="P184" s="62">
        <f t="shared" si="48"/>
        <v>75.927362242689128</v>
      </c>
      <c r="Q184" s="62">
        <f t="shared" si="48"/>
        <v>75.728677553452897</v>
      </c>
      <c r="R184" s="62">
        <f t="shared" si="48"/>
        <v>83.595507803097888</v>
      </c>
      <c r="S184" s="62">
        <f t="shared" si="48"/>
        <v>94.609607096649952</v>
      </c>
      <c r="T184" s="62">
        <f t="shared" si="48"/>
        <v>96.999598580527575</v>
      </c>
      <c r="U184" s="62">
        <f t="shared" si="48"/>
        <v>97.709392107775059</v>
      </c>
      <c r="V184" s="62">
        <f t="shared" si="48"/>
        <v>95.777769940442852</v>
      </c>
    </row>
    <row r="185" spans="3:22" x14ac:dyDescent="0.2">
      <c r="C185" s="87" t="s">
        <v>139</v>
      </c>
      <c r="D185" s="60">
        <f t="shared" ref="D185:V185" si="49">+IFERROR(IF(D146&gt;0,+((D146/D29)*100)," "),"")</f>
        <v>96.509974099977342</v>
      </c>
      <c r="E185" s="60">
        <f t="shared" si="49"/>
        <v>83.470255455036479</v>
      </c>
      <c r="F185" s="60">
        <f t="shared" si="49"/>
        <v>89.451317487331067</v>
      </c>
      <c r="G185" s="60">
        <f t="shared" si="49"/>
        <v>85.586003092247182</v>
      </c>
      <c r="H185" s="60">
        <f t="shared" si="49"/>
        <v>91.561613871466605</v>
      </c>
      <c r="I185" s="60">
        <f t="shared" si="49"/>
        <v>92.115497452264293</v>
      </c>
      <c r="J185" s="60">
        <f t="shared" si="49"/>
        <v>79.64565579868426</v>
      </c>
      <c r="K185" s="60">
        <f t="shared" si="49"/>
        <v>88.736188147262169</v>
      </c>
      <c r="L185" s="60">
        <f t="shared" si="49"/>
        <v>91.174323184817112</v>
      </c>
      <c r="M185" s="60">
        <f t="shared" si="49"/>
        <v>85.004875871600348</v>
      </c>
      <c r="N185" s="60">
        <f t="shared" si="49"/>
        <v>87.032926520726136</v>
      </c>
      <c r="O185" s="60">
        <f t="shared" si="49"/>
        <v>93.435623584514161</v>
      </c>
      <c r="P185" s="60">
        <f t="shared" si="49"/>
        <v>88.448161429703958</v>
      </c>
      <c r="Q185" s="60">
        <f t="shared" si="49"/>
        <v>91.290824140822309</v>
      </c>
      <c r="R185" s="60">
        <f t="shared" si="49"/>
        <v>90.843837326946115</v>
      </c>
      <c r="S185" s="60">
        <f t="shared" si="49"/>
        <v>93.497509230037267</v>
      </c>
      <c r="T185" s="60">
        <f t="shared" si="49"/>
        <v>92.057071990708167</v>
      </c>
      <c r="U185" s="60">
        <f t="shared" si="49"/>
        <v>93.837302176999401</v>
      </c>
      <c r="V185" s="60">
        <f t="shared" si="49"/>
        <v>88.193340370463019</v>
      </c>
    </row>
    <row r="186" spans="3:22" x14ac:dyDescent="0.2">
      <c r="C186" s="88" t="s">
        <v>140</v>
      </c>
      <c r="D186" s="62">
        <f t="shared" ref="D186:V186" si="50">+IFERROR(IF(D147&gt;0,+((D147/D30)*100)," "),"")</f>
        <v>90.279262833714512</v>
      </c>
      <c r="E186" s="62">
        <f t="shared" si="50"/>
        <v>75.080212714181954</v>
      </c>
      <c r="F186" s="62">
        <f t="shared" si="50"/>
        <v>84.579849069773474</v>
      </c>
      <c r="G186" s="62">
        <f t="shared" si="50"/>
        <v>75.874437119891141</v>
      </c>
      <c r="H186" s="62">
        <f t="shared" si="50"/>
        <v>88.926021982994683</v>
      </c>
      <c r="I186" s="62">
        <f t="shared" si="50"/>
        <v>97.996831978349547</v>
      </c>
      <c r="J186" s="62">
        <f t="shared" si="50"/>
        <v>58.123224537984761</v>
      </c>
      <c r="K186" s="62">
        <f t="shared" si="50"/>
        <v>73.647947588628654</v>
      </c>
      <c r="L186" s="62">
        <f t="shared" si="50"/>
        <v>89.66898955512508</v>
      </c>
      <c r="M186" s="62">
        <f t="shared" si="50"/>
        <v>77.968535820664414</v>
      </c>
      <c r="N186" s="62">
        <f t="shared" si="50"/>
        <v>96.887921621144699</v>
      </c>
      <c r="O186" s="62">
        <f t="shared" si="50"/>
        <v>95.619634622932395</v>
      </c>
      <c r="P186" s="62">
        <f t="shared" si="50"/>
        <v>72.407106686490366</v>
      </c>
      <c r="Q186" s="62">
        <f t="shared" si="50"/>
        <v>77.028709941169467</v>
      </c>
      <c r="R186" s="62">
        <f t="shared" si="50"/>
        <v>89.239819487111561</v>
      </c>
      <c r="S186" s="62">
        <f t="shared" si="50"/>
        <v>92.562388730298665</v>
      </c>
      <c r="T186" s="62">
        <f t="shared" si="50"/>
        <v>91.957220902288924</v>
      </c>
      <c r="U186" s="62">
        <f t="shared" si="50"/>
        <v>93.583415320862684</v>
      </c>
      <c r="V186" s="62">
        <f t="shared" si="50"/>
        <v>88.079865904582448</v>
      </c>
    </row>
    <row r="187" spans="3:22" x14ac:dyDescent="0.2">
      <c r="C187" s="87" t="s">
        <v>141</v>
      </c>
      <c r="D187" s="60">
        <f t="shared" ref="D187:V187" si="51">+IFERROR(IF(D148&gt;0,+((D148/D31)*100)," "),"")</f>
        <v>92.82378561233196</v>
      </c>
      <c r="E187" s="60">
        <f t="shared" si="51"/>
        <v>94.137637745222079</v>
      </c>
      <c r="F187" s="60">
        <f t="shared" si="51"/>
        <v>93.518448335940676</v>
      </c>
      <c r="G187" s="60">
        <f t="shared" si="51"/>
        <v>92.19237768904614</v>
      </c>
      <c r="H187" s="60">
        <f t="shared" si="51"/>
        <v>84.551331442190261</v>
      </c>
      <c r="I187" s="60">
        <f t="shared" si="51"/>
        <v>91.105220949839591</v>
      </c>
      <c r="J187" s="60">
        <f t="shared" si="51"/>
        <v>92.791975457575489</v>
      </c>
      <c r="K187" s="60">
        <f t="shared" si="51"/>
        <v>94.221979449903074</v>
      </c>
      <c r="L187" s="60">
        <f t="shared" si="51"/>
        <v>93.118530649959581</v>
      </c>
      <c r="M187" s="60">
        <f t="shared" si="51"/>
        <v>91.110706278109006</v>
      </c>
      <c r="N187" s="60">
        <f t="shared" si="51"/>
        <v>90.16641113136086</v>
      </c>
      <c r="O187" s="60">
        <f t="shared" si="51"/>
        <v>92.284349260345238</v>
      </c>
      <c r="P187" s="60">
        <f t="shared" si="51"/>
        <v>87.19847906019136</v>
      </c>
      <c r="Q187" s="60">
        <f t="shared" si="51"/>
        <v>89.31043771544114</v>
      </c>
      <c r="R187" s="60">
        <f t="shared" si="51"/>
        <v>91.89481344063924</v>
      </c>
      <c r="S187" s="60">
        <f t="shared" si="51"/>
        <v>94.519547490417892</v>
      </c>
      <c r="T187" s="60">
        <f t="shared" si="51"/>
        <v>95.592282999845608</v>
      </c>
      <c r="U187" s="60">
        <f t="shared" si="51"/>
        <v>95.04619731939033</v>
      </c>
      <c r="V187" s="60">
        <f t="shared" si="51"/>
        <v>93.563997713027092</v>
      </c>
    </row>
    <row r="188" spans="3:22" x14ac:dyDescent="0.2">
      <c r="C188" s="88" t="s">
        <v>142</v>
      </c>
      <c r="D188" s="62">
        <f t="shared" ref="D188:V188" si="52">+IFERROR(IF(D149&gt;0,+((D149/D32)*100)," "),"")</f>
        <v>87.345474651538993</v>
      </c>
      <c r="E188" s="62">
        <f t="shared" si="52"/>
        <v>91.433468934888324</v>
      </c>
      <c r="F188" s="62">
        <f t="shared" si="52"/>
        <v>90.440470710390755</v>
      </c>
      <c r="G188" s="62">
        <f t="shared" si="52"/>
        <v>83.008244809324907</v>
      </c>
      <c r="H188" s="62">
        <f t="shared" si="52"/>
        <v>81.479206867730909</v>
      </c>
      <c r="I188" s="62">
        <f t="shared" si="52"/>
        <v>81.049802546946552</v>
      </c>
      <c r="J188" s="62">
        <f t="shared" si="52"/>
        <v>68.263477178805658</v>
      </c>
      <c r="K188" s="62">
        <f t="shared" si="52"/>
        <v>69.96430105668037</v>
      </c>
      <c r="L188" s="62">
        <f t="shared" si="52"/>
        <v>80.568699686640983</v>
      </c>
      <c r="M188" s="62">
        <f t="shared" si="52"/>
        <v>70.71527197433312</v>
      </c>
      <c r="N188" s="62">
        <f t="shared" si="52"/>
        <v>92.129732210120594</v>
      </c>
      <c r="O188" s="62">
        <f t="shared" si="52"/>
        <v>87.513358807025909</v>
      </c>
      <c r="P188" s="62">
        <f t="shared" si="52"/>
        <v>86.768496537395322</v>
      </c>
      <c r="Q188" s="62">
        <f t="shared" si="52"/>
        <v>67.10975985032448</v>
      </c>
      <c r="R188" s="62">
        <f t="shared" si="52"/>
        <v>86.781286399867881</v>
      </c>
      <c r="S188" s="62">
        <f t="shared" si="52"/>
        <v>89.800935029282542</v>
      </c>
      <c r="T188" s="62">
        <f t="shared" si="52"/>
        <v>93.646053051307447</v>
      </c>
      <c r="U188" s="62">
        <f t="shared" si="52"/>
        <v>92.384753316400108</v>
      </c>
      <c r="V188" s="62">
        <f t="shared" si="52"/>
        <v>93.004278228581029</v>
      </c>
    </row>
    <row r="189" spans="3:22" x14ac:dyDescent="0.2">
      <c r="C189" s="87" t="s">
        <v>143</v>
      </c>
      <c r="D189" s="60">
        <f t="shared" ref="D189:V189" si="53">+IFERROR(IF(D150&gt;0,+((D150/D33)*100)," "),"")</f>
        <v>90.376394381790732</v>
      </c>
      <c r="E189" s="60">
        <f t="shared" si="53"/>
        <v>96.804269734742533</v>
      </c>
      <c r="F189" s="60">
        <f t="shared" si="53"/>
        <v>89.141935712377091</v>
      </c>
      <c r="G189" s="60">
        <f t="shared" si="53"/>
        <v>90.843117700184948</v>
      </c>
      <c r="H189" s="60">
        <f t="shared" si="53"/>
        <v>96.305892486568084</v>
      </c>
      <c r="I189" s="60">
        <f t="shared" si="53"/>
        <v>91.929830752980166</v>
      </c>
      <c r="J189" s="60">
        <f t="shared" si="53"/>
        <v>90.9343695010907</v>
      </c>
      <c r="K189" s="60">
        <f t="shared" si="53"/>
        <v>97.826636741948619</v>
      </c>
      <c r="L189" s="60">
        <f t="shared" si="53"/>
        <v>96.60012200350937</v>
      </c>
      <c r="M189" s="60">
        <f t="shared" si="53"/>
        <v>90.750228155494952</v>
      </c>
      <c r="N189" s="60">
        <f t="shared" si="53"/>
        <v>90.692568390898373</v>
      </c>
      <c r="O189" s="60">
        <f t="shared" si="53"/>
        <v>92.898172267618691</v>
      </c>
      <c r="P189" s="60">
        <f t="shared" si="53"/>
        <v>94.089285409682219</v>
      </c>
      <c r="Q189" s="60">
        <f t="shared" si="53"/>
        <v>91.669736279959551</v>
      </c>
      <c r="R189" s="60">
        <f t="shared" si="53"/>
        <v>93.781764730599321</v>
      </c>
      <c r="S189" s="60">
        <f t="shared" si="53"/>
        <v>96.392240598895938</v>
      </c>
      <c r="T189" s="60">
        <f t="shared" si="53"/>
        <v>89.216113310959045</v>
      </c>
      <c r="U189" s="60">
        <f t="shared" si="53"/>
        <v>61.130286986388768</v>
      </c>
      <c r="V189" s="60">
        <f t="shared" si="53"/>
        <v>71.124009104963562</v>
      </c>
    </row>
    <row r="190" spans="3:22" x14ac:dyDescent="0.2">
      <c r="C190" s="88" t="s">
        <v>144</v>
      </c>
      <c r="D190" s="62">
        <f t="shared" ref="D190:V190" si="54">+IFERROR(IF(D151&gt;0,+((D151/D34)*100)," "),"")</f>
        <v>99.263490831027298</v>
      </c>
      <c r="E190" s="62">
        <f t="shared" si="54"/>
        <v>96.940333237019686</v>
      </c>
      <c r="F190" s="62">
        <f t="shared" si="54"/>
        <v>94.633855923103454</v>
      </c>
      <c r="G190" s="62">
        <f t="shared" si="54"/>
        <v>98.299344578135234</v>
      </c>
      <c r="H190" s="62">
        <f t="shared" si="54"/>
        <v>86.51614241010968</v>
      </c>
      <c r="I190" s="62">
        <f t="shared" si="54"/>
        <v>98.716395879100233</v>
      </c>
      <c r="J190" s="62">
        <f t="shared" si="54"/>
        <v>97.095924938266336</v>
      </c>
      <c r="K190" s="62">
        <f t="shared" si="54"/>
        <v>98.892013003037846</v>
      </c>
      <c r="L190" s="62">
        <f t="shared" si="54"/>
        <v>98.618307559200687</v>
      </c>
      <c r="M190" s="62">
        <f t="shared" si="54"/>
        <v>97.171539256583387</v>
      </c>
      <c r="N190" s="62">
        <f t="shared" si="54"/>
        <v>96.976821352833227</v>
      </c>
      <c r="O190" s="62">
        <f t="shared" si="54"/>
        <v>95.967363606577521</v>
      </c>
      <c r="P190" s="62">
        <f t="shared" si="54"/>
        <v>97.957057060319229</v>
      </c>
      <c r="Q190" s="62">
        <f t="shared" si="54"/>
        <v>99.31896347922418</v>
      </c>
      <c r="R190" s="62">
        <f t="shared" si="54"/>
        <v>99.515120965483646</v>
      </c>
      <c r="S190" s="62">
        <f t="shared" si="54"/>
        <v>99.259482759956796</v>
      </c>
      <c r="T190" s="62">
        <f t="shared" si="54"/>
        <v>98.645028234825332</v>
      </c>
      <c r="U190" s="62">
        <f t="shared" si="54"/>
        <v>98.275853250997145</v>
      </c>
      <c r="V190" s="62">
        <f t="shared" si="54"/>
        <v>98.513890170793246</v>
      </c>
    </row>
    <row r="191" spans="3:22" x14ac:dyDescent="0.2">
      <c r="C191" s="87" t="s">
        <v>145</v>
      </c>
      <c r="D191" s="60">
        <f t="shared" ref="D191:V191" si="55">+IFERROR(IF(D152&gt;0,+((D152/D35)*100)," "),"")</f>
        <v>96.777724182383395</v>
      </c>
      <c r="E191" s="60">
        <f t="shared" si="55"/>
        <v>69.954279243820096</v>
      </c>
      <c r="F191" s="60">
        <f t="shared" si="55"/>
        <v>76.469508461653874</v>
      </c>
      <c r="G191" s="60">
        <f t="shared" si="55"/>
        <v>72.048535685843504</v>
      </c>
      <c r="H191" s="60">
        <f t="shared" si="55"/>
        <v>86.371541759280476</v>
      </c>
      <c r="I191" s="60">
        <f t="shared" si="55"/>
        <v>94.141268273647825</v>
      </c>
      <c r="J191" s="60">
        <f t="shared" si="55"/>
        <v>85.116892630020459</v>
      </c>
      <c r="K191" s="60">
        <f t="shared" si="55"/>
        <v>90.605774444618319</v>
      </c>
      <c r="L191" s="60">
        <f t="shared" si="55"/>
        <v>92.384096635804951</v>
      </c>
      <c r="M191" s="60">
        <f t="shared" si="55"/>
        <v>94.624464369384981</v>
      </c>
      <c r="N191" s="60">
        <f t="shared" si="55"/>
        <v>96.587530133183392</v>
      </c>
      <c r="O191" s="60">
        <f t="shared" si="55"/>
        <v>89.022556551314736</v>
      </c>
      <c r="P191" s="60">
        <f t="shared" si="55"/>
        <v>90.488831100375648</v>
      </c>
      <c r="Q191" s="60">
        <f t="shared" si="55"/>
        <v>87.59916925612346</v>
      </c>
      <c r="R191" s="60">
        <f t="shared" si="55"/>
        <v>93.52929211531152</v>
      </c>
      <c r="S191" s="60">
        <f t="shared" si="55"/>
        <v>91.410349432903729</v>
      </c>
      <c r="T191" s="60">
        <f t="shared" si="55"/>
        <v>93.941604354542378</v>
      </c>
      <c r="U191" s="60">
        <f t="shared" si="55"/>
        <v>94.619010876522182</v>
      </c>
      <c r="V191" s="60">
        <f t="shared" si="55"/>
        <v>97.076186406169555</v>
      </c>
    </row>
    <row r="192" spans="3:22" x14ac:dyDescent="0.2">
      <c r="C192" s="88" t="s">
        <v>146</v>
      </c>
      <c r="D192" s="62">
        <f t="shared" ref="D192:V192" si="56">+IFERROR(IF(D153&gt;0,+((D153/D36)*100)," "),"")</f>
        <v>93.932892653631541</v>
      </c>
      <c r="E192" s="62">
        <f t="shared" si="56"/>
        <v>93.064891918990384</v>
      </c>
      <c r="F192" s="62">
        <f t="shared" si="56"/>
        <v>92.900815555502064</v>
      </c>
      <c r="G192" s="62">
        <f t="shared" si="56"/>
        <v>96.114473389006292</v>
      </c>
      <c r="H192" s="62">
        <f t="shared" si="56"/>
        <v>88.223415307639684</v>
      </c>
      <c r="I192" s="62">
        <f t="shared" si="56"/>
        <v>86.278412511308204</v>
      </c>
      <c r="J192" s="62">
        <f t="shared" si="56"/>
        <v>87.336573071393715</v>
      </c>
      <c r="K192" s="62">
        <f t="shared" si="56"/>
        <v>85.26068025759092</v>
      </c>
      <c r="L192" s="62">
        <f t="shared" si="56"/>
        <v>88.955712534786556</v>
      </c>
      <c r="M192" s="62">
        <f t="shared" si="56"/>
        <v>94.242261754405504</v>
      </c>
      <c r="N192" s="62">
        <f t="shared" si="56"/>
        <v>84.502479447331439</v>
      </c>
      <c r="O192" s="62">
        <f t="shared" si="56"/>
        <v>95.854802719051193</v>
      </c>
      <c r="P192" s="62">
        <f t="shared" si="56"/>
        <v>96.265795108244149</v>
      </c>
      <c r="Q192" s="62">
        <f t="shared" si="56"/>
        <v>98.84341337152965</v>
      </c>
      <c r="R192" s="62">
        <f t="shared" si="56"/>
        <v>98.040001710705837</v>
      </c>
      <c r="S192" s="62">
        <f t="shared" si="56"/>
        <v>98.638084136564615</v>
      </c>
      <c r="T192" s="62">
        <f t="shared" si="56"/>
        <v>98.043780733616245</v>
      </c>
      <c r="U192" s="62">
        <f t="shared" si="56"/>
        <v>96.045673959183887</v>
      </c>
      <c r="V192" s="62">
        <f t="shared" si="56"/>
        <v>89.149462831099342</v>
      </c>
    </row>
    <row r="193" spans="3:24" x14ac:dyDescent="0.2">
      <c r="C193" s="90" t="s">
        <v>147</v>
      </c>
      <c r="D193" s="61">
        <f t="shared" ref="D193:V193" si="57">+IFERROR(IF(D154&gt;0,+((D154/D37)*100)," "),"")</f>
        <v>96.127400387708974</v>
      </c>
      <c r="E193" s="61">
        <f t="shared" si="57"/>
        <v>97.594499906998905</v>
      </c>
      <c r="F193" s="61">
        <f t="shared" si="57"/>
        <v>98.264018546496018</v>
      </c>
      <c r="G193" s="61">
        <f t="shared" si="57"/>
        <v>96.389883335108095</v>
      </c>
      <c r="H193" s="61">
        <f t="shared" si="57"/>
        <v>92.295499780364793</v>
      </c>
      <c r="I193" s="61">
        <f t="shared" si="57"/>
        <v>93.377540395005681</v>
      </c>
      <c r="J193" s="61">
        <f t="shared" si="57"/>
        <v>95.418881645717562</v>
      </c>
      <c r="K193" s="61">
        <f t="shared" si="57"/>
        <v>97.106854387030808</v>
      </c>
      <c r="L193" s="61">
        <f t="shared" si="57"/>
        <v>99.572739563114538</v>
      </c>
      <c r="M193" s="61">
        <f t="shared" si="57"/>
        <v>94.59135083109085</v>
      </c>
      <c r="N193" s="61">
        <f t="shared" si="57"/>
        <v>86.703969496910787</v>
      </c>
      <c r="O193" s="61">
        <f t="shared" si="57"/>
        <v>98.576540500324967</v>
      </c>
      <c r="P193" s="61">
        <f t="shared" si="57"/>
        <v>97.930656133513367</v>
      </c>
      <c r="Q193" s="61">
        <f t="shared" si="57"/>
        <v>98.360124551442325</v>
      </c>
      <c r="R193" s="61">
        <f t="shared" si="57"/>
        <v>94.310259675745129</v>
      </c>
      <c r="S193" s="61">
        <f t="shared" si="57"/>
        <v>87.036145883881332</v>
      </c>
      <c r="T193" s="61">
        <f t="shared" si="57"/>
        <v>89.261213361344446</v>
      </c>
      <c r="U193" s="61">
        <f t="shared" si="57"/>
        <v>92.766116863432941</v>
      </c>
      <c r="V193" s="61">
        <f t="shared" si="57"/>
        <v>90.63801838977939</v>
      </c>
    </row>
    <row r="194" spans="3:24" ht="22.5" customHeight="1" x14ac:dyDescent="0.2">
      <c r="C194" s="89" t="s">
        <v>148</v>
      </c>
      <c r="D194" s="63" t="str">
        <f t="shared" ref="D194:V194" si="58">+IFERROR(IF(D155&gt;0,+((D155/D38)*100)," "),"")</f>
        <v xml:space="preserve"> </v>
      </c>
      <c r="E194" s="63" t="str">
        <f t="shared" si="58"/>
        <v xml:space="preserve"> </v>
      </c>
      <c r="F194" s="63" t="str">
        <f t="shared" si="58"/>
        <v xml:space="preserve"> </v>
      </c>
      <c r="G194" s="63" t="str">
        <f t="shared" si="58"/>
        <v xml:space="preserve"> </v>
      </c>
      <c r="H194" s="63" t="str">
        <f t="shared" si="58"/>
        <v xml:space="preserve"> </v>
      </c>
      <c r="I194" s="63" t="str">
        <f t="shared" si="58"/>
        <v xml:space="preserve"> </v>
      </c>
      <c r="J194" s="63" t="str">
        <f t="shared" si="58"/>
        <v xml:space="preserve"> </v>
      </c>
      <c r="K194" s="63" t="str">
        <f t="shared" si="58"/>
        <v xml:space="preserve"> </v>
      </c>
      <c r="L194" s="63" t="str">
        <f t="shared" si="58"/>
        <v xml:space="preserve"> </v>
      </c>
      <c r="M194" s="63" t="str">
        <f t="shared" si="58"/>
        <v xml:space="preserve"> </v>
      </c>
      <c r="N194" s="63" t="str">
        <f t="shared" si="58"/>
        <v xml:space="preserve"> </v>
      </c>
      <c r="O194" s="63" t="str">
        <f t="shared" si="58"/>
        <v xml:space="preserve"> </v>
      </c>
      <c r="P194" s="63" t="str">
        <f t="shared" si="58"/>
        <v xml:space="preserve"> </v>
      </c>
      <c r="Q194" s="63" t="str">
        <f t="shared" si="58"/>
        <v xml:space="preserve"> </v>
      </c>
      <c r="R194" s="63" t="str">
        <f t="shared" si="58"/>
        <v xml:space="preserve"> </v>
      </c>
      <c r="S194" s="63" t="str">
        <f t="shared" si="58"/>
        <v xml:space="preserve"> </v>
      </c>
      <c r="T194" s="63" t="str">
        <f t="shared" si="58"/>
        <v xml:space="preserve"> </v>
      </c>
      <c r="U194" s="63">
        <f t="shared" si="58"/>
        <v>59.926249401054143</v>
      </c>
      <c r="V194" s="63">
        <f t="shared" si="58"/>
        <v>77.857542494365092</v>
      </c>
    </row>
    <row r="195" spans="3:24" x14ac:dyDescent="0.2">
      <c r="C195" s="87" t="s">
        <v>149</v>
      </c>
      <c r="D195" s="60">
        <f t="shared" ref="D195:V195" si="59">+IFERROR(IF(D156&gt;0,+((D156/D39)*100)," "),"")</f>
        <v>42.506314748409565</v>
      </c>
      <c r="E195" s="60">
        <f t="shared" si="59"/>
        <v>41.798769832856294</v>
      </c>
      <c r="F195" s="60">
        <f t="shared" si="59"/>
        <v>46.117417039601051</v>
      </c>
      <c r="G195" s="60">
        <f t="shared" si="59"/>
        <v>58.41779235318937</v>
      </c>
      <c r="H195" s="60">
        <f t="shared" si="59"/>
        <v>53.453359065655071</v>
      </c>
      <c r="I195" s="60">
        <f t="shared" si="59"/>
        <v>26.691709153208876</v>
      </c>
      <c r="J195" s="60">
        <f t="shared" si="59"/>
        <v>49.495619198071942</v>
      </c>
      <c r="K195" s="60">
        <f t="shared" si="59"/>
        <v>54.978805513238093</v>
      </c>
      <c r="L195" s="60">
        <f t="shared" si="59"/>
        <v>61.899379513331233</v>
      </c>
      <c r="M195" s="60">
        <f t="shared" si="59"/>
        <v>52.701578311450639</v>
      </c>
      <c r="N195" s="60">
        <f t="shared" si="59"/>
        <v>70.93217829283563</v>
      </c>
      <c r="O195" s="60">
        <f t="shared" si="59"/>
        <v>74.109076785722834</v>
      </c>
      <c r="P195" s="60">
        <f t="shared" si="59"/>
        <v>93.126112252288934</v>
      </c>
      <c r="Q195" s="60">
        <f t="shared" si="59"/>
        <v>71.16541913564896</v>
      </c>
      <c r="R195" s="60">
        <f t="shared" si="59"/>
        <v>75.429183508046549</v>
      </c>
      <c r="S195" s="60">
        <f t="shared" si="59"/>
        <v>85.023005065120927</v>
      </c>
      <c r="T195" s="60">
        <f t="shared" si="59"/>
        <v>92.297322518831621</v>
      </c>
      <c r="U195" s="60">
        <f t="shared" si="59"/>
        <v>96.510938581969896</v>
      </c>
      <c r="V195" s="60">
        <f t="shared" si="59"/>
        <v>80.512989808651767</v>
      </c>
    </row>
    <row r="196" spans="3:24" x14ac:dyDescent="0.2">
      <c r="C196" s="88" t="s">
        <v>150</v>
      </c>
      <c r="D196" s="62">
        <f t="shared" ref="D196:V196" si="60">+IFERROR(IF(D157&gt;0,+((D157/D40)*100)," "),"")</f>
        <v>91.636645189447464</v>
      </c>
      <c r="E196" s="62">
        <f t="shared" si="60"/>
        <v>89.413553034631548</v>
      </c>
      <c r="F196" s="62">
        <f t="shared" si="60"/>
        <v>55.619722365804705</v>
      </c>
      <c r="G196" s="62">
        <f t="shared" si="60"/>
        <v>91.173890371436443</v>
      </c>
      <c r="H196" s="62">
        <f t="shared" si="60"/>
        <v>91.82525211874713</v>
      </c>
      <c r="I196" s="62">
        <f t="shared" si="60"/>
        <v>88.55647802231357</v>
      </c>
      <c r="J196" s="62">
        <f t="shared" si="60"/>
        <v>80.132638437040825</v>
      </c>
      <c r="K196" s="62">
        <f t="shared" si="60"/>
        <v>85.082978350148991</v>
      </c>
      <c r="L196" s="62">
        <f t="shared" si="60"/>
        <v>87.35135893436707</v>
      </c>
      <c r="M196" s="62">
        <f t="shared" si="60"/>
        <v>86.785190836659979</v>
      </c>
      <c r="N196" s="62">
        <f t="shared" si="60"/>
        <v>86.362344732487756</v>
      </c>
      <c r="O196" s="62">
        <f t="shared" si="60"/>
        <v>83.502019132557763</v>
      </c>
      <c r="P196" s="62">
        <f t="shared" si="60"/>
        <v>90.468043514851047</v>
      </c>
      <c r="Q196" s="62">
        <f t="shared" si="60"/>
        <v>88.97842528543292</v>
      </c>
      <c r="R196" s="62">
        <f t="shared" si="60"/>
        <v>92.614427635939052</v>
      </c>
      <c r="S196" s="62">
        <f t="shared" si="60"/>
        <v>93.444563974679781</v>
      </c>
      <c r="T196" s="62">
        <f t="shared" si="60"/>
        <v>93.763929006322016</v>
      </c>
      <c r="U196" s="62">
        <f t="shared" si="60"/>
        <v>90.350715357864388</v>
      </c>
      <c r="V196" s="62">
        <f t="shared" si="60"/>
        <v>94.331301040240191</v>
      </c>
    </row>
    <row r="197" spans="3:24" x14ac:dyDescent="0.2">
      <c r="C197" s="87" t="s">
        <v>151</v>
      </c>
      <c r="D197" s="60">
        <f t="shared" ref="D197:V197" si="61">+IFERROR(IF(D158&gt;0,+((D158/D41)*100)," "),"")</f>
        <v>84.651212371204323</v>
      </c>
      <c r="E197" s="60">
        <f t="shared" si="61"/>
        <v>79.75281905333334</v>
      </c>
      <c r="F197" s="60">
        <f t="shared" si="61"/>
        <v>75.12003550642568</v>
      </c>
      <c r="G197" s="60">
        <f t="shared" si="61"/>
        <v>69.199166705532278</v>
      </c>
      <c r="H197" s="60">
        <f t="shared" si="61"/>
        <v>57.021147527504347</v>
      </c>
      <c r="I197" s="60">
        <f t="shared" si="61"/>
        <v>78.641660617103256</v>
      </c>
      <c r="J197" s="60">
        <f t="shared" si="61"/>
        <v>58.826889356083242</v>
      </c>
      <c r="K197" s="60">
        <f t="shared" si="61"/>
        <v>66.443412844441056</v>
      </c>
      <c r="L197" s="60">
        <f t="shared" si="61"/>
        <v>81.411518646117969</v>
      </c>
      <c r="M197" s="60">
        <f t="shared" si="61"/>
        <v>91.783631067508935</v>
      </c>
      <c r="N197" s="60">
        <f t="shared" si="61"/>
        <v>73.296600735750957</v>
      </c>
      <c r="O197" s="60">
        <f t="shared" si="61"/>
        <v>98.235080078438557</v>
      </c>
      <c r="P197" s="60">
        <f t="shared" si="61"/>
        <v>99.260628206933106</v>
      </c>
      <c r="Q197" s="60">
        <f t="shared" si="61"/>
        <v>99.654572508100074</v>
      </c>
      <c r="R197" s="60">
        <f t="shared" si="61"/>
        <v>99.619142831391358</v>
      </c>
      <c r="S197" s="60">
        <f t="shared" si="61"/>
        <v>99.066646912329944</v>
      </c>
      <c r="T197" s="60">
        <f t="shared" si="61"/>
        <v>99.895084455319179</v>
      </c>
      <c r="U197" s="60">
        <f t="shared" si="61"/>
        <v>99.934895464106205</v>
      </c>
      <c r="V197" s="60">
        <f t="shared" si="61"/>
        <v>99.690632090109304</v>
      </c>
    </row>
    <row r="198" spans="3:24" x14ac:dyDescent="0.2">
      <c r="C198" s="91" t="s">
        <v>179</v>
      </c>
      <c r="D198" s="64">
        <f t="shared" ref="D198:V198" si="62">+IFERROR(IF(D159&gt;0,+((D159/D42)*100)," "),"")</f>
        <v>93.055380528904024</v>
      </c>
      <c r="E198" s="64">
        <f t="shared" si="62"/>
        <v>93.693791271244251</v>
      </c>
      <c r="F198" s="64">
        <f t="shared" si="62"/>
        <v>93.029131508753537</v>
      </c>
      <c r="G198" s="64">
        <f t="shared" si="62"/>
        <v>92.866897529865383</v>
      </c>
      <c r="H198" s="64">
        <f t="shared" si="62"/>
        <v>92.637108851495313</v>
      </c>
      <c r="I198" s="64">
        <f t="shared" si="62"/>
        <v>94.092038877653621</v>
      </c>
      <c r="J198" s="64">
        <f t="shared" si="62"/>
        <v>93.869185167428711</v>
      </c>
      <c r="K198" s="64">
        <f t="shared" si="62"/>
        <v>95.190119753163273</v>
      </c>
      <c r="L198" s="64">
        <f t="shared" si="62"/>
        <v>96.008393508843497</v>
      </c>
      <c r="M198" s="64">
        <f t="shared" si="62"/>
        <v>93.143211644840832</v>
      </c>
      <c r="N198" s="64">
        <f t="shared" si="62"/>
        <v>91.059754703086085</v>
      </c>
      <c r="O198" s="64">
        <f t="shared" si="62"/>
        <v>97.313756453144435</v>
      </c>
      <c r="P198" s="64">
        <f t="shared" si="62"/>
        <v>96.658630987606756</v>
      </c>
      <c r="Q198" s="64">
        <f t="shared" si="62"/>
        <v>96.297526450590553</v>
      </c>
      <c r="R198" s="64">
        <f t="shared" si="62"/>
        <v>93.781172009425049</v>
      </c>
      <c r="S198" s="64">
        <f t="shared" si="62"/>
        <v>94.704798159070251</v>
      </c>
      <c r="T198" s="64">
        <f t="shared" si="62"/>
        <v>94.927919240550082</v>
      </c>
      <c r="U198" s="64">
        <f t="shared" si="62"/>
        <v>95.985197317315894</v>
      </c>
      <c r="V198" s="64">
        <f t="shared" si="62"/>
        <v>93.991639317717585</v>
      </c>
    </row>
    <row r="199" spans="3:24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4" ht="18" customHeight="1" x14ac:dyDescent="0.2">
      <c r="C203" s="9"/>
      <c r="D203" s="164" t="s">
        <v>184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4" ht="15.75" customHeight="1" x14ac:dyDescent="0.2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3:24" x14ac:dyDescent="0.2">
      <c r="C205" s="181" t="s">
        <v>120</v>
      </c>
      <c r="D205" s="155">
        <v>2000</v>
      </c>
      <c r="E205" s="155">
        <v>2001</v>
      </c>
      <c r="F205" s="155">
        <v>2002</v>
      </c>
      <c r="G205" s="155">
        <v>2003</v>
      </c>
      <c r="H205" s="155">
        <v>2004</v>
      </c>
      <c r="I205" s="155">
        <v>2005</v>
      </c>
      <c r="J205" s="155">
        <v>2006</v>
      </c>
      <c r="K205" s="155">
        <v>2007</v>
      </c>
      <c r="L205" s="155">
        <v>2008</v>
      </c>
      <c r="M205" s="155">
        <v>2009</v>
      </c>
      <c r="N205" s="155">
        <v>2010</v>
      </c>
      <c r="O205" s="155">
        <v>2011</v>
      </c>
      <c r="P205" s="155">
        <v>2012</v>
      </c>
      <c r="Q205" s="155">
        <v>2013</v>
      </c>
      <c r="R205" s="155">
        <v>2014</v>
      </c>
      <c r="S205" s="155">
        <v>2015</v>
      </c>
      <c r="T205" s="155">
        <v>2016</v>
      </c>
      <c r="U205" s="155">
        <v>2017</v>
      </c>
      <c r="V205" s="155">
        <v>2018</v>
      </c>
    </row>
    <row r="206" spans="3:24" ht="12" customHeight="1" thickBot="1" x14ac:dyDescent="0.25">
      <c r="C206" s="162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</row>
    <row r="207" spans="3:24" x14ac:dyDescent="0.2">
      <c r="C207" s="87" t="s">
        <v>123</v>
      </c>
      <c r="D207" s="56">
        <f>203.42012966399*Deflactores!$A$5</f>
        <v>759.14674972177431</v>
      </c>
      <c r="E207" s="56">
        <f>215.43266308491*Deflactores!$B$5</f>
        <v>746.85478573972637</v>
      </c>
      <c r="F207" s="56">
        <f>214.41116663914*Deflactores!$C$5</f>
        <v>694.7384894365382</v>
      </c>
      <c r="G207" s="56">
        <f>246.5802125185*Deflactores!$D$5</f>
        <v>750.2703812183214</v>
      </c>
      <c r="H207" s="56">
        <f>224.24380381981*Deflactores!$E$5</f>
        <v>646.75529344296547</v>
      </c>
      <c r="I207" s="56">
        <f>238.93368253628*Deflactores!$F$5</f>
        <v>657.21442517645471</v>
      </c>
      <c r="J207" s="56">
        <f>326.8666721904*Deflactores!$G$5</f>
        <v>860.54922204233844</v>
      </c>
      <c r="K207" s="56">
        <f>398.54082528292*Deflactores!$H$5</f>
        <v>992.71746212502012</v>
      </c>
      <c r="L207" s="56">
        <f>693.37676155385*Deflactores!$I$5</f>
        <v>1604.020013684049</v>
      </c>
      <c r="M207" s="56">
        <f>325.95333482921*Deflactores!$J$5</f>
        <v>739.24442744256191</v>
      </c>
      <c r="N207" s="56">
        <f>386.68772709187*Deflactores!$K$5</f>
        <v>850.03037233798329</v>
      </c>
      <c r="O207" s="56">
        <f>273.18950848464*Deflactores!$L$5</f>
        <v>578.958684477411</v>
      </c>
      <c r="P207" s="56">
        <f>335.19802620022*Deflactores!$M$5</f>
        <v>693.45045727897264</v>
      </c>
      <c r="Q207" s="56">
        <f>1152.54949047893*Deflactores!$N$5</f>
        <v>2338.9930968020503</v>
      </c>
      <c r="R207" s="56">
        <f>364.655578339079*Deflactores!$O$5</f>
        <v>713.90597055566684</v>
      </c>
      <c r="S207" s="56">
        <f>482.688070156599*Deflactores!$P$5</f>
        <v>885.06562783456354</v>
      </c>
      <c r="T207" s="56">
        <f>469.91934784222*Deflactores!$Q$5</f>
        <v>814.80157567378876</v>
      </c>
      <c r="U207" s="56">
        <f>493.78019810683*Deflactores!$R$5</f>
        <v>822.5327422488815</v>
      </c>
      <c r="V207" s="56">
        <f>541.582339447756*Deflactores!$S$5</f>
        <v>874.35640459638842</v>
      </c>
      <c r="X207" s="14"/>
    </row>
    <row r="208" spans="3:24" x14ac:dyDescent="0.2">
      <c r="C208" s="88" t="s">
        <v>124</v>
      </c>
      <c r="D208" s="57">
        <f>77.9205900544899*Deflactores!$A$5</f>
        <v>290.79306346907856</v>
      </c>
      <c r="E208" s="57">
        <f>86.69498750176*Deflactores!$B$5</f>
        <v>300.55129704178336</v>
      </c>
      <c r="F208" s="57">
        <f>88.51588976996*Deflactores!$C$5</f>
        <v>286.81060093018198</v>
      </c>
      <c r="G208" s="57">
        <f>93.3216623667799*Deflactores!$D$5</f>
        <v>283.95011296617469</v>
      </c>
      <c r="H208" s="57">
        <f>98.6642969653599*Deflactores!$E$5</f>
        <v>284.56374378776934</v>
      </c>
      <c r="I208" s="57">
        <f>107.57368463658*Deflactores!$F$5</f>
        <v>295.89372482805186</v>
      </c>
      <c r="J208" s="57">
        <f>111.37607583569*Deflactores!$G$5</f>
        <v>293.22229388593649</v>
      </c>
      <c r="K208" s="57">
        <f>119.61262557922*Deflactores!$H$5</f>
        <v>297.9407241875914</v>
      </c>
      <c r="L208" s="57">
        <f>1042.77443049745*Deflactores!$I$5</f>
        <v>2412.2975401245753</v>
      </c>
      <c r="M208" s="57">
        <f>1250.18980882238*Deflactores!$J$5</f>
        <v>2835.3624604015104</v>
      </c>
      <c r="N208" s="57">
        <f>1349.56004971955*Deflactores!$K$5</f>
        <v>2966.6497051328197</v>
      </c>
      <c r="O208" s="57">
        <f>1088.63916073869*Deflactores!$L$5</f>
        <v>2307.1057884614988</v>
      </c>
      <c r="P208" s="57">
        <f>192.488849380829*Deflactores!$M$5</f>
        <v>398.21678587244486</v>
      </c>
      <c r="Q208" s="57">
        <f>229.53194006235*Deflactores!$N$5</f>
        <v>465.81394355423845</v>
      </c>
      <c r="R208" s="57">
        <f>253.06962329898*Deflactores!$O$5</f>
        <v>495.44810437924866</v>
      </c>
      <c r="S208" s="57">
        <f>254.27197165348*Deflactores!$P$5</f>
        <v>466.23771364228509</v>
      </c>
      <c r="T208" s="57">
        <f>270.92976095307*Deflactores!$Q$5</f>
        <v>469.76996613385808</v>
      </c>
      <c r="U208" s="57">
        <f>283.78696571974*Deflactores!$R$5</f>
        <v>472.72869998210308</v>
      </c>
      <c r="V208" s="57">
        <f>305.95697301939*Deflactores!$S$5</f>
        <v>493.95155529482338</v>
      </c>
      <c r="X208" s="14"/>
    </row>
    <row r="209" spans="3:24" x14ac:dyDescent="0.2">
      <c r="C209" s="87" t="s">
        <v>125</v>
      </c>
      <c r="D209" s="56">
        <f>7.4800009024*Deflactores!$A$5</f>
        <v>27.914731852509032</v>
      </c>
      <c r="E209" s="56">
        <f>5.004461224*Deflactores!$B$5</f>
        <v>17.349299598641455</v>
      </c>
      <c r="F209" s="56">
        <f>5.552895033*Deflactores!$C$5</f>
        <v>17.992579247138178</v>
      </c>
      <c r="G209" s="56">
        <f>5.77523603946*Deflactores!$D$5</f>
        <v>17.572328698623192</v>
      </c>
      <c r="H209" s="56">
        <f>5.70175097836*Deflactores!$E$5</f>
        <v>16.444769328436472</v>
      </c>
      <c r="I209" s="56">
        <f>5.93439640719999*Deflactores!$F$5</f>
        <v>16.323236147063326</v>
      </c>
      <c r="J209" s="56">
        <f>6.3373701568*Deflactores!$G$5</f>
        <v>16.684536608405999</v>
      </c>
      <c r="K209" s="56">
        <f>6.388483793*Deflactores!$H$5</f>
        <v>15.912947972925208</v>
      </c>
      <c r="L209" s="56">
        <f>7.47600408475*Deflactores!$I$5</f>
        <v>17.294580434812264</v>
      </c>
      <c r="M209" s="56">
        <f>8.78841807898*Deflactores!$J$5</f>
        <v>19.931654002943571</v>
      </c>
      <c r="N209" s="56">
        <f>8.76900223808*Deflactores!$K$5</f>
        <v>19.276324835871598</v>
      </c>
      <c r="O209" s="56">
        <f>9.162576116*Deflactores!$L$5</f>
        <v>19.417850429061275</v>
      </c>
      <c r="P209" s="56">
        <f>11.89081820297*Deflactores!$M$5</f>
        <v>24.599468599929562</v>
      </c>
      <c r="Q209" s="56">
        <f>15.49360572838*Deflactores!$N$5</f>
        <v>31.442846613202352</v>
      </c>
      <c r="R209" s="56">
        <f>19.91089945656*Deflactores!$O$5</f>
        <v>38.980645972606638</v>
      </c>
      <c r="S209" s="56">
        <f>19.39479378514*Deflactores!$P$5</f>
        <v>35.562646768124495</v>
      </c>
      <c r="T209" s="56">
        <f>20.15224293803*Deflactores!$Q$5</f>
        <v>34.942335051037368</v>
      </c>
      <c r="U209" s="56">
        <f>21.13743153684*Deflactores!$R$5</f>
        <v>35.210463264331757</v>
      </c>
      <c r="V209" s="56">
        <f>21.83056839667*Deflactores!$S$5</f>
        <v>35.244312643339484</v>
      </c>
      <c r="X209" s="14"/>
    </row>
    <row r="210" spans="3:24" x14ac:dyDescent="0.2">
      <c r="C210" s="88" t="s">
        <v>126</v>
      </c>
      <c r="D210" s="57">
        <f>126.35138742005*Deflactores!$A$5</f>
        <v>471.53271036257502</v>
      </c>
      <c r="E210" s="57">
        <f>139.75233909396*Deflactores!$B$5</f>
        <v>484.48875753583911</v>
      </c>
      <c r="F210" s="57">
        <f>144.16475233158*Deflactores!$C$5</f>
        <v>467.12493493121667</v>
      </c>
      <c r="G210" s="57">
        <f>141.518099859059*Deflactores!$D$5</f>
        <v>430.59756355178996</v>
      </c>
      <c r="H210" s="57">
        <f>140.67530186146*Deflactores!$E$5</f>
        <v>405.73025691579352</v>
      </c>
      <c r="I210" s="57">
        <f>162.56239130923*Deflactores!$F$5</f>
        <v>447.14645262868294</v>
      </c>
      <c r="J210" s="57">
        <f>198.64574374223*Deflactores!$G$5</f>
        <v>522.9791067222128</v>
      </c>
      <c r="K210" s="57">
        <f>222.001088368069*Deflactores!$H$5</f>
        <v>552.97812182050154</v>
      </c>
      <c r="L210" s="57">
        <f>228.07243461374*Deflactores!$I$5</f>
        <v>527.61034112285267</v>
      </c>
      <c r="M210" s="57">
        <f>264.168005071989*Deflactores!$J$5</f>
        <v>599.11866145014221</v>
      </c>
      <c r="N210" s="57">
        <f>223.51822613973*Deflactores!$K$5</f>
        <v>491.34551649408911</v>
      </c>
      <c r="O210" s="57">
        <f>334.26549073021*Deflactores!$L$5</f>
        <v>708.39436643387614</v>
      </c>
      <c r="P210" s="57">
        <f>441.211806218179*Deflactores!$M$5</f>
        <v>912.76948210942919</v>
      </c>
      <c r="Q210" s="57">
        <f>563.263053337169*Deflactores!$N$5</f>
        <v>1143.0905174335057</v>
      </c>
      <c r="R210" s="57">
        <f>533.486736984278*Deflactores!$O$5</f>
        <v>1044.4358714600287</v>
      </c>
      <c r="S210" s="57">
        <f>520.525268224159*Deflactores!$P$5</f>
        <v>954.44460265012322</v>
      </c>
      <c r="T210" s="57">
        <f>527.61709736037*Deflactores!$Q$5</f>
        <v>914.84473719946618</v>
      </c>
      <c r="U210" s="57">
        <f>568.70561837112*Deflactores!$R$5</f>
        <v>947.34254958911606</v>
      </c>
      <c r="V210" s="57">
        <f>561.847212245629*Deflactores!$S$5</f>
        <v>907.07298345902063</v>
      </c>
      <c r="X210" s="14"/>
    </row>
    <row r="211" spans="3:24" x14ac:dyDescent="0.2">
      <c r="C211" s="87" t="s">
        <v>127</v>
      </c>
      <c r="D211" s="56">
        <f>162.36267304875*Deflactores!$A$5</f>
        <v>605.92378799823859</v>
      </c>
      <c r="E211" s="56">
        <f>176.212293919919*Deflactores!$B$5</f>
        <v>610.88691536248803</v>
      </c>
      <c r="F211" s="56">
        <f>183.29421470424*Deflactores!$C$5</f>
        <v>593.91284438277228</v>
      </c>
      <c r="G211" s="56">
        <f>202.09252200271*Deflactores!$D$5</f>
        <v>614.90754661820017</v>
      </c>
      <c r="H211" s="56">
        <f>212.161283088139*Deflactores!$E$5</f>
        <v>611.9073551355068</v>
      </c>
      <c r="I211" s="56">
        <f>231.94569825457*Deflactores!$F$5</f>
        <v>637.99317506179671</v>
      </c>
      <c r="J211" s="56">
        <f>242.99062646452*Deflactores!$G$5</f>
        <v>639.72687446647717</v>
      </c>
      <c r="K211" s="56">
        <f>268.66944381075*Deflactores!$H$5</f>
        <v>669.22340571009693</v>
      </c>
      <c r="L211" s="56">
        <f>289.04270815675*Deflactores!$I$5</f>
        <v>668.65564928059337</v>
      </c>
      <c r="M211" s="56">
        <f>316.38868377417*Deflactores!$J$5</f>
        <v>717.55231928672492</v>
      </c>
      <c r="N211" s="56">
        <f>328.814223517069*Deflactores!$K$5</f>
        <v>722.81082967971838</v>
      </c>
      <c r="O211" s="56">
        <f>345.454967359439*Deflactores!$L$5</f>
        <v>732.1077392686658</v>
      </c>
      <c r="P211" s="56">
        <f>367.166575577604*Deflactores!$M$5</f>
        <v>759.58630370860124</v>
      </c>
      <c r="Q211" s="56">
        <f>382.795632382603*Deflactores!$N$5</f>
        <v>776.84849893675948</v>
      </c>
      <c r="R211" s="56">
        <f>396.431686182995*Deflactores!$O$5</f>
        <v>776.11577744829128</v>
      </c>
      <c r="S211" s="56">
        <f>406.117934026556*Deflactores!$P$5</f>
        <v>744.66523305097598</v>
      </c>
      <c r="T211" s="56">
        <f>433.734510099165*Deflactores!$Q$5</f>
        <v>752.06003727166922</v>
      </c>
      <c r="U211" s="56">
        <f>469.19364448913*Deflactores!$R$5</f>
        <v>781.57677551074062</v>
      </c>
      <c r="V211" s="56">
        <f>494.88406861495*Deflactores!$S$5</f>
        <v>798.96448500780775</v>
      </c>
      <c r="X211" s="14"/>
    </row>
    <row r="212" spans="3:24" x14ac:dyDescent="0.2">
      <c r="C212" s="88" t="s">
        <v>128</v>
      </c>
      <c r="D212" s="57">
        <f>33.36610314761*Deflactores!$A$5</f>
        <v>124.51947994148556</v>
      </c>
      <c r="E212" s="57">
        <f>38.8518648759599*Deflactores!$B$5</f>
        <v>134.69035197363399</v>
      </c>
      <c r="F212" s="57">
        <f>37.63687024671*Deflactores!$C$5</f>
        <v>121.95158858645522</v>
      </c>
      <c r="G212" s="57">
        <f>44.49025068571*Deflactores!$D$5</f>
        <v>135.37062443711687</v>
      </c>
      <c r="H212" s="57">
        <f>48.32295488074*Deflactores!$E$5</f>
        <v>139.37119479581014</v>
      </c>
      <c r="I212" s="57">
        <f>61.0631337512099*Deflactores!$F$5</f>
        <v>167.96113432722385</v>
      </c>
      <c r="J212" s="57">
        <f>67.41415295408*Deflactores!$G$5</f>
        <v>177.48275310700393</v>
      </c>
      <c r="K212" s="57">
        <f>77.09697757928*Deflactores!$H$5</f>
        <v>192.03933716371625</v>
      </c>
      <c r="L212" s="57">
        <f>92.57426386364*Deflactores!$I$5</f>
        <v>214.15625706373532</v>
      </c>
      <c r="M212" s="57">
        <f>93.68625757796*Deflactores!$J$5</f>
        <v>212.47533447922564</v>
      </c>
      <c r="N212" s="57">
        <f>103.166411195919*Deflactores!$K$5</f>
        <v>226.78398298585222</v>
      </c>
      <c r="O212" s="57">
        <f>112.22748436477*Deflactores!$L$5</f>
        <v>237.83884333790095</v>
      </c>
      <c r="P212" s="57">
        <f>137.7190668195*Deflactores!$M$5</f>
        <v>284.91023931319614</v>
      </c>
      <c r="Q212" s="57">
        <f>198.14356540866*Deflactores!$N$5</f>
        <v>402.11412654741338</v>
      </c>
      <c r="R212" s="57">
        <f>189.05113928826*Deflactores!$O$5</f>
        <v>370.11565185146122</v>
      </c>
      <c r="S212" s="57">
        <f>213.70349533202*Deflactores!$P$5</f>
        <v>391.8506173254118</v>
      </c>
      <c r="T212" s="57">
        <f>199.120324314379*Deflactores!$Q$5</f>
        <v>345.25829750365307</v>
      </c>
      <c r="U212" s="57">
        <f>197.92209197841*Deflactores!$R$5</f>
        <v>329.69609087364717</v>
      </c>
      <c r="V212" s="57">
        <f>251.105010878539*Deflactores!$S$5</f>
        <v>405.39592689040381</v>
      </c>
      <c r="X212" s="14"/>
    </row>
    <row r="213" spans="3:24" x14ac:dyDescent="0.2">
      <c r="C213" s="87" t="s">
        <v>129</v>
      </c>
      <c r="D213" s="56">
        <f>5292.24291526974*Deflactores!$A$5</f>
        <v>19750.203750736844</v>
      </c>
      <c r="E213" s="56">
        <f>6319.07822740228*Deflactores!$B$5</f>
        <v>21906.77006921182</v>
      </c>
      <c r="F213" s="56">
        <f>6875.27540888813*Deflactores!$C$5</f>
        <v>22277.377278908851</v>
      </c>
      <c r="G213" s="56">
        <f>7899.51299098113*Deflactores!$D$5</f>
        <v>24035.872800368488</v>
      </c>
      <c r="H213" s="56">
        <f>8776.41684437683*Deflactores!$E$5</f>
        <v>25312.601529555744</v>
      </c>
      <c r="I213" s="56">
        <f>9866.67998904248*Deflactores!$F$5</f>
        <v>27139.431948502966</v>
      </c>
      <c r="J213" s="56">
        <f>10883.0307968638*Deflactores!$G$5</f>
        <v>28651.999370093668</v>
      </c>
      <c r="K213" s="56">
        <f>12888.538544303*Deflactores!$H$5</f>
        <v>32103.805840011912</v>
      </c>
      <c r="L213" s="56">
        <f>14567.1113134319*Deflactores!$I$5</f>
        <v>33698.761458265901</v>
      </c>
      <c r="M213" s="56">
        <f>16292.6914134021*Deflactores!$J$5</f>
        <v>36950.937598811899</v>
      </c>
      <c r="N213" s="56">
        <f>17785.5995190019*Deflactores!$K$5</f>
        <v>39096.921681715561</v>
      </c>
      <c r="O213" s="56">
        <f>19126.1299425501*Deflactores!$L$5</f>
        <v>40533.17820331089</v>
      </c>
      <c r="P213" s="56">
        <f>20762.5034755085*Deflactores!$M$5</f>
        <v>42953.02001792688</v>
      </c>
      <c r="Q213" s="56">
        <f>22352.9136184808*Deflactores!$N$5</f>
        <v>45363.180565299059</v>
      </c>
      <c r="R213" s="56">
        <f>23326.1275752028*Deflactores!$O$5</f>
        <v>45666.822983291364</v>
      </c>
      <c r="S213" s="56">
        <f>24233.5162276841*Deflactores!$P$5</f>
        <v>44435.01627818527</v>
      </c>
      <c r="T213" s="56">
        <f>26023.5433159473*Deflactores!$Q$5</f>
        <v>45122.687958718416</v>
      </c>
      <c r="U213" s="56">
        <f>27369.0924150468*Deflactores!$R$5</f>
        <v>45591.084298890841</v>
      </c>
      <c r="V213" s="56">
        <f>29186.9672012795*Deflactores!$S$5</f>
        <v>47120.834348486431</v>
      </c>
      <c r="X213" s="14"/>
    </row>
    <row r="214" spans="3:24" x14ac:dyDescent="0.2">
      <c r="C214" s="88" t="s">
        <v>130</v>
      </c>
      <c r="D214" s="57">
        <f>6.224247741*Deflactores!$A$5</f>
        <v>23.228367073839792</v>
      </c>
      <c r="E214" s="57">
        <f>6.48643831909*Deflactores!$B$5</f>
        <v>22.486968464519908</v>
      </c>
      <c r="F214" s="57">
        <f>6.15860292044*Deflactores!$C$5</f>
        <v>19.95520362606381</v>
      </c>
      <c r="G214" s="57">
        <f>5.94239688597*Deflactores!$D$5</f>
        <v>18.080949527338007</v>
      </c>
      <c r="H214" s="57">
        <f>7.56484476649999*Deflactores!$E$5</f>
        <v>21.818232269818296</v>
      </c>
      <c r="I214" s="57">
        <f>7.897846859*Deflactores!$F$5</f>
        <v>21.723931211670877</v>
      </c>
      <c r="J214" s="57">
        <f>8.28655036723*Deflactores!$G$5</f>
        <v>21.816187083706804</v>
      </c>
      <c r="K214" s="57">
        <f>9.0943573215*Deflactores!$H$5</f>
        <v>22.652954847094023</v>
      </c>
      <c r="L214" s="57">
        <f>9.72345936437*Deflactores!$I$5</f>
        <v>22.493721000601742</v>
      </c>
      <c r="M214" s="57">
        <f>10.1987930415*Deflactores!$J$5</f>
        <v>23.130307675849604</v>
      </c>
      <c r="N214" s="57">
        <f>12.57798023542*Deflactores!$K$5</f>
        <v>27.649352368076869</v>
      </c>
      <c r="O214" s="57">
        <f>10.51764083197*Deflactores!$L$5</f>
        <v>22.28958034904046</v>
      </c>
      <c r="P214" s="57">
        <f>15.06537560569*Deflactores!$M$5</f>
        <v>31.166924582679282</v>
      </c>
      <c r="Q214" s="57">
        <f>21.74828914771*Deflactores!$N$5</f>
        <v>44.13615085857225</v>
      </c>
      <c r="R214" s="57">
        <f>23.99024368324*Deflactores!$O$5</f>
        <v>46.966999047591379</v>
      </c>
      <c r="S214" s="57">
        <f>27.1787077522399*Deflactores!$P$5</f>
        <v>49.835373044674917</v>
      </c>
      <c r="T214" s="57">
        <f>57.40816521729*Deflactores!$Q$5</f>
        <v>99.541046118608989</v>
      </c>
      <c r="U214" s="57">
        <f>54.23050693398*Deflactores!$R$5</f>
        <v>90.336485247840784</v>
      </c>
      <c r="V214" s="57">
        <f>36.46642153386*Deflactores!$S$5</f>
        <v>58.87313322172669</v>
      </c>
      <c r="X214" s="14"/>
    </row>
    <row r="215" spans="3:24" x14ac:dyDescent="0.2">
      <c r="C215" s="87" t="s">
        <v>131</v>
      </c>
      <c r="D215" s="56">
        <f>4525.79078903379*Deflactores!$A$5</f>
        <v>16889.869125002089</v>
      </c>
      <c r="E215" s="56">
        <f>7250.96751359888*Deflactores!$B$5</f>
        <v>25137.4128288067</v>
      </c>
      <c r="F215" s="56">
        <f>8100.58100902926*Deflactores!$C$5</f>
        <v>26247.632070595544</v>
      </c>
      <c r="G215" s="56">
        <f>9481.50788126156*Deflactores!$D$5</f>
        <v>28849.413584088445</v>
      </c>
      <c r="H215" s="56">
        <f>10872.7470613413*Deflactores!$E$5</f>
        <v>31358.755945111719</v>
      </c>
      <c r="I215" s="56">
        <f>11912.3974082263*Deflactores!$F$5</f>
        <v>32766.411717327341</v>
      </c>
      <c r="J215" s="56">
        <f>12768.2541125784*Deflactores!$G$5</f>
        <v>33615.269093625684</v>
      </c>
      <c r="K215" s="56">
        <f>13616.5519891653*Deflactores!$H$5</f>
        <v>33917.200136226231</v>
      </c>
      <c r="L215" s="56">
        <f>15023.4152874008*Deflactores!$I$5</f>
        <v>34754.350204749775</v>
      </c>
      <c r="M215" s="56">
        <f>17575.5288142572*Deflactores!$J$5</f>
        <v>39860.34302150509</v>
      </c>
      <c r="N215" s="56">
        <f>19130.1314830883*Deflactores!$K$5</f>
        <v>42052.518474631492</v>
      </c>
      <c r="O215" s="56">
        <f>20553.2729912873*Deflactores!$L$5</f>
        <v>43557.660609832106</v>
      </c>
      <c r="P215" s="56">
        <f>21510.7007810495*Deflactores!$M$5</f>
        <v>44500.874489338334</v>
      </c>
      <c r="Q215" s="56">
        <f>23466.8812583554*Deflactores!$N$5</f>
        <v>47623.875347824054</v>
      </c>
      <c r="R215" s="56">
        <f>24471.7674400186*Deflactores!$O$5</f>
        <v>47909.704179086686</v>
      </c>
      <c r="S215" s="56">
        <f>26493.4579769932*Deflactores!$P$5</f>
        <v>48578.88658882476</v>
      </c>
      <c r="T215" s="56">
        <f>28752.3200118594*Deflactores!$Q$5</f>
        <v>49854.162756895115</v>
      </c>
      <c r="U215" s="56">
        <f>32293.648170316*Deflactores!$R$5</f>
        <v>53794.346327763713</v>
      </c>
      <c r="V215" s="56">
        <f>34666.6615613826*Deflactores!$S$5</f>
        <v>55967.514732991542</v>
      </c>
      <c r="X215" s="14"/>
    </row>
    <row r="216" spans="3:24" x14ac:dyDescent="0.2">
      <c r="C216" s="88" t="s">
        <v>132</v>
      </c>
      <c r="D216" s="57">
        <f>26.48581001095*Deflactores!$A$5</f>
        <v>98.842806839093541</v>
      </c>
      <c r="E216" s="57">
        <f>26.3692258985*Deflactores!$B$5</f>
        <v>91.415954649293525</v>
      </c>
      <c r="F216" s="57">
        <f>30.0931185491699*Deflactores!$C$5</f>
        <v>97.50820375168135</v>
      </c>
      <c r="G216" s="57">
        <f>30.98298108624*Deflactores!$D$5</f>
        <v>94.272013124772911</v>
      </c>
      <c r="H216" s="57">
        <f>29.8308202684399*Deflactores!$E$5</f>
        <v>86.036896394525115</v>
      </c>
      <c r="I216" s="57">
        <f>31.15294615312*Deflactores!$F$5</f>
        <v>85.689741945307276</v>
      </c>
      <c r="J216" s="57">
        <f>38.79691088175*Deflactores!$G$5</f>
        <v>102.14149779543189</v>
      </c>
      <c r="K216" s="57">
        <f>41.43821561205*Deflactores!$H$5</f>
        <v>103.21763199085396</v>
      </c>
      <c r="L216" s="57">
        <f>42.98372513036*Deflactores!$I$5</f>
        <v>99.436207260944983</v>
      </c>
      <c r="M216" s="57">
        <f>41.18396590688*Deflactores!$J$5</f>
        <v>93.402993752457817</v>
      </c>
      <c r="N216" s="57">
        <f>42.98077616109*Deflactores!$K$5</f>
        <v>94.481832765555566</v>
      </c>
      <c r="O216" s="57">
        <f>42.43902201113*Deflactores!$L$5</f>
        <v>89.939179913467214</v>
      </c>
      <c r="P216" s="57">
        <f>48.58657026445*Deflactores!$M$5</f>
        <v>100.51485013033671</v>
      </c>
      <c r="Q216" s="57">
        <f>53.0546764312599*Deflactores!$N$5</f>
        <v>107.66958204477375</v>
      </c>
      <c r="R216" s="57">
        <f>58.9277698738199*Deflactores!$O$5</f>
        <v>115.36608581737411</v>
      </c>
      <c r="S216" s="57">
        <f>60.27436461856*Deflactores!$P$5</f>
        <v>110.5201716424188</v>
      </c>
      <c r="T216" s="57">
        <f>65.6043421592399*Deflactores!$Q$5</f>
        <v>113.75254415006322</v>
      </c>
      <c r="U216" s="57">
        <f>69.0167748833999*Deflactores!$R$5</f>
        <v>114.96726139215225</v>
      </c>
      <c r="V216" s="57">
        <f>75.5182921467199*Deflactores!$S$5</f>
        <v>121.92033896451547</v>
      </c>
      <c r="X216" s="14"/>
    </row>
    <row r="217" spans="3:24" x14ac:dyDescent="0.2">
      <c r="C217" s="87" t="s">
        <v>133</v>
      </c>
      <c r="D217" s="56">
        <f>553.85965850444*Deflactores!$A$5</f>
        <v>2066.9574847394692</v>
      </c>
      <c r="E217" s="56">
        <f>608.06125723718*Deflactores!$B$5</f>
        <v>2108.0065273644782</v>
      </c>
      <c r="F217" s="56">
        <f>627.56286365562*Deflactores!$C$5</f>
        <v>2033.4392222041333</v>
      </c>
      <c r="G217" s="56">
        <f>652.247917801349*Deflactores!$D$5</f>
        <v>1984.5967725449968</v>
      </c>
      <c r="H217" s="56">
        <f>704.315085764969*Deflactores!$E$5</f>
        <v>2031.3582904447176</v>
      </c>
      <c r="I217" s="56">
        <f>798.38944527985*Deflactores!$F$5</f>
        <v>2196.0614961302995</v>
      </c>
      <c r="J217" s="56">
        <f>869.63458605359*Deflactores!$G$5</f>
        <v>2289.5064873839628</v>
      </c>
      <c r="K217" s="56">
        <f>977.34275265415*Deflactores!$H$5</f>
        <v>2434.4437394898155</v>
      </c>
      <c r="L217" s="56">
        <f>1131.95505996227*Deflactores!$I$5</f>
        <v>2618.603148310729</v>
      </c>
      <c r="M217" s="56">
        <f>1305.8970352268*Deflactores!$J$5</f>
        <v>2961.703418714842</v>
      </c>
      <c r="N217" s="56">
        <f>1372.42656172225*Deflactores!$K$5</f>
        <v>3016.9156648463745</v>
      </c>
      <c r="O217" s="56">
        <f>1454.21462116333*Deflactores!$L$5</f>
        <v>3081.8540166006246</v>
      </c>
      <c r="P217" s="56">
        <f>1712.83816785903*Deflactores!$M$5</f>
        <v>3543.4827114323339</v>
      </c>
      <c r="Q217" s="56">
        <f>1962.22725165863*Deflactores!$N$5</f>
        <v>3982.1595809124165</v>
      </c>
      <c r="R217" s="56">
        <f>2247.69982442713*Deflactores!$O$5</f>
        <v>4400.4436514703584</v>
      </c>
      <c r="S217" s="56">
        <f>2493.38857678423*Deflactores!$P$5</f>
        <v>4571.9226610077703</v>
      </c>
      <c r="T217" s="56">
        <f>2817.65371275184*Deflactores!$Q$5</f>
        <v>4885.5802498775747</v>
      </c>
      <c r="U217" s="56">
        <f>3027.52040369815*Deflactores!$R$5</f>
        <v>5043.2047891266675</v>
      </c>
      <c r="V217" s="56">
        <f>3350.52459156657*Deflactores!$S$5</f>
        <v>5409.2469824277377</v>
      </c>
      <c r="X217" s="14"/>
    </row>
    <row r="218" spans="3:24" x14ac:dyDescent="0.2">
      <c r="C218" s="88" t="s">
        <v>134</v>
      </c>
      <c r="D218" s="57">
        <f>4497.67330283359*Deflactores!$A$5</f>
        <v>16784.937040382505</v>
      </c>
      <c r="E218" s="57">
        <f>4505.5820948199*Deflactores!$B$5</f>
        <v>15619.802038714932</v>
      </c>
      <c r="F218" s="57">
        <f>4329.6236639101*Deflactores!$C$5</f>
        <v>14028.915803420197</v>
      </c>
      <c r="G218" s="57">
        <f>3460.46925897269*Deflactores!$D$5</f>
        <v>10529.180600527436</v>
      </c>
      <c r="H218" s="57">
        <f>4174.83226922825*Deflactores!$E$5</f>
        <v>12040.889529012475</v>
      </c>
      <c r="I218" s="57">
        <f>5073.0484470288*Deflactores!$F$5</f>
        <v>13954.000053969317</v>
      </c>
      <c r="J218" s="57">
        <f>5160.60173028393*Deflactores!$G$5</f>
        <v>13586.431967830986</v>
      </c>
      <c r="K218" s="57">
        <f>5478.62673894694*Deflactores!$H$5</f>
        <v>13646.603025817454</v>
      </c>
      <c r="L218" s="57">
        <f>5529.38591086574*Deflactores!$I$5</f>
        <v>12791.380034911132</v>
      </c>
      <c r="M218" s="57">
        <f>5348.87389713143*Deflactores!$J$5</f>
        <v>12130.954952859232</v>
      </c>
      <c r="N218" s="57">
        <f>6185.80036632538*Deflactores!$K$5</f>
        <v>13597.840893840324</v>
      </c>
      <c r="O218" s="57">
        <f>5966.35495448134*Deflactores!$L$5</f>
        <v>12644.237455282862</v>
      </c>
      <c r="P218" s="57">
        <f>6533.26590589604*Deflactores!$M$5</f>
        <v>13515.879795970461</v>
      </c>
      <c r="Q218" s="57">
        <f>6690.55016396163*Deflactores!$N$5</f>
        <v>13577.855681330642</v>
      </c>
      <c r="R218" s="57">
        <f>9991.18895857833*Deflactores!$O$5</f>
        <v>19560.291612614357</v>
      </c>
      <c r="S218" s="57">
        <f>13214.2190534966*Deflactores!$P$5</f>
        <v>24229.83248608579</v>
      </c>
      <c r="T218" s="57">
        <f>15092.5713339462*Deflactores!$Q$5</f>
        <v>26169.279814368077</v>
      </c>
      <c r="U218" s="57">
        <f>18066.5746154896*Deflactores!$R$5</f>
        <v>30095.069058050067</v>
      </c>
      <c r="V218" s="57">
        <f>9966.49431834293*Deflactores!$S$5</f>
        <v>16090.38460800342</v>
      </c>
      <c r="X218" s="14"/>
    </row>
    <row r="219" spans="3:24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X219" s="14"/>
    </row>
    <row r="220" spans="3:24" x14ac:dyDescent="0.2">
      <c r="C220" s="88" t="s">
        <v>136</v>
      </c>
      <c r="D220" s="57">
        <f>132.4655331882*Deflactores!$A$5</f>
        <v>494.3501861693357</v>
      </c>
      <c r="E220" s="57">
        <f>142.19854219472*Deflactores!$B$5</f>
        <v>492.96917302406018</v>
      </c>
      <c r="F220" s="57">
        <f>150.22082575209*Deflactores!$C$5</f>
        <v>486.74792083270682</v>
      </c>
      <c r="G220" s="57">
        <f>144.899587979879*Deflactores!$D$5</f>
        <v>440.88642799707668</v>
      </c>
      <c r="H220" s="57">
        <f>145.57413807061*Deflactores!$E$5</f>
        <v>419.85929056581011</v>
      </c>
      <c r="I220" s="57">
        <f>150.12712339351*Deflactores!$F$5</f>
        <v>412.94182576991352</v>
      </c>
      <c r="J220" s="57">
        <f>158.72546270256*Deflactores!$G$5</f>
        <v>417.88008710607812</v>
      </c>
      <c r="K220" s="57">
        <f>201.49838345623*Deflactores!$H$5</f>
        <v>501.90833951568914</v>
      </c>
      <c r="L220" s="57">
        <f>222.21925650005*Deflactores!$I$5</f>
        <v>514.06991785141724</v>
      </c>
      <c r="M220" s="57">
        <f>457.85428708307*Deflactores!$J$5</f>
        <v>1038.3886100879834</v>
      </c>
      <c r="N220" s="57">
        <f>593.59590315212*Deflactores!$K$5</f>
        <v>1304.8631006973237</v>
      </c>
      <c r="O220" s="57">
        <f>734.11159954104*Deflactores!$L$5</f>
        <v>1555.7708943049881</v>
      </c>
      <c r="P220" s="57">
        <f>1171.51787288038*Deflactores!$M$5</f>
        <v>2423.61094386079</v>
      </c>
      <c r="Q220" s="57">
        <f>1103.97688018436*Deflactores!$N$5</f>
        <v>2240.4194553999396</v>
      </c>
      <c r="R220" s="57">
        <f>1118.38771786222*Deflactores!$O$5</f>
        <v>2189.5281920945749</v>
      </c>
      <c r="S220" s="57">
        <f>1088.05530085805*Deflactores!$P$5</f>
        <v>1995.0779965625165</v>
      </c>
      <c r="T220" s="57">
        <f>1044.59474870687*Deflactores!$Q$5</f>
        <v>1811.2415483533159</v>
      </c>
      <c r="U220" s="57">
        <f>1181.90141837981*Deflactores!$R$5</f>
        <v>1968.7962750532597</v>
      </c>
      <c r="V220" s="57">
        <f>1319.61249853681*Deflactores!$S$5</f>
        <v>2130.4454662565768</v>
      </c>
      <c r="X220" s="14"/>
    </row>
    <row r="221" spans="3:24" x14ac:dyDescent="0.2">
      <c r="C221" s="87" t="s">
        <v>137</v>
      </c>
      <c r="D221" s="56">
        <f>40.28043249437*Deflactores!$A$5</f>
        <v>150.32317330639017</v>
      </c>
      <c r="E221" s="56">
        <f>38.38875972712*Deflactores!$B$5</f>
        <v>133.08487445801944</v>
      </c>
      <c r="F221" s="56">
        <f>40.21225868783*Deflactores!$C$5</f>
        <v>130.29640338011444</v>
      </c>
      <c r="G221" s="56">
        <f>40.72814560369*Deflactores!$D$5</f>
        <v>123.92365557760728</v>
      </c>
      <c r="H221" s="56">
        <f>43.06725851805*Deflactores!$E$5</f>
        <v>124.2129189130568</v>
      </c>
      <c r="I221" s="56">
        <f>44.3289278592699*Deflactores!$F$5</f>
        <v>121.93178681408769</v>
      </c>
      <c r="J221" s="56">
        <f>46.82146547345*Deflactores!$G$5</f>
        <v>123.26792272229392</v>
      </c>
      <c r="K221" s="56">
        <f>48.10716023558*Deflactores!$H$5</f>
        <v>119.82917430154008</v>
      </c>
      <c r="L221" s="56">
        <f>50.8143633387199*Deflactores!$I$5</f>
        <v>117.55117895105518</v>
      </c>
      <c r="M221" s="56">
        <f>55.58083299583*Deflactores!$J$5</f>
        <v>126.05430494003633</v>
      </c>
      <c r="N221" s="56">
        <f>55.1104765613099*Deflactores!$K$5</f>
        <v>121.14576085318657</v>
      </c>
      <c r="O221" s="56">
        <f>56.64784524386*Deflactores!$L$5</f>
        <v>120.05132313750305</v>
      </c>
      <c r="P221" s="56">
        <f>88.62297479424*Deflactores!$M$5</f>
        <v>183.34130153791537</v>
      </c>
      <c r="Q221" s="56">
        <f>113.54618465175*Deflactores!$N$5</f>
        <v>230.43152963287812</v>
      </c>
      <c r="R221" s="56">
        <f>120.49079417961*Deflactores!$O$5</f>
        <v>235.89135192615035</v>
      </c>
      <c r="S221" s="56">
        <f>118.07408337558*Deflactores!$P$5</f>
        <v>216.50278760752093</v>
      </c>
      <c r="T221" s="56">
        <f>133.15833696993*Deflactores!$Q$5</f>
        <v>230.88562595986025</v>
      </c>
      <c r="U221" s="56">
        <f>138.72628481202*Deflactores!$R$5</f>
        <v>231.08847196772962</v>
      </c>
      <c r="V221" s="56">
        <f>142.84899399384*Deflactores!$S$5</f>
        <v>230.62224096159557</v>
      </c>
      <c r="X221" s="14"/>
    </row>
    <row r="222" spans="3:24" x14ac:dyDescent="0.2">
      <c r="C222" s="88" t="s">
        <v>138</v>
      </c>
      <c r="D222" s="57">
        <f>139.87322609475*Deflactores!$A$5</f>
        <v>521.99507068609148</v>
      </c>
      <c r="E222" s="57">
        <f>155.40268809573*Deflactores!$B$5</f>
        <v>538.74486653571728</v>
      </c>
      <c r="F222" s="57">
        <f>169.836471861559*Deflactores!$C$5</f>
        <v>550.306850906298</v>
      </c>
      <c r="G222" s="57">
        <f>178.677987978699*Deflactores!$D$5</f>
        <v>543.66407096045214</v>
      </c>
      <c r="H222" s="57">
        <f>201.746617911699*Deflactores!$E$5</f>
        <v>581.8697812201483</v>
      </c>
      <c r="I222" s="57">
        <f>220.531902905889*Deflactores!$F$5</f>
        <v>606.59822534378839</v>
      </c>
      <c r="J222" s="57">
        <f>229.60864118934*Deflactores!$G$5</f>
        <v>604.49582157029749</v>
      </c>
      <c r="K222" s="57">
        <f>241.77528992866*Deflactores!$H$5</f>
        <v>602.23328953096939</v>
      </c>
      <c r="L222" s="57">
        <f>276.4616017542*Deflactores!$I$5</f>
        <v>639.55120335316599</v>
      </c>
      <c r="M222" s="57">
        <f>266.49835513089*Deflactores!$J$5</f>
        <v>604.40376858345508</v>
      </c>
      <c r="N222" s="57">
        <f>266.521193427019*Deflactores!$K$5</f>
        <v>585.87613056286159</v>
      </c>
      <c r="O222" s="57">
        <f>273.580532778509*Deflactores!$L$5</f>
        <v>579.78736531523987</v>
      </c>
      <c r="P222" s="57">
        <f>107.98978200229*Deflactores!$M$5</f>
        <v>223.40693517751814</v>
      </c>
      <c r="Q222" s="57">
        <f>135.39801471765*Deflactores!$N$5</f>
        <v>274.7778072538008</v>
      </c>
      <c r="R222" s="57">
        <f>120.23630627767*Deflactores!$O$5</f>
        <v>235.39312718088067</v>
      </c>
      <c r="S222" s="57">
        <f>61.06332925316*Deflactores!$P$5</f>
        <v>111.96683155144653</v>
      </c>
      <c r="T222" s="57">
        <f>79.27123751715*Deflactores!$Q$5</f>
        <v>137.44981884906727</v>
      </c>
      <c r="U222" s="57">
        <f>80.5239965851*Deflactores!$R$5</f>
        <v>134.13584421150102</v>
      </c>
      <c r="V222" s="57">
        <f>85.16624505572*Deflactores!$S$5</f>
        <v>137.49645510196265</v>
      </c>
      <c r="X222" s="14"/>
    </row>
    <row r="223" spans="3:24" x14ac:dyDescent="0.2">
      <c r="C223" s="87" t="s">
        <v>139</v>
      </c>
      <c r="D223" s="56">
        <f>413.6121428413*Deflactores!$A$5</f>
        <v>1543.5655969843526</v>
      </c>
      <c r="E223" s="56">
        <f>486.10094742097*Deflactores!$B$5</f>
        <v>1685.1985847237861</v>
      </c>
      <c r="F223" s="56">
        <f>491.29762082519*Deflactores!$C$5</f>
        <v>1591.9104042296192</v>
      </c>
      <c r="G223" s="56">
        <f>531.789690734509*Deflactores!$D$5</f>
        <v>1618.0781495815236</v>
      </c>
      <c r="H223" s="56">
        <f>644.56058732327*Deflactores!$E$5</f>
        <v>1859.0166804832113</v>
      </c>
      <c r="I223" s="56">
        <f>761.31596088897*Deflactores!$F$5</f>
        <v>2094.0866365181946</v>
      </c>
      <c r="J223" s="56">
        <f>852.704309708209*Deflactores!$G$5</f>
        <v>2244.9337689714453</v>
      </c>
      <c r="K223" s="56">
        <f>834.86944596983*Deflactores!$H$5</f>
        <v>2079.5597967172926</v>
      </c>
      <c r="L223" s="56">
        <f>907.27978509735*Deflactores!$I$5</f>
        <v>2098.8516114180288</v>
      </c>
      <c r="M223" s="56">
        <f>1155.42905161845*Deflactores!$J$5</f>
        <v>2620.4502192368432</v>
      </c>
      <c r="N223" s="56">
        <f>1615.62727376911*Deflactores!$K$5</f>
        <v>3551.5279044661238</v>
      </c>
      <c r="O223" s="56">
        <f>1908.0212447803*Deflactores!$L$5</f>
        <v>4043.5867246895546</v>
      </c>
      <c r="P223" s="56">
        <f>1805.54671420312*Deflactores!$M$5</f>
        <v>3735.2761553996238</v>
      </c>
      <c r="Q223" s="56">
        <f>2322.96530556225*Deflactores!$N$5</f>
        <v>4714.2442547633891</v>
      </c>
      <c r="R223" s="56">
        <f>2394.73527966533*Deflactores!$O$5</f>
        <v>4688.3029236527091</v>
      </c>
      <c r="S223" s="56">
        <f>2304.96789040998*Deflactores!$P$5</f>
        <v>4226.431062202063</v>
      </c>
      <c r="T223" s="56">
        <f>2383.25674148544*Deflactores!$Q$5</f>
        <v>4132.3715593202633</v>
      </c>
      <c r="U223" s="56">
        <f>2540.10326881271*Deflactores!$R$5</f>
        <v>4231.271556255967</v>
      </c>
      <c r="V223" s="56">
        <f>2952.99565666137*Deflactores!$S$5</f>
        <v>4767.4572767272775</v>
      </c>
      <c r="X223" s="14"/>
    </row>
    <row r="224" spans="3:24" x14ac:dyDescent="0.2">
      <c r="C224" s="88" t="s">
        <v>140</v>
      </c>
      <c r="D224" s="57">
        <f>83.1204466983199*Deflactores!$A$5</f>
        <v>310.19848945471296</v>
      </c>
      <c r="E224" s="57">
        <f>75.5852423801599*Deflactores!$B$5</f>
        <v>262.03640244037695</v>
      </c>
      <c r="F224" s="57">
        <f>91.20721606314*Deflactores!$C$5</f>
        <v>295.5310794053147</v>
      </c>
      <c r="G224" s="57">
        <f>62.81247802285*Deflactores!$D$5</f>
        <v>191.11972266604886</v>
      </c>
      <c r="H224" s="57">
        <f>1948.29972056849*Deflactores!$E$5</f>
        <v>5619.2105914491485</v>
      </c>
      <c r="I224" s="57">
        <f>2099.0601038884*Deflactores!$F$5</f>
        <v>5773.7049249151978</v>
      </c>
      <c r="J224" s="57">
        <f>130.07240751671*Deflactores!$G$5</f>
        <v>342.4445458069747</v>
      </c>
      <c r="K224" s="57">
        <f>112.194547890949*Deflactores!$H$5</f>
        <v>279.46318113709225</v>
      </c>
      <c r="L224" s="57">
        <f>114.390584735229*Deflactores!$I$5</f>
        <v>264.62494485846474</v>
      </c>
      <c r="M224" s="57">
        <f>103.273878708539*Deflactores!$J$5</f>
        <v>234.21953751652472</v>
      </c>
      <c r="N224" s="57">
        <f>945.42529593505*Deflactores!$K$5</f>
        <v>2078.2666736420324</v>
      </c>
      <c r="O224" s="57">
        <f>703.72363172918*Deflactores!$L$5</f>
        <v>1491.3709912271379</v>
      </c>
      <c r="P224" s="57">
        <f>152.36142597922*Deflactores!$M$5</f>
        <v>315.20203658316507</v>
      </c>
      <c r="Q224" s="57">
        <f>218.7304769365*Deflactores!$N$5</f>
        <v>443.8933684332286</v>
      </c>
      <c r="R224" s="57">
        <f>425.20569214428*Deflactores!$O$5</f>
        <v>832.44820693183146</v>
      </c>
      <c r="S224" s="57">
        <f>708.61243868158*Deflactores!$P$5</f>
        <v>1299.3246606024898</v>
      </c>
      <c r="T224" s="57">
        <f>523.258524235*Deflactores!$Q$5</f>
        <v>907.28732917498678</v>
      </c>
      <c r="U224" s="57">
        <f>648.55815310444*Deflactores!$R$5</f>
        <v>1080.3598812308994</v>
      </c>
      <c r="V224" s="57">
        <f>577.936707992939*Deflactores!$S$5</f>
        <v>933.0486341195126</v>
      </c>
      <c r="X224" s="14"/>
    </row>
    <row r="225" spans="2:24" x14ac:dyDescent="0.2">
      <c r="C225" s="87" t="s">
        <v>141</v>
      </c>
      <c r="D225" s="56">
        <f>330.98653714445*Deflactores!$A$5</f>
        <v>1235.2138123691041</v>
      </c>
      <c r="E225" s="56">
        <f>324.29685865557*Deflactores!$B$5</f>
        <v>1124.2615554160932</v>
      </c>
      <c r="F225" s="56">
        <f>348.69190980545*Deflactores!$C$5</f>
        <v>1129.8370998777921</v>
      </c>
      <c r="G225" s="56">
        <f>354.71970836968*Deflactores!$D$5</f>
        <v>1079.3067623145328</v>
      </c>
      <c r="H225" s="56">
        <f>379.47339523117*Deflactores!$E$5</f>
        <v>1094.4624685538465</v>
      </c>
      <c r="I225" s="56">
        <f>431.553272707019*Deflactores!$F$5</f>
        <v>1187.0366414835446</v>
      </c>
      <c r="J225" s="56">
        <f>488.01032965096*Deflactores!$G$5</f>
        <v>1284.7957447467561</v>
      </c>
      <c r="K225" s="56">
        <f>549.487148996419*Deflactores!$H$5</f>
        <v>1368.706675495047</v>
      </c>
      <c r="L225" s="56">
        <f>634.68410127715*Deflactores!$I$5</f>
        <v>1468.2436119350068</v>
      </c>
      <c r="M225" s="56">
        <f>705.13820138687*Deflactores!$J$5</f>
        <v>1599.2150723822003</v>
      </c>
      <c r="N225" s="56">
        <f>783.70735828958*Deflactores!$K$5</f>
        <v>1722.7726946002554</v>
      </c>
      <c r="O225" s="56">
        <f>830.342692577229*Deflactores!$L$5</f>
        <v>1759.7092788318878</v>
      </c>
      <c r="P225" s="56">
        <f>939.197728884529*Deflactores!$M$5</f>
        <v>1942.9920335548857</v>
      </c>
      <c r="Q225" s="56">
        <f>1047.48341563367*Deflactores!$N$5</f>
        <v>2125.7711694130298</v>
      </c>
      <c r="R225" s="56">
        <f>1191.10280200866*Deflactores!$O$5</f>
        <v>2331.8864495989501</v>
      </c>
      <c r="S225" s="56">
        <f>1260.71590365296*Deflactores!$P$5</f>
        <v>2311.6716193661482</v>
      </c>
      <c r="T225" s="56">
        <f>1391.12839334215*Deflactores!$Q$5</f>
        <v>2412.1024428224046</v>
      </c>
      <c r="U225" s="56">
        <f>1433.60861488281*Deflactores!$R$5</f>
        <v>2388.0869055345529</v>
      </c>
      <c r="V225" s="56">
        <f>1545.89375367141*Deflactores!$S$5</f>
        <v>2495.7647358413128</v>
      </c>
      <c r="X225" s="14"/>
    </row>
    <row r="226" spans="2:24" x14ac:dyDescent="0.2">
      <c r="C226" s="88" t="s">
        <v>142</v>
      </c>
      <c r="D226" s="57">
        <f>34.21070046103*Deflactores!$A$5</f>
        <v>127.67144580821483</v>
      </c>
      <c r="E226" s="57">
        <f>38.70256779649*Deflactores!$B$5</f>
        <v>134.17277382785807</v>
      </c>
      <c r="F226" s="57">
        <f>42.00992435621*Deflactores!$C$5</f>
        <v>136.12122841389728</v>
      </c>
      <c r="G226" s="57">
        <f>39.74885312057*Deflactores!$D$5</f>
        <v>120.94395928677227</v>
      </c>
      <c r="H226" s="57">
        <f>45.7171570732499*Deflactores!$E$5</f>
        <v>131.8556536886386</v>
      </c>
      <c r="I226" s="57">
        <f>40.3937115361*Deflactores!$F$5</f>
        <v>111.10752417215394</v>
      </c>
      <c r="J226" s="57">
        <f>49.3055870578999*Deflactores!$G$5</f>
        <v>129.80792535588066</v>
      </c>
      <c r="K226" s="57">
        <f>55.52874886061*Deflactores!$H$5</f>
        <v>138.31546267499735</v>
      </c>
      <c r="L226" s="57">
        <f>58.75720484383*Deflactores!$I$5</f>
        <v>135.92571563319848</v>
      </c>
      <c r="M226" s="57">
        <f>58.4343235471399*Deflactores!$J$5</f>
        <v>132.52586624472775</v>
      </c>
      <c r="N226" s="57">
        <f>79.73913328744*Deflactores!$K$5</f>
        <v>175.28532821039659</v>
      </c>
      <c r="O226" s="57">
        <f>67.58831018856*Deflactores!$L$5</f>
        <v>143.23697630218479</v>
      </c>
      <c r="P226" s="57">
        <f>89.4454998821*Deflactores!$M$5</f>
        <v>185.04292372455453</v>
      </c>
      <c r="Q226" s="57">
        <f>109.124591302359*Deflactores!$N$5</f>
        <v>221.45831294541608</v>
      </c>
      <c r="R226" s="57">
        <f>160.468708301089*Deflactores!$O$5</f>
        <v>314.15827906786785</v>
      </c>
      <c r="S226" s="57">
        <f>163.28199370506*Deflactores!$P$5</f>
        <v>299.39683453490557</v>
      </c>
      <c r="T226" s="57">
        <f>160.894288306599*Deflactores!$Q$5</f>
        <v>278.97748886293311</v>
      </c>
      <c r="U226" s="57">
        <f>166.71023100767*Deflactores!$R$5</f>
        <v>277.70377183496572</v>
      </c>
      <c r="V226" s="57">
        <f>160.082127463608*Deflactores!$S$5</f>
        <v>258.44423500209655</v>
      </c>
      <c r="X226" s="14"/>
    </row>
    <row r="227" spans="2:24" x14ac:dyDescent="0.2">
      <c r="C227" s="87" t="s">
        <v>143</v>
      </c>
      <c r="D227" s="56">
        <f>40.77466491261*Deflactores!$A$5</f>
        <v>152.16760696462143</v>
      </c>
      <c r="E227" s="56">
        <f>48.7188006844499*Deflactores!$B$5</f>
        <v>168.89671661506711</v>
      </c>
      <c r="F227" s="56">
        <f>44.26091933012*Deflactores!$C$5</f>
        <v>143.41493830977916</v>
      </c>
      <c r="G227" s="56">
        <f>42.17268777616*Deflactores!$D$5</f>
        <v>128.31896854840656</v>
      </c>
      <c r="H227" s="56">
        <f>70.79457489002*Deflactores!$E$5</f>
        <v>204.1829708434513</v>
      </c>
      <c r="I227" s="56">
        <f>83.1010246837999*Deflactores!$F$5</f>
        <v>228.57887422735004</v>
      </c>
      <c r="J227" s="56">
        <f>152.87978478614*Deflactores!$G$5</f>
        <v>402.49003969140909</v>
      </c>
      <c r="K227" s="56">
        <f>207.68690929004*Deflactores!$H$5</f>
        <v>517.32321616144759</v>
      </c>
      <c r="L227" s="56">
        <f>229.72081069987*Deflactores!$I$5</f>
        <v>531.42360453004471</v>
      </c>
      <c r="M227" s="56">
        <f>241.66311817121*Deflactores!$J$5</f>
        <v>548.07880250731807</v>
      </c>
      <c r="N227" s="56">
        <f>232.6856493385*Deflactores!$K$5</f>
        <v>511.49766410331222</v>
      </c>
      <c r="O227" s="56">
        <f>201.756110405469*Deflactores!$L$5</f>
        <v>427.57298006631595</v>
      </c>
      <c r="P227" s="56">
        <f>251.165049447439*Deflactores!$M$5</f>
        <v>519.60484483219204</v>
      </c>
      <c r="Q227" s="56">
        <f>322.3086015684*Deflactores!$N$5</f>
        <v>654.09563783256192</v>
      </c>
      <c r="R227" s="56">
        <f>303.42385259997*Deflactores!$O$5</f>
        <v>594.02930558955643</v>
      </c>
      <c r="S227" s="56">
        <f>386.89641640346*Deflactores!$P$5</f>
        <v>709.42030860629427</v>
      </c>
      <c r="T227" s="56">
        <f>441.58890057785*Deflactores!$Q$5</f>
        <v>765.6789056314766</v>
      </c>
      <c r="U227" s="56">
        <f>913.481582068379*Deflactores!$R$5</f>
        <v>1521.6659428088099</v>
      </c>
      <c r="V227" s="56">
        <f>535.46146471208*Deflactores!$S$5</f>
        <v>864.47457197915844</v>
      </c>
      <c r="X227" s="14"/>
    </row>
    <row r="228" spans="2:24" x14ac:dyDescent="0.2">
      <c r="C228" s="88" t="s">
        <v>144</v>
      </c>
      <c r="D228" s="57">
        <f>648.293309847219*Deflactores!$A$5</f>
        <v>2419.3758987855431</v>
      </c>
      <c r="E228" s="57">
        <f>733.86382156283*Deflactores!$B$5</f>
        <v>2544.134670049647</v>
      </c>
      <c r="F228" s="57">
        <f>742.22168605816*Deflactores!$C$5</f>
        <v>2404.9585713366314</v>
      </c>
      <c r="G228" s="57">
        <f>743.62049048253*Deflactores!$D$5</f>
        <v>2262.6163842495048</v>
      </c>
      <c r="H228" s="57">
        <f>833.20222115808*Deflactores!$E$5</f>
        <v>2403.0895742182347</v>
      </c>
      <c r="I228" s="57">
        <f>975.651544951769*Deflactores!$F$5</f>
        <v>2683.6411780939857</v>
      </c>
      <c r="J228" s="57">
        <f>1101.31913948581*Deflactores!$G$5</f>
        <v>2899.4676096949793</v>
      </c>
      <c r="K228" s="57">
        <f>1200.63062102362*Deflactores!$H$5</f>
        <v>2990.6270761748096</v>
      </c>
      <c r="L228" s="57">
        <f>1321.76166911568*Deflactores!$I$5</f>
        <v>3057.6914141610268</v>
      </c>
      <c r="M228" s="57">
        <f>1532.83931403791*Deflactores!$J$5</f>
        <v>3476.3961585517691</v>
      </c>
      <c r="N228" s="57">
        <f>1649.7047763433*Deflactores!$K$5</f>
        <v>3626.4382524601924</v>
      </c>
      <c r="O228" s="57">
        <f>1808.57890573014*Deflactores!$L$5</f>
        <v>3832.8428856702958</v>
      </c>
      <c r="P228" s="57">
        <f>2085.50490399103*Deflactores!$M$5</f>
        <v>4314.4476288362184</v>
      </c>
      <c r="Q228" s="57">
        <f>2468.78211351965*Deflactores!$N$5</f>
        <v>5010.1660438297695</v>
      </c>
      <c r="R228" s="57">
        <f>2699.52904492785*Deflactores!$O$5</f>
        <v>5285.014181437783</v>
      </c>
      <c r="S228" s="57">
        <f>2859.14267356723*Deflactores!$P$5</f>
        <v>5242.5760276784767</v>
      </c>
      <c r="T228" s="57">
        <f>3103.56997730652*Deflactores!$Q$5</f>
        <v>5381.3355830845339</v>
      </c>
      <c r="U228" s="57">
        <f>3372.54167358996*Deflactores!$R$5</f>
        <v>5617.9368102696117</v>
      </c>
      <c r="V228" s="57">
        <f>3909.73623852785*Deflactores!$S$5</f>
        <v>6312.0649833693224</v>
      </c>
      <c r="X228" s="14"/>
    </row>
    <row r="229" spans="2:24" x14ac:dyDescent="0.2">
      <c r="C229" s="87" t="s">
        <v>145</v>
      </c>
      <c r="D229" s="56">
        <f>156.4003456494*Deflactores!$A$5</f>
        <v>583.67288552624564</v>
      </c>
      <c r="E229" s="56">
        <f>129.42913467074*Deflactores!$B$5</f>
        <v>448.7006160476908</v>
      </c>
      <c r="F229" s="56">
        <f>195.12091161476*Deflactores!$C$5</f>
        <v>632.23389675812246</v>
      </c>
      <c r="G229" s="56">
        <f>236.92285074349*Deflactores!$D$5</f>
        <v>720.88589644358956</v>
      </c>
      <c r="H229" s="56">
        <f>129.03754725752*Deflactores!$E$5</f>
        <v>372.16509584701078</v>
      </c>
      <c r="I229" s="56">
        <f>142.09987226784*Deflactores!$F$5</f>
        <v>390.86195332035544</v>
      </c>
      <c r="J229" s="56">
        <f>392.15738265753*Deflactores!$G$5</f>
        <v>1032.4415404685865</v>
      </c>
      <c r="K229" s="56">
        <f>324.97624286637*Deflactores!$H$5</f>
        <v>809.47689823297219</v>
      </c>
      <c r="L229" s="56">
        <f>255.01993312458*Deflactores!$I$5</f>
        <v>589.94921563783237</v>
      </c>
      <c r="M229" s="56">
        <f>295.631484691079*Deflactores!$J$5</f>
        <v>670.47612121827751</v>
      </c>
      <c r="N229" s="56">
        <f>658.41295675635*Deflactores!$K$5</f>
        <v>1447.3461958382377</v>
      </c>
      <c r="O229" s="56">
        <f>499.472277036*Deflactores!$L$5</f>
        <v>1058.5099480932602</v>
      </c>
      <c r="P229" s="56">
        <f>374.17023871506*Deflactores!$M$5</f>
        <v>774.07533116604736</v>
      </c>
      <c r="Q229" s="56">
        <f>486.42236572687*Deflactores!$N$5</f>
        <v>987.14941524332778</v>
      </c>
      <c r="R229" s="56">
        <f>1037.3846004243*Deflactores!$O$5</f>
        <v>2030.9440030470673</v>
      </c>
      <c r="S229" s="56">
        <f>795.046099382*Deflactores!$P$5</f>
        <v>1457.8109935028203</v>
      </c>
      <c r="T229" s="56">
        <f>671.41807284777*Deflactores!$Q$5</f>
        <v>1164.1838247441274</v>
      </c>
      <c r="U229" s="56">
        <f>693.79399524451*Deflactores!$R$5</f>
        <v>1155.7131688395682</v>
      </c>
      <c r="V229" s="56">
        <f>1753.92952497311*Deflactores!$S$5</f>
        <v>2831.6276245910994</v>
      </c>
      <c r="X229" s="14"/>
    </row>
    <row r="230" spans="2:24" x14ac:dyDescent="0.2">
      <c r="C230" s="88" t="s">
        <v>146</v>
      </c>
      <c r="D230" s="57">
        <f>186.461747896469*Deflactores!$A$5</f>
        <v>695.85950071343029</v>
      </c>
      <c r="E230" s="57">
        <f>200.46754381628*Deflactores!$B$5</f>
        <v>694.97420837093193</v>
      </c>
      <c r="F230" s="57">
        <f>197.83587207068*Deflactores!$C$5</f>
        <v>641.03095502514975</v>
      </c>
      <c r="G230" s="57">
        <f>210.99657011797*Deflactores!$D$5</f>
        <v>641.99992157233885</v>
      </c>
      <c r="H230" s="57">
        <f>210.816616884279*Deflactores!$E$5</f>
        <v>608.02912095268346</v>
      </c>
      <c r="I230" s="57">
        <f>255.91311183971*Deflactores!$F$5</f>
        <v>703.9182877337297</v>
      </c>
      <c r="J230" s="57">
        <f>257.19265477875*Deflactores!$G$5</f>
        <v>677.11687307151954</v>
      </c>
      <c r="K230" s="57">
        <f>249.38324867153*Deflactores!$H$5</f>
        <v>621.1838035462207</v>
      </c>
      <c r="L230" s="57">
        <f>251.19437684102*Deflactores!$I$5</f>
        <v>581.09938221025436</v>
      </c>
      <c r="M230" s="57">
        <f>266.417356937109*Deflactores!$J$5</f>
        <v>604.22006908727758</v>
      </c>
      <c r="N230" s="57">
        <f>309.09590360287*Deflactores!$K$5</f>
        <v>679.46533499696648</v>
      </c>
      <c r="O230" s="57">
        <f>342.903842462278*Deflactores!$L$5</f>
        <v>726.70125084753022</v>
      </c>
      <c r="P230" s="57">
        <f>530.945027458923*Deflactores!$M$5</f>
        <v>1098.4076375839509</v>
      </c>
      <c r="Q230" s="57">
        <f>531.393216453731*Deflactores!$N$5</f>
        <v>1078.4136171508176</v>
      </c>
      <c r="R230" s="57">
        <f>592.263052001411*Deflactores!$O$5</f>
        <v>1159.505445903709</v>
      </c>
      <c r="S230" s="57">
        <f>749.887469043067*Deflactores!$P$5</f>
        <v>1375.0073072627404</v>
      </c>
      <c r="T230" s="57">
        <f>894.392701676638*Deflactores!$Q$5</f>
        <v>1550.8035281874525</v>
      </c>
      <c r="U230" s="57">
        <f>808.207362050047*Deflactores!$R$5</f>
        <v>1346.3014927725683</v>
      </c>
      <c r="V230" s="57">
        <f>745.184517937625*Deflactores!$S$5</f>
        <v>1203.0614892819772</v>
      </c>
      <c r="X230" s="14"/>
    </row>
    <row r="231" spans="2:24" x14ac:dyDescent="0.2">
      <c r="C231" s="90" t="s">
        <v>147</v>
      </c>
      <c r="D231" s="58">
        <f>3923.06360989318*Deflactores!$A$5</f>
        <v>14640.542178994514</v>
      </c>
      <c r="E231" s="58">
        <f>5051.06856991436*Deflactores!$B$5</f>
        <v>17510.876394139021</v>
      </c>
      <c r="F231" s="58">
        <f>6301.10996119986*Deflactores!$C$5</f>
        <v>20416.957217462361</v>
      </c>
      <c r="G231" s="58">
        <f>7064.60079490288*Deflactores!$D$5</f>
        <v>21495.482858947467</v>
      </c>
      <c r="H231" s="58">
        <f>8766.30981775335*Deflactores!$E$5</f>
        <v>25283.451234839209</v>
      </c>
      <c r="I231" s="58">
        <f>11691.2385655142*Deflactores!$F$5</f>
        <v>32158.08902233162</v>
      </c>
      <c r="J231" s="58">
        <f>12818.326185328*Deflactores!$G$5</f>
        <v>33747.09496306035</v>
      </c>
      <c r="K231" s="58">
        <f>14466.7546555852*Deflactores!$H$5</f>
        <v>36034.953148608678</v>
      </c>
      <c r="L231" s="58">
        <f>16672.0320754686*Deflactores!$I$5</f>
        <v>38568.17043868747</v>
      </c>
      <c r="M231" s="58">
        <f>17290.8898023425*Deflactores!$J$5</f>
        <v>39214.797230415235</v>
      </c>
      <c r="N231" s="58">
        <f>16323.4758785196*Deflactores!$K$5</f>
        <v>35882.830787571256</v>
      </c>
      <c r="O231" s="58">
        <f>16906.7791921653*Deflactores!$L$5</f>
        <v>35829.804351349878</v>
      </c>
      <c r="P231" s="58">
        <f>18492.4698742006*Deflactores!$M$5</f>
        <v>38256.823394366445</v>
      </c>
      <c r="Q231" s="58">
        <f>21847.3713775311*Deflactores!$N$5</f>
        <v>44337.22912330777</v>
      </c>
      <c r="R231" s="58">
        <f>24274.9016354469*Deflactores!$O$5</f>
        <v>47524.289333872672</v>
      </c>
      <c r="S231" s="58">
        <f>23734.3832802434*Deflactores!$P$5</f>
        <v>43519.797024151929</v>
      </c>
      <c r="T231" s="58">
        <f>25732.4029000703*Deflactores!$Q$5</f>
        <v>44617.874375944739</v>
      </c>
      <c r="U231" s="58">
        <f>32468.62521268*Deflactores!$R$5</f>
        <v>54085.820848285337</v>
      </c>
      <c r="V231" s="58">
        <f>41143.6584733841*Deflactores!$S$5</f>
        <v>66424.288006533359</v>
      </c>
      <c r="X231" s="14"/>
    </row>
    <row r="232" spans="2:24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0.137947055*Deflactores!$R$5</f>
        <v>0.22979044090739087</v>
      </c>
      <c r="V232" s="59">
        <f>108.008317615179*Deflactores!$S$5</f>
        <v>174.37378839348705</v>
      </c>
      <c r="X232" s="14"/>
    </row>
    <row r="233" spans="2:24" x14ac:dyDescent="0.2">
      <c r="C233" s="87" t="s">
        <v>149</v>
      </c>
      <c r="D233" s="56">
        <f>98.65179410487*Deflactores!$A$5</f>
        <v>368.16016670837473</v>
      </c>
      <c r="E233" s="56">
        <f>84.0761058390299*Deflactores!$B$5</f>
        <v>291.47224526250386</v>
      </c>
      <c r="F233" s="56">
        <f>90.08433051549*Deflactores!$C$5</f>
        <v>291.8926877048608</v>
      </c>
      <c r="G233" s="56">
        <f>119.13169820233*Deflactores!$D$5</f>
        <v>362.48238945265012</v>
      </c>
      <c r="H233" s="56">
        <f>102.23761531329*Deflactores!$E$5</f>
        <v>294.86977016314114</v>
      </c>
      <c r="I233" s="56">
        <f>41.06894062056*Deflactores!$F$5</f>
        <v>112.96481900767141</v>
      </c>
      <c r="J233" s="56">
        <f>123.89087313974*Deflactores!$G$5</f>
        <v>326.17028155273806</v>
      </c>
      <c r="K233" s="56">
        <f>126.10177960731*Deflactores!$H$5</f>
        <v>314.10442965874563</v>
      </c>
      <c r="L233" s="56">
        <f>183.78901258877*Deflactores!$I$5</f>
        <v>425.16748589463862</v>
      </c>
      <c r="M233" s="56">
        <f>221.025494818389*Deflactores!$J$5</f>
        <v>501.27379568870333</v>
      </c>
      <c r="N233" s="56">
        <f>339.46853841079*Deflactores!$K$5</f>
        <v>746.23151417939505</v>
      </c>
      <c r="O233" s="56">
        <f>380.77387625308*Deflactores!$L$5</f>
        <v>806.95757205933319</v>
      </c>
      <c r="P233" s="56">
        <f>460.37373131977*Deflactores!$M$5</f>
        <v>952.41126005983585</v>
      </c>
      <c r="Q233" s="56">
        <f>308.078082895999*Deflactores!$N$5</f>
        <v>625.21611013017468</v>
      </c>
      <c r="R233" s="56">
        <f>399.74333458231*Deflactores!$O$5</f>
        <v>782.59917083396363</v>
      </c>
      <c r="S233" s="56">
        <f>420.968762511839*Deflactores!$P$5</f>
        <v>771.89598236890731</v>
      </c>
      <c r="T233" s="56">
        <f>166.99566511722*Deflactores!$Q$5</f>
        <v>289.55677541902247</v>
      </c>
      <c r="U233" s="56">
        <f>179.4248294291*Deflactores!$R$5</f>
        <v>298.88358736071808</v>
      </c>
      <c r="V233" s="56">
        <f>276.792690451559*Deflactores!$S$5</f>
        <v>446.86734410240558</v>
      </c>
      <c r="X233" s="14"/>
    </row>
    <row r="234" spans="2:24" x14ac:dyDescent="0.2">
      <c r="C234" s="88" t="s">
        <v>150</v>
      </c>
      <c r="D234" s="57">
        <f>254.119553091349*Deflactores!$A$5</f>
        <v>948.35271754424434</v>
      </c>
      <c r="E234" s="57">
        <f>270.04173711351*Deflactores!$B$5</f>
        <v>936.17170592745128</v>
      </c>
      <c r="F234" s="57">
        <f>271.40542451932*Deflactores!$C$5</f>
        <v>879.41219485447527</v>
      </c>
      <c r="G234" s="57">
        <f>280.47986255781*Deflactores!$D$5</f>
        <v>853.41695205783105</v>
      </c>
      <c r="H234" s="57">
        <f>334.483935109409*Deflactores!$E$5</f>
        <v>964.70561022713434</v>
      </c>
      <c r="I234" s="57">
        <f>315.75114825516*Deflactores!$F$5</f>
        <v>868.50965170141285</v>
      </c>
      <c r="J234" s="57">
        <f>307.346654692449*Deflactores!$G$5</f>
        <v>809.15843398937432</v>
      </c>
      <c r="K234" s="57">
        <f>304.3416693984*Deflactores!$H$5</f>
        <v>758.0786471488733</v>
      </c>
      <c r="L234" s="57">
        <f>303.527266377769*Deflactores!$I$5</f>
        <v>702.16343691371264</v>
      </c>
      <c r="M234" s="57">
        <f>401.049301221429*Deflactores!$J$5</f>
        <v>909.55799305755909</v>
      </c>
      <c r="N234" s="57">
        <f>474.026806580769*Deflactores!$K$5</f>
        <v>1042.0221658607379</v>
      </c>
      <c r="O234" s="57">
        <f>311.64406867539*Deflactores!$L$5</f>
        <v>660.45376715349335</v>
      </c>
      <c r="P234" s="57">
        <f>573.606024617266*Deflactores!$M$5</f>
        <v>1186.6637896943432</v>
      </c>
      <c r="Q234" s="57">
        <f>514.47752699068*Deflactores!$N$5</f>
        <v>1044.084782503307</v>
      </c>
      <c r="R234" s="57">
        <f>550.21871991966*Deflactores!$O$5</f>
        <v>1077.1929804317649</v>
      </c>
      <c r="S234" s="57">
        <f>560.42631526392*Deflactores!$P$5</f>
        <v>1027.607888492355</v>
      </c>
      <c r="T234" s="57">
        <f>659.782423975059*Deflactores!$Q$5</f>
        <v>1144.008564714921</v>
      </c>
      <c r="U234" s="57">
        <f>838.352056982399*Deflactores!$R$5</f>
        <v>1396.5161402655788</v>
      </c>
      <c r="V234" s="57">
        <f>856.288404117529*Deflactores!$S$5</f>
        <v>1382.4329114668367</v>
      </c>
      <c r="X234" s="14"/>
    </row>
    <row r="235" spans="2:24" x14ac:dyDescent="0.2">
      <c r="C235" s="87" t="s">
        <v>151</v>
      </c>
      <c r="D235" s="56">
        <f>38.67196502601*Deflactores!$A$5</f>
        <v>144.32050851281414</v>
      </c>
      <c r="E235" s="56">
        <f>34.1491521604399*Deflactores!$B$5</f>
        <v>118.38714406053832</v>
      </c>
      <c r="F235" s="56">
        <f>23.29137328839*Deflactores!$C$5</f>
        <v>75.469080034028153</v>
      </c>
      <c r="G235" s="56">
        <f>22.84984134753*Deflactores!$D$5</f>
        <v>69.525283490877342</v>
      </c>
      <c r="H235" s="56">
        <f>20.4366394329*Deflactores!$E$5</f>
        <v>58.942563889230932</v>
      </c>
      <c r="I235" s="56">
        <f>15.73197551809*Deflactores!$F$5</f>
        <v>43.272598225834685</v>
      </c>
      <c r="J235" s="56">
        <f>23.2056711126799*Deflactores!$G$5</f>
        <v>61.094091022393194</v>
      </c>
      <c r="K235" s="56">
        <f>26.3765574402599*Deflactores!$H$5</f>
        <v>65.700845435600073</v>
      </c>
      <c r="L235" s="56">
        <f>8.44150337384*Deflactores!$I$5</f>
        <v>19.528113874017098</v>
      </c>
      <c r="M235" s="56">
        <f>6.877948654*Deflactores!$J$5</f>
        <v>15.59881330059007</v>
      </c>
      <c r="N235" s="56">
        <f>8.81691673772999*Deflactores!$K$5</f>
        <v>19.381652150715993</v>
      </c>
      <c r="O235" s="56">
        <f>322.19907733797*Deflactores!$L$5</f>
        <v>682.82253952631152</v>
      </c>
      <c r="P235" s="56">
        <f>1351.0575654521*Deflactores!$M$5</f>
        <v>2795.0387930188817</v>
      </c>
      <c r="Q235" s="56">
        <f>1460.99136627098*Deflactores!$N$5</f>
        <v>2964.9474911270108</v>
      </c>
      <c r="R235" s="56">
        <f>1515.81470727709*Deflactores!$O$5</f>
        <v>2967.5925285721437</v>
      </c>
      <c r="S235" s="56">
        <f>1587.73106439595*Deflactores!$P$5</f>
        <v>2911.2925680681019</v>
      </c>
      <c r="T235" s="56">
        <f>1737.21182061143*Deflactores!$Q$5</f>
        <v>3012.1826973350894</v>
      </c>
      <c r="U235" s="56">
        <f>1937.02395482534*Deflactores!$R$5</f>
        <v>3226.6697438919073</v>
      </c>
      <c r="V235" s="56">
        <f>1955.82088193534*Deflactores!$S$5</f>
        <v>3157.5706772626131</v>
      </c>
      <c r="X235" s="14"/>
    </row>
    <row r="236" spans="2:24" x14ac:dyDescent="0.2">
      <c r="C236" s="79" t="s">
        <v>179</v>
      </c>
      <c r="D236" s="44">
        <f t="shared" ref="D236:V236" si="63">+SUM(D207:D235)</f>
        <v>82229.638336647477</v>
      </c>
      <c r="E236" s="44">
        <f t="shared" si="63"/>
        <v>94264.797725362616</v>
      </c>
      <c r="F236" s="44">
        <f t="shared" si="63"/>
        <v>96693.479348551948</v>
      </c>
      <c r="G236" s="44">
        <f t="shared" si="63"/>
        <v>98396.736680818358</v>
      </c>
      <c r="H236" s="44">
        <f t="shared" si="63"/>
        <v>112976.15636204922</v>
      </c>
      <c r="I236" s="44">
        <f t="shared" si="63"/>
        <v>125883.09498691504</v>
      </c>
      <c r="J236" s="44">
        <f t="shared" si="63"/>
        <v>125880.46903947687</v>
      </c>
      <c r="K236" s="44">
        <f t="shared" si="63"/>
        <v>132150.19931170321</v>
      </c>
      <c r="L236" s="44">
        <f t="shared" si="63"/>
        <v>139143.07043211904</v>
      </c>
      <c r="M236" s="44">
        <f t="shared" si="63"/>
        <v>149439.81351320099</v>
      </c>
      <c r="N236" s="44">
        <f t="shared" si="63"/>
        <v>156658.17579182671</v>
      </c>
      <c r="O236" s="44">
        <f t="shared" si="63"/>
        <v>158232.1611662723</v>
      </c>
      <c r="P236" s="44">
        <f t="shared" si="63"/>
        <v>166624.81653565995</v>
      </c>
      <c r="Q236" s="44">
        <f t="shared" si="63"/>
        <v>182809.47805712308</v>
      </c>
      <c r="R236" s="44">
        <f t="shared" si="63"/>
        <v>193387.37301313668</v>
      </c>
      <c r="S236" s="44">
        <f t="shared" si="63"/>
        <v>192929.61989262086</v>
      </c>
      <c r="T236" s="44">
        <f t="shared" si="63"/>
        <v>197412.62138736554</v>
      </c>
      <c r="U236" s="44">
        <f t="shared" si="63"/>
        <v>217079.275772964</v>
      </c>
      <c r="V236" s="44">
        <f t="shared" si="63"/>
        <v>222033.80025297782</v>
      </c>
      <c r="X236" s="14"/>
    </row>
    <row r="237" spans="2:24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X237" s="14"/>
    </row>
    <row r="238" spans="2:24" x14ac:dyDescent="0.2">
      <c r="B238" s="9"/>
    </row>
    <row r="241" spans="3:22" ht="18" customHeight="1" x14ac:dyDescent="0.2">
      <c r="C241" s="9"/>
      <c r="D241" s="164" t="s">
        <v>185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spans="3:22" ht="6" customHeight="1" x14ac:dyDescent="0.2">
      <c r="H242" s="27"/>
      <c r="I242" s="27"/>
      <c r="J242" s="27"/>
      <c r="L242" s="179"/>
      <c r="M242" s="160"/>
      <c r="N242" s="160"/>
      <c r="O242" s="160"/>
      <c r="P242" s="160"/>
      <c r="Q242" s="160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81" t="s">
        <v>120</v>
      </c>
      <c r="D244" s="155">
        <v>2000</v>
      </c>
      <c r="E244" s="155">
        <v>2001</v>
      </c>
      <c r="F244" s="155">
        <v>2002</v>
      </c>
      <c r="G244" s="155">
        <v>2003</v>
      </c>
      <c r="H244" s="155">
        <v>2004</v>
      </c>
      <c r="I244" s="155">
        <v>2005</v>
      </c>
      <c r="J244" s="155">
        <v>2006</v>
      </c>
      <c r="K244" s="155">
        <v>2007</v>
      </c>
      <c r="L244" s="155">
        <v>2008</v>
      </c>
      <c r="M244" s="155">
        <v>2009</v>
      </c>
      <c r="N244" s="155">
        <v>2010</v>
      </c>
      <c r="O244" s="155">
        <v>2011</v>
      </c>
      <c r="P244" s="155">
        <v>2012</v>
      </c>
      <c r="Q244" s="155">
        <v>2013</v>
      </c>
      <c r="R244" s="155">
        <v>2014</v>
      </c>
      <c r="S244" s="155">
        <v>2015</v>
      </c>
      <c r="T244" s="155">
        <v>2016</v>
      </c>
      <c r="U244" s="155">
        <v>2017</v>
      </c>
      <c r="V244" s="155">
        <v>2018</v>
      </c>
    </row>
    <row r="245" spans="3:22" ht="12" customHeight="1" thickBot="1" x14ac:dyDescent="0.25">
      <c r="C245" s="162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</row>
    <row r="246" spans="3:22" x14ac:dyDescent="0.2">
      <c r="C246" s="87" t="s">
        <v>123</v>
      </c>
      <c r="D246" s="60">
        <f t="shared" ref="D246:V246" si="64">+IFERROR(IF(D207&gt;0,+((D207/D13)*100)," "),"")</f>
        <v>84.776637330918675</v>
      </c>
      <c r="E246" s="60">
        <f t="shared" si="64"/>
        <v>91.119074375001532</v>
      </c>
      <c r="F246" s="60">
        <f t="shared" si="64"/>
        <v>87.700990709371212</v>
      </c>
      <c r="G246" s="60">
        <f t="shared" si="64"/>
        <v>85.812720985144793</v>
      </c>
      <c r="H246" s="60">
        <f t="shared" si="64"/>
        <v>82.849130472868765</v>
      </c>
      <c r="I246" s="60">
        <f t="shared" si="64"/>
        <v>82.401523672653894</v>
      </c>
      <c r="J246" s="60">
        <f t="shared" si="64"/>
        <v>80.685128925448637</v>
      </c>
      <c r="K246" s="60">
        <f t="shared" si="64"/>
        <v>91.433013965009252</v>
      </c>
      <c r="L246" s="60">
        <f t="shared" si="64"/>
        <v>93.194561195200478</v>
      </c>
      <c r="M246" s="60">
        <f t="shared" si="64"/>
        <v>94.438468391239255</v>
      </c>
      <c r="N246" s="60">
        <f t="shared" si="64"/>
        <v>93.043088496210416</v>
      </c>
      <c r="O246" s="60">
        <f t="shared" si="64"/>
        <v>94.637206697273669</v>
      </c>
      <c r="P246" s="60">
        <f t="shared" si="64"/>
        <v>75.79103648588007</v>
      </c>
      <c r="Q246" s="60">
        <f t="shared" si="64"/>
        <v>81.394261596289795</v>
      </c>
      <c r="R246" s="60">
        <f t="shared" si="64"/>
        <v>86.865150373610092</v>
      </c>
      <c r="S246" s="60">
        <f t="shared" si="64"/>
        <v>90.33454985535721</v>
      </c>
      <c r="T246" s="60">
        <f t="shared" si="64"/>
        <v>88.465038890445214</v>
      </c>
      <c r="U246" s="60">
        <f t="shared" si="64"/>
        <v>83.058942601187567</v>
      </c>
      <c r="V246" s="60">
        <f t="shared" si="64"/>
        <v>79.013249595806045</v>
      </c>
    </row>
    <row r="247" spans="3:22" x14ac:dyDescent="0.2">
      <c r="C247" s="88" t="s">
        <v>124</v>
      </c>
      <c r="D247" s="62">
        <f t="shared" ref="D247:V247" si="65">+IFERROR(IF(D208&gt;0,+((D208/D14)*100)," "),"")</f>
        <v>83.092431804818716</v>
      </c>
      <c r="E247" s="62">
        <f t="shared" si="65"/>
        <v>89.145319930130455</v>
      </c>
      <c r="F247" s="62">
        <f t="shared" si="65"/>
        <v>86.088423068644843</v>
      </c>
      <c r="G247" s="62">
        <f t="shared" si="65"/>
        <v>84.458374532707339</v>
      </c>
      <c r="H247" s="62">
        <f t="shared" si="65"/>
        <v>88.633242852497418</v>
      </c>
      <c r="I247" s="62">
        <f t="shared" si="65"/>
        <v>90.514275495045979</v>
      </c>
      <c r="J247" s="62">
        <f t="shared" si="65"/>
        <v>89.678668363308063</v>
      </c>
      <c r="K247" s="62">
        <f t="shared" si="65"/>
        <v>89.208132896003775</v>
      </c>
      <c r="L247" s="62">
        <f t="shared" si="65"/>
        <v>98.986238044864152</v>
      </c>
      <c r="M247" s="62">
        <f t="shared" si="65"/>
        <v>98.964542802924711</v>
      </c>
      <c r="N247" s="62">
        <f t="shared" si="65"/>
        <v>96.543851912871261</v>
      </c>
      <c r="O247" s="62">
        <f t="shared" si="65"/>
        <v>98.335271298807214</v>
      </c>
      <c r="P247" s="62">
        <f t="shared" si="65"/>
        <v>80.941009701484148</v>
      </c>
      <c r="Q247" s="62">
        <f t="shared" si="65"/>
        <v>84.297155557996348</v>
      </c>
      <c r="R247" s="62">
        <f t="shared" si="65"/>
        <v>90.250668990194001</v>
      </c>
      <c r="S247" s="62">
        <f t="shared" si="65"/>
        <v>89.560349865386215</v>
      </c>
      <c r="T247" s="62">
        <f t="shared" si="65"/>
        <v>93.416211188151593</v>
      </c>
      <c r="U247" s="62">
        <f t="shared" si="65"/>
        <v>93.488199097350261</v>
      </c>
      <c r="V247" s="62">
        <f t="shared" si="65"/>
        <v>94.835293856112202</v>
      </c>
    </row>
    <row r="248" spans="3:22" x14ac:dyDescent="0.2">
      <c r="C248" s="87" t="s">
        <v>125</v>
      </c>
      <c r="D248" s="60">
        <f t="shared" ref="D248:V248" si="66">+IFERROR(IF(D209&gt;0,+((D209/D15)*100)," "),"")</f>
        <v>92.619805029499375</v>
      </c>
      <c r="E248" s="60">
        <f t="shared" si="66"/>
        <v>82.890223804266711</v>
      </c>
      <c r="F248" s="60">
        <f t="shared" si="66"/>
        <v>94.694404033766872</v>
      </c>
      <c r="G248" s="60">
        <f t="shared" si="66"/>
        <v>91.719820870516216</v>
      </c>
      <c r="H248" s="60">
        <f t="shared" si="66"/>
        <v>85.239266715310734</v>
      </c>
      <c r="I248" s="60">
        <f t="shared" si="66"/>
        <v>88.374941092352643</v>
      </c>
      <c r="J248" s="60">
        <f t="shared" si="66"/>
        <v>85.872790350967605</v>
      </c>
      <c r="K248" s="60">
        <f t="shared" si="66"/>
        <v>76.986720802141988</v>
      </c>
      <c r="L248" s="60">
        <f t="shared" si="66"/>
        <v>92.995661551502124</v>
      </c>
      <c r="M248" s="60">
        <f t="shared" si="66"/>
        <v>30.366733661261623</v>
      </c>
      <c r="N248" s="60">
        <f t="shared" si="66"/>
        <v>33.326930658897268</v>
      </c>
      <c r="O248" s="60">
        <f t="shared" si="66"/>
        <v>87.429890425665533</v>
      </c>
      <c r="P248" s="60">
        <f t="shared" si="66"/>
        <v>70.200020596130742</v>
      </c>
      <c r="Q248" s="60">
        <f t="shared" si="66"/>
        <v>87.892022511799411</v>
      </c>
      <c r="R248" s="60">
        <f t="shared" si="66"/>
        <v>87.385997176036852</v>
      </c>
      <c r="S248" s="60">
        <f t="shared" si="66"/>
        <v>91.036208855582487</v>
      </c>
      <c r="T248" s="60">
        <f t="shared" si="66"/>
        <v>92.133528138737958</v>
      </c>
      <c r="U248" s="60">
        <f t="shared" si="66"/>
        <v>90.208215217937735</v>
      </c>
      <c r="V248" s="60">
        <f t="shared" si="66"/>
        <v>92.111940480501588</v>
      </c>
    </row>
    <row r="249" spans="3:22" x14ac:dyDescent="0.2">
      <c r="C249" s="88" t="s">
        <v>126</v>
      </c>
      <c r="D249" s="62">
        <f t="shared" ref="D249:V249" si="67">+IFERROR(IF(D210&gt;0,+((D210/D16)*100)," "),"")</f>
        <v>80.92019097419228</v>
      </c>
      <c r="E249" s="62">
        <f t="shared" si="67"/>
        <v>89.01760492755605</v>
      </c>
      <c r="F249" s="62">
        <f t="shared" si="67"/>
        <v>90.557943395711789</v>
      </c>
      <c r="G249" s="62">
        <f t="shared" si="67"/>
        <v>86.846024243658164</v>
      </c>
      <c r="H249" s="62">
        <f t="shared" si="67"/>
        <v>89.145764776204132</v>
      </c>
      <c r="I249" s="62">
        <f t="shared" si="67"/>
        <v>91.327968825892256</v>
      </c>
      <c r="J249" s="62">
        <f t="shared" si="67"/>
        <v>76.527279158592449</v>
      </c>
      <c r="K249" s="62">
        <f t="shared" si="67"/>
        <v>89.157485022211176</v>
      </c>
      <c r="L249" s="62">
        <f t="shared" si="67"/>
        <v>89.829991757227418</v>
      </c>
      <c r="M249" s="62">
        <f t="shared" si="67"/>
        <v>88.691499938791111</v>
      </c>
      <c r="N249" s="62">
        <f t="shared" si="67"/>
        <v>90.07398204136976</v>
      </c>
      <c r="O249" s="62">
        <f t="shared" si="67"/>
        <v>88.389921168097004</v>
      </c>
      <c r="P249" s="62">
        <f t="shared" si="67"/>
        <v>86.866131440944173</v>
      </c>
      <c r="Q249" s="62">
        <f t="shared" si="67"/>
        <v>79.451519026933795</v>
      </c>
      <c r="R249" s="62">
        <f t="shared" si="67"/>
        <v>85.606420286671664</v>
      </c>
      <c r="S249" s="62">
        <f t="shared" si="67"/>
        <v>89.199682727091684</v>
      </c>
      <c r="T249" s="62">
        <f t="shared" si="67"/>
        <v>93.567214128721943</v>
      </c>
      <c r="U249" s="62">
        <f t="shared" si="67"/>
        <v>90.081370526682221</v>
      </c>
      <c r="V249" s="62">
        <f t="shared" si="67"/>
        <v>94.912314342480343</v>
      </c>
    </row>
    <row r="250" spans="3:22" x14ac:dyDescent="0.2">
      <c r="C250" s="87" t="s">
        <v>127</v>
      </c>
      <c r="D250" s="60">
        <f t="shared" ref="D250:V250" si="68">+IFERROR(IF(D211&gt;0,+((D211/D17)*100)," "),"")</f>
        <v>83.645771919463215</v>
      </c>
      <c r="E250" s="60">
        <f t="shared" si="68"/>
        <v>88.763520598214711</v>
      </c>
      <c r="F250" s="60">
        <f t="shared" si="68"/>
        <v>94.253791505514869</v>
      </c>
      <c r="G250" s="60">
        <f t="shared" si="68"/>
        <v>94.712412022184381</v>
      </c>
      <c r="H250" s="60">
        <f t="shared" si="68"/>
        <v>92.166551913861113</v>
      </c>
      <c r="I250" s="60">
        <f t="shared" si="68"/>
        <v>95.134793392056352</v>
      </c>
      <c r="J250" s="60">
        <f t="shared" si="68"/>
        <v>93.726610348659406</v>
      </c>
      <c r="K250" s="60">
        <f t="shared" si="68"/>
        <v>97.179322703567564</v>
      </c>
      <c r="L250" s="60">
        <f t="shared" si="68"/>
        <v>95.674974316140862</v>
      </c>
      <c r="M250" s="60">
        <f t="shared" si="68"/>
        <v>96.336797194101905</v>
      </c>
      <c r="N250" s="60">
        <f t="shared" si="68"/>
        <v>96.800393736583288</v>
      </c>
      <c r="O250" s="60">
        <f t="shared" si="68"/>
        <v>97.642136345622745</v>
      </c>
      <c r="P250" s="60">
        <f t="shared" si="68"/>
        <v>95.881928516000542</v>
      </c>
      <c r="Q250" s="60">
        <f t="shared" si="68"/>
        <v>94.427675514042946</v>
      </c>
      <c r="R250" s="60">
        <f t="shared" si="68"/>
        <v>96.302275137462686</v>
      </c>
      <c r="S250" s="60">
        <f t="shared" si="68"/>
        <v>96.479269296368159</v>
      </c>
      <c r="T250" s="60">
        <f t="shared" si="68"/>
        <v>96.752422817067938</v>
      </c>
      <c r="U250" s="60">
        <f t="shared" si="68"/>
        <v>96.46616276405318</v>
      </c>
      <c r="V250" s="60">
        <f t="shared" si="68"/>
        <v>95.994180668059457</v>
      </c>
    </row>
    <row r="251" spans="3:22" x14ac:dyDescent="0.2">
      <c r="C251" s="88" t="s">
        <v>128</v>
      </c>
      <c r="D251" s="62">
        <f t="shared" ref="D251:V251" si="69">+IFERROR(IF(D212&gt;0,+((D212/D18)*100)," "),"")</f>
        <v>82.30211249329929</v>
      </c>
      <c r="E251" s="62">
        <f t="shared" si="69"/>
        <v>89.382393630398425</v>
      </c>
      <c r="F251" s="62">
        <f t="shared" si="69"/>
        <v>75.152467805345395</v>
      </c>
      <c r="G251" s="62">
        <f t="shared" si="69"/>
        <v>81.472959972277508</v>
      </c>
      <c r="H251" s="62">
        <f t="shared" si="69"/>
        <v>80.15052569582592</v>
      </c>
      <c r="I251" s="62">
        <f t="shared" si="69"/>
        <v>84.592120978510238</v>
      </c>
      <c r="J251" s="62">
        <f t="shared" si="69"/>
        <v>88.452631359141947</v>
      </c>
      <c r="K251" s="62">
        <f t="shared" si="69"/>
        <v>88.796018863597411</v>
      </c>
      <c r="L251" s="62">
        <f t="shared" si="69"/>
        <v>85.699006825316317</v>
      </c>
      <c r="M251" s="62">
        <f t="shared" si="69"/>
        <v>87.133871409289398</v>
      </c>
      <c r="N251" s="62">
        <f t="shared" si="69"/>
        <v>87.494220926142404</v>
      </c>
      <c r="O251" s="62">
        <f t="shared" si="69"/>
        <v>90.525420315542206</v>
      </c>
      <c r="P251" s="62">
        <f t="shared" si="69"/>
        <v>88.475341728802647</v>
      </c>
      <c r="Q251" s="62">
        <f t="shared" si="69"/>
        <v>91.260506321145201</v>
      </c>
      <c r="R251" s="62">
        <f t="shared" si="69"/>
        <v>93.828552311109931</v>
      </c>
      <c r="S251" s="62">
        <f t="shared" si="69"/>
        <v>96.73578647445332</v>
      </c>
      <c r="T251" s="62">
        <f t="shared" si="69"/>
        <v>95.130684195042377</v>
      </c>
      <c r="U251" s="62">
        <f t="shared" si="69"/>
        <v>91.163946644544282</v>
      </c>
      <c r="V251" s="62">
        <f t="shared" si="69"/>
        <v>96.175429542005787</v>
      </c>
    </row>
    <row r="252" spans="3:22" x14ac:dyDescent="0.2">
      <c r="C252" s="87" t="s">
        <v>129</v>
      </c>
      <c r="D252" s="60">
        <f t="shared" ref="D252:V252" si="70">+IFERROR(IF(D213&gt;0,+((D213/D19)*100)," "),"")</f>
        <v>85.530180940154494</v>
      </c>
      <c r="E252" s="60">
        <f t="shared" si="70"/>
        <v>90.308531868985227</v>
      </c>
      <c r="F252" s="60">
        <f t="shared" si="70"/>
        <v>87.677701979358019</v>
      </c>
      <c r="G252" s="60">
        <f t="shared" si="70"/>
        <v>87.505883263602712</v>
      </c>
      <c r="H252" s="60">
        <f t="shared" si="70"/>
        <v>85.305825588202296</v>
      </c>
      <c r="I252" s="60">
        <f t="shared" si="70"/>
        <v>87.130130737366272</v>
      </c>
      <c r="J252" s="60">
        <f t="shared" si="70"/>
        <v>89.339815506202939</v>
      </c>
      <c r="K252" s="60">
        <f t="shared" si="70"/>
        <v>94.216783052994359</v>
      </c>
      <c r="L252" s="60">
        <f t="shared" si="70"/>
        <v>95.813372044893015</v>
      </c>
      <c r="M252" s="60">
        <f t="shared" si="70"/>
        <v>93.591485749821373</v>
      </c>
      <c r="N252" s="60">
        <f t="shared" si="70"/>
        <v>93.95754428744813</v>
      </c>
      <c r="O252" s="60">
        <f t="shared" si="70"/>
        <v>93.384313376955419</v>
      </c>
      <c r="P252" s="60">
        <f t="shared" si="70"/>
        <v>94.179937972677877</v>
      </c>
      <c r="Q252" s="60">
        <f t="shared" si="70"/>
        <v>94.899844803364786</v>
      </c>
      <c r="R252" s="60">
        <f t="shared" si="70"/>
        <v>94.595630678491204</v>
      </c>
      <c r="S252" s="60">
        <f t="shared" si="70"/>
        <v>93.773827461748709</v>
      </c>
      <c r="T252" s="60">
        <f t="shared" si="70"/>
        <v>93.365658523005777</v>
      </c>
      <c r="U252" s="60">
        <f t="shared" si="70"/>
        <v>94.439725315298332</v>
      </c>
      <c r="V252" s="60">
        <f t="shared" si="70"/>
        <v>95.366971779905356</v>
      </c>
    </row>
    <row r="253" spans="3:22" x14ac:dyDescent="0.2">
      <c r="C253" s="88" t="s">
        <v>130</v>
      </c>
      <c r="D253" s="62">
        <f t="shared" ref="D253:V253" si="71">+IFERROR(IF(D214&gt;0,+((D214/D20)*100)," "),"")</f>
        <v>88.403178468398053</v>
      </c>
      <c r="E253" s="62">
        <f t="shared" si="71"/>
        <v>92.219547908902456</v>
      </c>
      <c r="F253" s="62">
        <f t="shared" si="71"/>
        <v>76.614235032145544</v>
      </c>
      <c r="G253" s="62">
        <f t="shared" si="71"/>
        <v>84.499952516814872</v>
      </c>
      <c r="H253" s="62">
        <f t="shared" si="71"/>
        <v>88.168905419442311</v>
      </c>
      <c r="I253" s="62">
        <f t="shared" si="71"/>
        <v>90.055108605863353</v>
      </c>
      <c r="J253" s="62">
        <f t="shared" si="71"/>
        <v>89.085634539880616</v>
      </c>
      <c r="K253" s="62">
        <f t="shared" si="71"/>
        <v>92.508415553522539</v>
      </c>
      <c r="L253" s="62">
        <f t="shared" si="71"/>
        <v>92.008481155625219</v>
      </c>
      <c r="M253" s="62">
        <f t="shared" si="71"/>
        <v>91.79766256642597</v>
      </c>
      <c r="N253" s="62">
        <f t="shared" si="71"/>
        <v>86.799414502400481</v>
      </c>
      <c r="O253" s="62">
        <f t="shared" si="71"/>
        <v>86.26380502007477</v>
      </c>
      <c r="P253" s="62">
        <f t="shared" si="71"/>
        <v>73.561451676250854</v>
      </c>
      <c r="Q253" s="62">
        <f t="shared" si="71"/>
        <v>88.217921579711984</v>
      </c>
      <c r="R253" s="62">
        <f t="shared" si="71"/>
        <v>94.983421742921777</v>
      </c>
      <c r="S253" s="62">
        <f t="shared" si="71"/>
        <v>94.726846150602583</v>
      </c>
      <c r="T253" s="62">
        <f t="shared" si="71"/>
        <v>90.343816120660279</v>
      </c>
      <c r="U253" s="62">
        <f t="shared" si="71"/>
        <v>96.143624091004767</v>
      </c>
      <c r="V253" s="62">
        <f t="shared" si="71"/>
        <v>95.776017388130214</v>
      </c>
    </row>
    <row r="254" spans="3:22" x14ac:dyDescent="0.2">
      <c r="C254" s="87" t="s">
        <v>131</v>
      </c>
      <c r="D254" s="60">
        <f t="shared" ref="D254:V254" si="72">+IFERROR(IF(D215&gt;0,+((D215/D21)*100)," "),"")</f>
        <v>90.033520899912546</v>
      </c>
      <c r="E254" s="60">
        <f t="shared" si="72"/>
        <v>96.414810059912426</v>
      </c>
      <c r="F254" s="60">
        <f t="shared" si="72"/>
        <v>95.581329914246041</v>
      </c>
      <c r="G254" s="60">
        <f t="shared" si="72"/>
        <v>95.688442593964353</v>
      </c>
      <c r="H254" s="60">
        <f t="shared" si="72"/>
        <v>97.341198208556463</v>
      </c>
      <c r="I254" s="60">
        <f t="shared" si="72"/>
        <v>99.302150314588715</v>
      </c>
      <c r="J254" s="60">
        <f t="shared" si="72"/>
        <v>98.878281651737694</v>
      </c>
      <c r="K254" s="60">
        <f t="shared" si="72"/>
        <v>99.115240862432756</v>
      </c>
      <c r="L254" s="60">
        <f t="shared" si="72"/>
        <v>97.416021731289959</v>
      </c>
      <c r="M254" s="60">
        <f t="shared" si="72"/>
        <v>98.350797265363028</v>
      </c>
      <c r="N254" s="60">
        <f t="shared" si="72"/>
        <v>96.502361930763712</v>
      </c>
      <c r="O254" s="60">
        <f t="shared" si="72"/>
        <v>98.697921177304863</v>
      </c>
      <c r="P254" s="60">
        <f t="shared" si="72"/>
        <v>97.063767652301962</v>
      </c>
      <c r="Q254" s="60">
        <f t="shared" si="72"/>
        <v>98.990834732849876</v>
      </c>
      <c r="R254" s="60">
        <f t="shared" si="72"/>
        <v>97.775714813905836</v>
      </c>
      <c r="S254" s="60">
        <f t="shared" si="72"/>
        <v>99.599429782616781</v>
      </c>
      <c r="T254" s="60">
        <f t="shared" si="72"/>
        <v>99.096995525346671</v>
      </c>
      <c r="U254" s="60">
        <f t="shared" si="72"/>
        <v>99.916067773562887</v>
      </c>
      <c r="V254" s="60">
        <f t="shared" si="72"/>
        <v>99.566553406883713</v>
      </c>
    </row>
    <row r="255" spans="3:22" x14ac:dyDescent="0.2">
      <c r="C255" s="88" t="s">
        <v>132</v>
      </c>
      <c r="D255" s="62">
        <f t="shared" ref="D255:V255" si="73">+IFERROR(IF(D216&gt;0,+((D216/D22)*100)," "),"")</f>
        <v>84.289331722458684</v>
      </c>
      <c r="E255" s="62">
        <f t="shared" si="73"/>
        <v>80.266183621218687</v>
      </c>
      <c r="F255" s="62">
        <f t="shared" si="73"/>
        <v>83.55395775213654</v>
      </c>
      <c r="G255" s="62">
        <f t="shared" si="73"/>
        <v>84.667583235529548</v>
      </c>
      <c r="H255" s="62">
        <f t="shared" si="73"/>
        <v>79.804353966338809</v>
      </c>
      <c r="I255" s="62">
        <f t="shared" si="73"/>
        <v>88.595191299293845</v>
      </c>
      <c r="J255" s="62">
        <f t="shared" si="73"/>
        <v>71.030508974027967</v>
      </c>
      <c r="K255" s="62">
        <f t="shared" si="73"/>
        <v>53.680005218027418</v>
      </c>
      <c r="L255" s="62">
        <f t="shared" si="73"/>
        <v>60.054604225955266</v>
      </c>
      <c r="M255" s="62">
        <f t="shared" si="73"/>
        <v>42.079231294266187</v>
      </c>
      <c r="N255" s="62">
        <f t="shared" si="73"/>
        <v>60.497331559151903</v>
      </c>
      <c r="O255" s="62">
        <f t="shared" si="73"/>
        <v>58.957221939379714</v>
      </c>
      <c r="P255" s="62">
        <f t="shared" si="73"/>
        <v>67.842583995006038</v>
      </c>
      <c r="Q255" s="62">
        <f t="shared" si="73"/>
        <v>52.344584971466624</v>
      </c>
      <c r="R255" s="62">
        <f t="shared" si="73"/>
        <v>58.199448013511287</v>
      </c>
      <c r="S255" s="62">
        <f t="shared" si="73"/>
        <v>60.844701958826043</v>
      </c>
      <c r="T255" s="62">
        <f t="shared" si="73"/>
        <v>80.41106314594029</v>
      </c>
      <c r="U255" s="62">
        <f t="shared" si="73"/>
        <v>82.970276070991787</v>
      </c>
      <c r="V255" s="62">
        <f t="shared" si="73"/>
        <v>84.484635609372532</v>
      </c>
    </row>
    <row r="256" spans="3:22" x14ac:dyDescent="0.2">
      <c r="C256" s="87" t="s">
        <v>133</v>
      </c>
      <c r="D256" s="60">
        <f t="shared" ref="D256:V256" si="74">+IFERROR(IF(D217&gt;0,+((D217/D23)*100)," "),"")</f>
        <v>89.541420222117182</v>
      </c>
      <c r="E256" s="60">
        <f t="shared" si="74"/>
        <v>95.906067893220012</v>
      </c>
      <c r="F256" s="60">
        <f t="shared" si="74"/>
        <v>92.871493218079934</v>
      </c>
      <c r="G256" s="60">
        <f t="shared" si="74"/>
        <v>92.237190354511071</v>
      </c>
      <c r="H256" s="60">
        <f t="shared" si="74"/>
        <v>93.750377431564957</v>
      </c>
      <c r="I256" s="60">
        <f t="shared" si="74"/>
        <v>96.41628422976008</v>
      </c>
      <c r="J256" s="60">
        <f t="shared" si="74"/>
        <v>95.453217892824682</v>
      </c>
      <c r="K256" s="60">
        <f t="shared" si="74"/>
        <v>94.78193726547363</v>
      </c>
      <c r="L256" s="60">
        <f t="shared" si="74"/>
        <v>94.958782312571728</v>
      </c>
      <c r="M256" s="60">
        <f t="shared" si="74"/>
        <v>94.731626399001954</v>
      </c>
      <c r="N256" s="60">
        <f t="shared" si="74"/>
        <v>90.938102419519822</v>
      </c>
      <c r="O256" s="60">
        <f t="shared" si="74"/>
        <v>91.031622613613038</v>
      </c>
      <c r="P256" s="60">
        <f t="shared" si="74"/>
        <v>89.663559022443167</v>
      </c>
      <c r="Q256" s="60">
        <f t="shared" si="74"/>
        <v>92.005361834798322</v>
      </c>
      <c r="R256" s="60">
        <f t="shared" si="74"/>
        <v>88.391568156326926</v>
      </c>
      <c r="S256" s="60">
        <f t="shared" si="74"/>
        <v>87.290304381187596</v>
      </c>
      <c r="T256" s="60">
        <f t="shared" si="74"/>
        <v>91.92690560950237</v>
      </c>
      <c r="U256" s="60">
        <f t="shared" si="74"/>
        <v>92.598716014582322</v>
      </c>
      <c r="V256" s="60">
        <f t="shared" si="74"/>
        <v>92.902229127019154</v>
      </c>
    </row>
    <row r="257" spans="3:22" x14ac:dyDescent="0.2">
      <c r="C257" s="88" t="s">
        <v>134</v>
      </c>
      <c r="D257" s="62">
        <f t="shared" ref="D257:V257" si="75">+IFERROR(IF(D218&gt;0,+((D218/D24)*100)," "),"")</f>
        <v>69.344065680803965</v>
      </c>
      <c r="E257" s="62">
        <f t="shared" si="75"/>
        <v>82.742056922072038</v>
      </c>
      <c r="F257" s="62">
        <f t="shared" si="75"/>
        <v>81.162499835789276</v>
      </c>
      <c r="G257" s="62">
        <f t="shared" si="75"/>
        <v>85.562517703013413</v>
      </c>
      <c r="H257" s="62">
        <f t="shared" si="75"/>
        <v>84.573627610762287</v>
      </c>
      <c r="I257" s="62">
        <f t="shared" si="75"/>
        <v>90.382996718106014</v>
      </c>
      <c r="J257" s="62">
        <f t="shared" si="75"/>
        <v>91.663567555111342</v>
      </c>
      <c r="K257" s="62">
        <f t="shared" si="75"/>
        <v>80.282930918470186</v>
      </c>
      <c r="L257" s="62">
        <f t="shared" si="75"/>
        <v>75.768235856728865</v>
      </c>
      <c r="M257" s="62">
        <f t="shared" si="75"/>
        <v>69.444815786159523</v>
      </c>
      <c r="N257" s="62">
        <f t="shared" si="75"/>
        <v>71.337177899167386</v>
      </c>
      <c r="O257" s="62">
        <f t="shared" si="75"/>
        <v>83.490988851098606</v>
      </c>
      <c r="P257" s="62">
        <f t="shared" si="75"/>
        <v>84.550709183685044</v>
      </c>
      <c r="Q257" s="62">
        <f t="shared" si="75"/>
        <v>56.900318027784145</v>
      </c>
      <c r="R257" s="62">
        <f t="shared" si="75"/>
        <v>68.64866775479156</v>
      </c>
      <c r="S257" s="62">
        <f t="shared" si="75"/>
        <v>87.656943101163549</v>
      </c>
      <c r="T257" s="62">
        <f t="shared" si="75"/>
        <v>90.739043374456642</v>
      </c>
      <c r="U257" s="62">
        <f t="shared" si="75"/>
        <v>91.838568640316325</v>
      </c>
      <c r="V257" s="62">
        <f t="shared" si="75"/>
        <v>87.201757438999579</v>
      </c>
    </row>
    <row r="258" spans="3:22" x14ac:dyDescent="0.2">
      <c r="C258" s="87" t="s">
        <v>135</v>
      </c>
      <c r="D258" s="60" t="str">
        <f t="shared" ref="D258:V258" si="76">+IFERROR(IF(D219&gt;0,+((D219/D25)*100)," "),"")</f>
        <v xml:space="preserve"> </v>
      </c>
      <c r="E258" s="60" t="str">
        <f t="shared" si="76"/>
        <v xml:space="preserve"> </v>
      </c>
      <c r="F258" s="60" t="str">
        <f t="shared" si="76"/>
        <v xml:space="preserve"> </v>
      </c>
      <c r="G258" s="60" t="str">
        <f t="shared" si="76"/>
        <v xml:space="preserve"> </v>
      </c>
      <c r="H258" s="60" t="str">
        <f t="shared" si="76"/>
        <v xml:space="preserve"> </v>
      </c>
      <c r="I258" s="60" t="str">
        <f t="shared" si="76"/>
        <v xml:space="preserve"> </v>
      </c>
      <c r="J258" s="60" t="str">
        <f t="shared" si="76"/>
        <v xml:space="preserve"> </v>
      </c>
      <c r="K258" s="60" t="str">
        <f t="shared" si="76"/>
        <v xml:space="preserve"> </v>
      </c>
      <c r="L258" s="60" t="str">
        <f t="shared" si="76"/>
        <v xml:space="preserve"> </v>
      </c>
      <c r="M258" s="60" t="str">
        <f t="shared" si="76"/>
        <v xml:space="preserve"> </v>
      </c>
      <c r="N258" s="60" t="str">
        <f t="shared" si="76"/>
        <v xml:space="preserve"> </v>
      </c>
      <c r="O258" s="60" t="str">
        <f t="shared" si="76"/>
        <v xml:space="preserve"> </v>
      </c>
      <c r="P258" s="60" t="str">
        <f t="shared" si="76"/>
        <v xml:space="preserve"> </v>
      </c>
      <c r="Q258" s="60" t="str">
        <f t="shared" si="76"/>
        <v xml:space="preserve"> </v>
      </c>
      <c r="R258" s="60" t="str">
        <f t="shared" si="76"/>
        <v xml:space="preserve"> </v>
      </c>
      <c r="S258" s="60" t="str">
        <f t="shared" si="76"/>
        <v xml:space="preserve"> </v>
      </c>
      <c r="T258" s="60" t="str">
        <f t="shared" si="76"/>
        <v xml:space="preserve"> </v>
      </c>
      <c r="U258" s="60" t="str">
        <f t="shared" si="76"/>
        <v xml:space="preserve"> </v>
      </c>
      <c r="V258" s="60" t="str">
        <f t="shared" si="76"/>
        <v xml:space="preserve"> </v>
      </c>
    </row>
    <row r="259" spans="3:22" x14ac:dyDescent="0.2">
      <c r="C259" s="88" t="s">
        <v>136</v>
      </c>
      <c r="D259" s="62">
        <f t="shared" ref="D259:V259" si="77">+IFERROR(IF(D220&gt;0,+((D220/D26)*100)," "),"")</f>
        <v>91.896589258565072</v>
      </c>
      <c r="E259" s="62">
        <f t="shared" si="77"/>
        <v>95.980158654971675</v>
      </c>
      <c r="F259" s="62">
        <f t="shared" si="77"/>
        <v>89.808228854958074</v>
      </c>
      <c r="G259" s="62">
        <f t="shared" si="77"/>
        <v>93.915297689530433</v>
      </c>
      <c r="H259" s="62">
        <f t="shared" si="77"/>
        <v>92.157156920537048</v>
      </c>
      <c r="I259" s="62">
        <f t="shared" si="77"/>
        <v>90.922848636984369</v>
      </c>
      <c r="J259" s="62">
        <f t="shared" si="77"/>
        <v>44.921452314716589</v>
      </c>
      <c r="K259" s="62">
        <f t="shared" si="77"/>
        <v>74.551810831037145</v>
      </c>
      <c r="L259" s="62">
        <f t="shared" si="77"/>
        <v>62.008672754764675</v>
      </c>
      <c r="M259" s="62">
        <f t="shared" si="77"/>
        <v>83.083830107228351</v>
      </c>
      <c r="N259" s="62">
        <f t="shared" si="77"/>
        <v>88.173104651107082</v>
      </c>
      <c r="O259" s="62">
        <f t="shared" si="77"/>
        <v>83.106394257922005</v>
      </c>
      <c r="P259" s="62">
        <f t="shared" si="77"/>
        <v>80.90697806796959</v>
      </c>
      <c r="Q259" s="62">
        <f t="shared" si="77"/>
        <v>90.629137968790559</v>
      </c>
      <c r="R259" s="62">
        <f t="shared" si="77"/>
        <v>90.733347110765038</v>
      </c>
      <c r="S259" s="62">
        <f t="shared" si="77"/>
        <v>91.725715152000717</v>
      </c>
      <c r="T259" s="62">
        <f t="shared" si="77"/>
        <v>81.627156689132633</v>
      </c>
      <c r="U259" s="62">
        <f t="shared" si="77"/>
        <v>95.709821524017286</v>
      </c>
      <c r="V259" s="62">
        <f t="shared" si="77"/>
        <v>90.086736810788636</v>
      </c>
    </row>
    <row r="260" spans="3:22" x14ac:dyDescent="0.2">
      <c r="C260" s="87" t="s">
        <v>137</v>
      </c>
      <c r="D260" s="60">
        <f t="shared" ref="D260:V260" si="78">+IFERROR(IF(D221&gt;0,+((D221/D27)*100)," "),"")</f>
        <v>94.488308394965941</v>
      </c>
      <c r="E260" s="60">
        <f t="shared" si="78"/>
        <v>94.691316775075762</v>
      </c>
      <c r="F260" s="60">
        <f t="shared" si="78"/>
        <v>96.175626009110161</v>
      </c>
      <c r="G260" s="60">
        <f t="shared" si="78"/>
        <v>95.069061554977253</v>
      </c>
      <c r="H260" s="60">
        <f t="shared" si="78"/>
        <v>94.918258531352834</v>
      </c>
      <c r="I260" s="60">
        <f t="shared" si="78"/>
        <v>94.795773556898411</v>
      </c>
      <c r="J260" s="60">
        <f t="shared" si="78"/>
        <v>97.127695226524253</v>
      </c>
      <c r="K260" s="60">
        <f t="shared" si="78"/>
        <v>95.968113508209768</v>
      </c>
      <c r="L260" s="60">
        <f t="shared" si="78"/>
        <v>96.282359802335691</v>
      </c>
      <c r="M260" s="60">
        <f t="shared" si="78"/>
        <v>93.312213430122497</v>
      </c>
      <c r="N260" s="60">
        <f t="shared" si="78"/>
        <v>93.167806146716956</v>
      </c>
      <c r="O260" s="60">
        <f t="shared" si="78"/>
        <v>93.574125888377608</v>
      </c>
      <c r="P260" s="60">
        <f t="shared" si="78"/>
        <v>76.659985934950853</v>
      </c>
      <c r="Q260" s="60">
        <f t="shared" si="78"/>
        <v>72.823833746307457</v>
      </c>
      <c r="R260" s="60">
        <f t="shared" si="78"/>
        <v>88.700525750596299</v>
      </c>
      <c r="S260" s="60">
        <f t="shared" si="78"/>
        <v>89.77756193916106</v>
      </c>
      <c r="T260" s="60">
        <f t="shared" si="78"/>
        <v>95.766262228418626</v>
      </c>
      <c r="U260" s="60">
        <f t="shared" si="78"/>
        <v>93.327412138418026</v>
      </c>
      <c r="V260" s="60">
        <f t="shared" si="78"/>
        <v>91.707475442578385</v>
      </c>
    </row>
    <row r="261" spans="3:22" x14ac:dyDescent="0.2">
      <c r="C261" s="88" t="s">
        <v>138</v>
      </c>
      <c r="D261" s="62">
        <f t="shared" ref="D261:V261" si="79">+IFERROR(IF(D222&gt;0,+((D222/D28)*100)," "),"")</f>
        <v>91.118227097152626</v>
      </c>
      <c r="E261" s="62">
        <f t="shared" si="79"/>
        <v>91.817898299096953</v>
      </c>
      <c r="F261" s="62">
        <f t="shared" si="79"/>
        <v>92.97147650956974</v>
      </c>
      <c r="G261" s="62">
        <f t="shared" si="79"/>
        <v>89.6229570343002</v>
      </c>
      <c r="H261" s="62">
        <f t="shared" si="79"/>
        <v>89.325012902467932</v>
      </c>
      <c r="I261" s="62">
        <f t="shared" si="79"/>
        <v>89.543818193470088</v>
      </c>
      <c r="J261" s="62">
        <f t="shared" si="79"/>
        <v>85.627414469577005</v>
      </c>
      <c r="K261" s="62">
        <f t="shared" si="79"/>
        <v>89.541855806297065</v>
      </c>
      <c r="L261" s="62">
        <f t="shared" si="79"/>
        <v>88.069619842995522</v>
      </c>
      <c r="M261" s="62">
        <f t="shared" si="79"/>
        <v>84.553609865334352</v>
      </c>
      <c r="N261" s="62">
        <f t="shared" si="79"/>
        <v>80.65925700462256</v>
      </c>
      <c r="O261" s="62">
        <f t="shared" si="79"/>
        <v>85.715811212111547</v>
      </c>
      <c r="P261" s="62">
        <f t="shared" si="79"/>
        <v>74.202082590740133</v>
      </c>
      <c r="Q261" s="62">
        <f t="shared" si="79"/>
        <v>72.467679148407385</v>
      </c>
      <c r="R261" s="62">
        <f t="shared" si="79"/>
        <v>82.804553438362589</v>
      </c>
      <c r="S261" s="62">
        <f t="shared" si="79"/>
        <v>93.826555497580799</v>
      </c>
      <c r="T261" s="62">
        <f t="shared" si="79"/>
        <v>94.72857230263196</v>
      </c>
      <c r="U261" s="62">
        <f t="shared" si="79"/>
        <v>94.774253313285627</v>
      </c>
      <c r="V261" s="62">
        <f t="shared" si="79"/>
        <v>95.776340816163767</v>
      </c>
    </row>
    <row r="262" spans="3:22" x14ac:dyDescent="0.2">
      <c r="C262" s="87" t="s">
        <v>139</v>
      </c>
      <c r="D262" s="60">
        <f t="shared" ref="D262:V262" si="80">+IFERROR(IF(D223&gt;0,+((D223/D29)*100)," "),"")</f>
        <v>86.83319910181774</v>
      </c>
      <c r="E262" s="60">
        <f t="shared" si="80"/>
        <v>78.876417886985536</v>
      </c>
      <c r="F262" s="60">
        <f t="shared" si="80"/>
        <v>83.397436383762837</v>
      </c>
      <c r="G262" s="60">
        <f t="shared" si="80"/>
        <v>80.163999576601441</v>
      </c>
      <c r="H262" s="60">
        <f t="shared" si="80"/>
        <v>87.74089911193937</v>
      </c>
      <c r="I262" s="60">
        <f t="shared" si="80"/>
        <v>88.508798848415807</v>
      </c>
      <c r="J262" s="60">
        <f t="shared" si="80"/>
        <v>78.139154204409351</v>
      </c>
      <c r="K262" s="60">
        <f t="shared" si="80"/>
        <v>86.061189728731279</v>
      </c>
      <c r="L262" s="60">
        <f t="shared" si="80"/>
        <v>87.937796035348697</v>
      </c>
      <c r="M262" s="60">
        <f t="shared" si="80"/>
        <v>78.50373870417225</v>
      </c>
      <c r="N262" s="60">
        <f t="shared" si="80"/>
        <v>61.867720934964531</v>
      </c>
      <c r="O262" s="60">
        <f t="shared" si="80"/>
        <v>74.718095801016759</v>
      </c>
      <c r="P262" s="60">
        <f t="shared" si="80"/>
        <v>82.671238013876064</v>
      </c>
      <c r="Q262" s="60">
        <f t="shared" si="80"/>
        <v>87.821644662783243</v>
      </c>
      <c r="R262" s="60">
        <f t="shared" si="80"/>
        <v>83.495780497587972</v>
      </c>
      <c r="S262" s="60">
        <f t="shared" si="80"/>
        <v>83.648274991195734</v>
      </c>
      <c r="T262" s="60">
        <f t="shared" si="80"/>
        <v>86.312879613424371</v>
      </c>
      <c r="U262" s="60">
        <f t="shared" si="80"/>
        <v>83.713759573442772</v>
      </c>
      <c r="V262" s="60">
        <f t="shared" si="80"/>
        <v>87.936805275352611</v>
      </c>
    </row>
    <row r="263" spans="3:22" x14ac:dyDescent="0.2">
      <c r="C263" s="88" t="s">
        <v>140</v>
      </c>
      <c r="D263" s="62">
        <f t="shared" ref="D263:V263" si="81">+IFERROR(IF(D224&gt;0,+((D224/D30)*100)," "),"")</f>
        <v>73.247401394487738</v>
      </c>
      <c r="E263" s="62">
        <f t="shared" si="81"/>
        <v>72.710025165286226</v>
      </c>
      <c r="F263" s="62">
        <f t="shared" si="81"/>
        <v>77.585689357481712</v>
      </c>
      <c r="G263" s="62">
        <f t="shared" si="81"/>
        <v>70.941129011471361</v>
      </c>
      <c r="H263" s="62">
        <f t="shared" si="81"/>
        <v>81.778947465129022</v>
      </c>
      <c r="I263" s="62">
        <f t="shared" si="81"/>
        <v>97.69539713063277</v>
      </c>
      <c r="J263" s="62">
        <f t="shared" si="81"/>
        <v>57.877972965889334</v>
      </c>
      <c r="K263" s="62">
        <f t="shared" si="81"/>
        <v>70.801757480275114</v>
      </c>
      <c r="L263" s="62">
        <f t="shared" si="81"/>
        <v>85.473843325825612</v>
      </c>
      <c r="M263" s="62">
        <f t="shared" si="81"/>
        <v>77.109419068045923</v>
      </c>
      <c r="N263" s="62">
        <f t="shared" si="81"/>
        <v>96.024608313044183</v>
      </c>
      <c r="O263" s="62">
        <f t="shared" si="81"/>
        <v>95.170619317077382</v>
      </c>
      <c r="P263" s="62">
        <f t="shared" si="81"/>
        <v>67.456004517537252</v>
      </c>
      <c r="Q263" s="62">
        <f t="shared" si="81"/>
        <v>60.092958996591697</v>
      </c>
      <c r="R263" s="62">
        <f t="shared" si="81"/>
        <v>86.125437619426606</v>
      </c>
      <c r="S263" s="62">
        <f t="shared" si="81"/>
        <v>90.822366347094373</v>
      </c>
      <c r="T263" s="62">
        <f t="shared" si="81"/>
        <v>90.595396527494884</v>
      </c>
      <c r="U263" s="62">
        <f t="shared" si="81"/>
        <v>90.900571151136091</v>
      </c>
      <c r="V263" s="62">
        <f t="shared" si="81"/>
        <v>87.21017080886574</v>
      </c>
    </row>
    <row r="264" spans="3:22" x14ac:dyDescent="0.2">
      <c r="C264" s="87" t="s">
        <v>141</v>
      </c>
      <c r="D264" s="60">
        <f t="shared" ref="D264:V264" si="82">+IFERROR(IF(D225&gt;0,+((D225/D31)*100)," "),"")</f>
        <v>88.652138815384575</v>
      </c>
      <c r="E264" s="60">
        <f t="shared" si="82"/>
        <v>88.690204567555696</v>
      </c>
      <c r="F264" s="60">
        <f t="shared" si="82"/>
        <v>88.505469796825125</v>
      </c>
      <c r="G264" s="60">
        <f t="shared" si="82"/>
        <v>87.449466623322579</v>
      </c>
      <c r="H264" s="60">
        <f t="shared" si="82"/>
        <v>81.953371425741324</v>
      </c>
      <c r="I264" s="60">
        <f t="shared" si="82"/>
        <v>90.062737836731287</v>
      </c>
      <c r="J264" s="60">
        <f t="shared" si="82"/>
        <v>90.810751741445117</v>
      </c>
      <c r="K264" s="60">
        <f t="shared" si="82"/>
        <v>91.652087450072756</v>
      </c>
      <c r="L264" s="60">
        <f t="shared" si="82"/>
        <v>92.158971337307278</v>
      </c>
      <c r="M264" s="60">
        <f t="shared" si="82"/>
        <v>90.17082123497768</v>
      </c>
      <c r="N264" s="60">
        <f t="shared" si="82"/>
        <v>88.08119546855157</v>
      </c>
      <c r="O264" s="60">
        <f t="shared" si="82"/>
        <v>91.044408116385512</v>
      </c>
      <c r="P264" s="60">
        <f t="shared" si="82"/>
        <v>85.272653907420619</v>
      </c>
      <c r="Q264" s="60">
        <f t="shared" si="82"/>
        <v>86.740304380018443</v>
      </c>
      <c r="R264" s="60">
        <f t="shared" si="82"/>
        <v>89.771772766846297</v>
      </c>
      <c r="S264" s="60">
        <f t="shared" si="82"/>
        <v>90.56847174645803</v>
      </c>
      <c r="T264" s="60">
        <f t="shared" si="82"/>
        <v>93.205821087738144</v>
      </c>
      <c r="U264" s="60">
        <f t="shared" si="82"/>
        <v>92.486409305086795</v>
      </c>
      <c r="V264" s="60">
        <f t="shared" si="82"/>
        <v>93.009965010845491</v>
      </c>
    </row>
    <row r="265" spans="3:22" x14ac:dyDescent="0.2">
      <c r="C265" s="88" t="s">
        <v>142</v>
      </c>
      <c r="D265" s="62">
        <f t="shared" ref="D265:V265" si="83">+IFERROR(IF(D226&gt;0,+((D226/D32)*100)," "),"")</f>
        <v>83.167688013641438</v>
      </c>
      <c r="E265" s="62">
        <f t="shared" si="83"/>
        <v>89.536395260815439</v>
      </c>
      <c r="F265" s="62">
        <f t="shared" si="83"/>
        <v>88.650038060297405</v>
      </c>
      <c r="G265" s="62">
        <f t="shared" si="83"/>
        <v>82.614877485385847</v>
      </c>
      <c r="H265" s="62">
        <f t="shared" si="83"/>
        <v>79.651348856461397</v>
      </c>
      <c r="I265" s="62">
        <f t="shared" si="83"/>
        <v>80.365179045066739</v>
      </c>
      <c r="J265" s="62">
        <f t="shared" si="83"/>
        <v>67.782110366674445</v>
      </c>
      <c r="K265" s="62">
        <f t="shared" si="83"/>
        <v>69.001217011303623</v>
      </c>
      <c r="L265" s="62">
        <f t="shared" si="83"/>
        <v>79.647816572961176</v>
      </c>
      <c r="M265" s="62">
        <f t="shared" si="83"/>
        <v>70.492707530106713</v>
      </c>
      <c r="N265" s="62">
        <f t="shared" si="83"/>
        <v>40.346109365606409</v>
      </c>
      <c r="O265" s="62">
        <f t="shared" si="83"/>
        <v>82.656168256764673</v>
      </c>
      <c r="P265" s="62">
        <f t="shared" si="83"/>
        <v>84.020090729900318</v>
      </c>
      <c r="Q265" s="62">
        <f t="shared" si="83"/>
        <v>63.426008258791434</v>
      </c>
      <c r="R265" s="62">
        <f t="shared" si="83"/>
        <v>82.658910071418333</v>
      </c>
      <c r="S265" s="62">
        <f t="shared" si="83"/>
        <v>86.947892955976187</v>
      </c>
      <c r="T265" s="62">
        <f t="shared" si="83"/>
        <v>90.970952663255105</v>
      </c>
      <c r="U265" s="62">
        <f t="shared" si="83"/>
        <v>89.855893559041277</v>
      </c>
      <c r="V265" s="62">
        <f t="shared" si="83"/>
        <v>91.477638628597404</v>
      </c>
    </row>
    <row r="266" spans="3:22" x14ac:dyDescent="0.2">
      <c r="C266" s="87" t="s">
        <v>143</v>
      </c>
      <c r="D266" s="60">
        <f t="shared" ref="D266:V266" si="84">+IFERROR(IF(D227&gt;0,+((D227/D33)*100)," "),"")</f>
        <v>85.507572243251104</v>
      </c>
      <c r="E266" s="60">
        <f t="shared" si="84"/>
        <v>94.604477988158706</v>
      </c>
      <c r="F266" s="60">
        <f t="shared" si="84"/>
        <v>88.42694591658406</v>
      </c>
      <c r="G266" s="60">
        <f t="shared" si="84"/>
        <v>89.070877072591898</v>
      </c>
      <c r="H266" s="60">
        <f t="shared" si="84"/>
        <v>93.824130920661901</v>
      </c>
      <c r="I266" s="60">
        <f t="shared" si="84"/>
        <v>91.013857595711997</v>
      </c>
      <c r="J266" s="60">
        <f t="shared" si="84"/>
        <v>90.462463283363761</v>
      </c>
      <c r="K266" s="60">
        <f t="shared" si="84"/>
        <v>92.300732973923559</v>
      </c>
      <c r="L266" s="60">
        <f t="shared" si="84"/>
        <v>96.383457287142107</v>
      </c>
      <c r="M266" s="60">
        <f t="shared" si="84"/>
        <v>90.536090582530363</v>
      </c>
      <c r="N266" s="60">
        <f t="shared" si="84"/>
        <v>90.348135031628161</v>
      </c>
      <c r="O266" s="60">
        <f t="shared" si="84"/>
        <v>80.826195251291182</v>
      </c>
      <c r="P266" s="60">
        <f t="shared" si="84"/>
        <v>51.16234313028091</v>
      </c>
      <c r="Q266" s="60">
        <f t="shared" si="84"/>
        <v>63.551122362474509</v>
      </c>
      <c r="R266" s="60">
        <f t="shared" si="84"/>
        <v>53.719215330014592</v>
      </c>
      <c r="S266" s="60">
        <f t="shared" si="84"/>
        <v>71.03220637934497</v>
      </c>
      <c r="T266" s="60">
        <f t="shared" si="84"/>
        <v>61.416622154839693</v>
      </c>
      <c r="U266" s="60">
        <f t="shared" si="84"/>
        <v>51.435139131465469</v>
      </c>
      <c r="V266" s="60">
        <f t="shared" si="84"/>
        <v>71.111358660028017</v>
      </c>
    </row>
    <row r="267" spans="3:22" x14ac:dyDescent="0.2">
      <c r="C267" s="88" t="s">
        <v>144</v>
      </c>
      <c r="D267" s="62">
        <f t="shared" ref="D267:V267" si="85">+IFERROR(IF(D228&gt;0,+((D228/D34)*100)," "),"")</f>
        <v>94.851678843242354</v>
      </c>
      <c r="E267" s="62">
        <f t="shared" si="85"/>
        <v>96.55208815103758</v>
      </c>
      <c r="F267" s="62">
        <f t="shared" si="85"/>
        <v>93.956492496096431</v>
      </c>
      <c r="G267" s="62">
        <f t="shared" si="85"/>
        <v>95.361019689010462</v>
      </c>
      <c r="H267" s="62">
        <f t="shared" si="85"/>
        <v>85.859171866621594</v>
      </c>
      <c r="I267" s="62">
        <f t="shared" si="85"/>
        <v>97.033369539644823</v>
      </c>
      <c r="J267" s="62">
        <f t="shared" si="85"/>
        <v>96.764740284827127</v>
      </c>
      <c r="K267" s="62">
        <f t="shared" si="85"/>
        <v>97.894354014673866</v>
      </c>
      <c r="L267" s="62">
        <f t="shared" si="85"/>
        <v>96.752565123296208</v>
      </c>
      <c r="M267" s="62">
        <f t="shared" si="85"/>
        <v>95.830914252418339</v>
      </c>
      <c r="N267" s="62">
        <f t="shared" si="85"/>
        <v>96.500329956555731</v>
      </c>
      <c r="O267" s="62">
        <f t="shared" si="85"/>
        <v>94.800994502082887</v>
      </c>
      <c r="P267" s="62">
        <f t="shared" si="85"/>
        <v>92.788429975371173</v>
      </c>
      <c r="Q267" s="62">
        <f t="shared" si="85"/>
        <v>98.733673552121402</v>
      </c>
      <c r="R267" s="62">
        <f t="shared" si="85"/>
        <v>97.896015258278965</v>
      </c>
      <c r="S267" s="62">
        <f t="shared" si="85"/>
        <v>95.690988017057848</v>
      </c>
      <c r="T267" s="62">
        <f t="shared" si="85"/>
        <v>93.12010826845875</v>
      </c>
      <c r="U267" s="62">
        <f t="shared" si="85"/>
        <v>94.245991873108409</v>
      </c>
      <c r="V267" s="62">
        <f t="shared" si="85"/>
        <v>98.450874930599852</v>
      </c>
    </row>
    <row r="268" spans="3:22" x14ac:dyDescent="0.2">
      <c r="C268" s="87" t="s">
        <v>145</v>
      </c>
      <c r="D268" s="60">
        <f t="shared" ref="D268:V268" si="86">+IFERROR(IF(D229&gt;0,+((D229/D35)*100)," "),"")</f>
        <v>81.665038710004438</v>
      </c>
      <c r="E268" s="60">
        <f t="shared" si="86"/>
        <v>65.997550993222333</v>
      </c>
      <c r="F268" s="60">
        <f t="shared" si="86"/>
        <v>76.238303262239711</v>
      </c>
      <c r="G268" s="60">
        <f t="shared" si="86"/>
        <v>71.038803146064197</v>
      </c>
      <c r="H268" s="60">
        <f t="shared" si="86"/>
        <v>85.231398629819381</v>
      </c>
      <c r="I268" s="60">
        <f t="shared" si="86"/>
        <v>93.166720655702107</v>
      </c>
      <c r="J268" s="60">
        <f t="shared" si="86"/>
        <v>83.543208961332013</v>
      </c>
      <c r="K268" s="60">
        <f t="shared" si="86"/>
        <v>87.209940673290873</v>
      </c>
      <c r="L268" s="60">
        <f t="shared" si="86"/>
        <v>91.018849549486035</v>
      </c>
      <c r="M268" s="60">
        <f t="shared" si="86"/>
        <v>90.576859044865628</v>
      </c>
      <c r="N268" s="60">
        <f t="shared" si="86"/>
        <v>96.149395341580288</v>
      </c>
      <c r="O268" s="60">
        <f t="shared" si="86"/>
        <v>84.714152116007583</v>
      </c>
      <c r="P268" s="60">
        <f t="shared" si="86"/>
        <v>88.82925081708828</v>
      </c>
      <c r="Q268" s="60">
        <f t="shared" si="86"/>
        <v>83.651068028319372</v>
      </c>
      <c r="R268" s="60">
        <f t="shared" si="86"/>
        <v>92.433887976760218</v>
      </c>
      <c r="S268" s="60">
        <f t="shared" si="86"/>
        <v>90.977132056994847</v>
      </c>
      <c r="T268" s="60">
        <f t="shared" si="86"/>
        <v>92.279563204555274</v>
      </c>
      <c r="U268" s="60">
        <f t="shared" si="86"/>
        <v>91.68134399700439</v>
      </c>
      <c r="V268" s="60">
        <f t="shared" si="86"/>
        <v>96.910871954788675</v>
      </c>
    </row>
    <row r="269" spans="3:22" x14ac:dyDescent="0.2">
      <c r="C269" s="88" t="s">
        <v>146</v>
      </c>
      <c r="D269" s="62">
        <f t="shared" ref="D269:V269" si="87">+IFERROR(IF(D230&gt;0,+((D230/D36)*100)," "),"")</f>
        <v>90.831698627213441</v>
      </c>
      <c r="E269" s="62">
        <f t="shared" si="87"/>
        <v>92.909102370520486</v>
      </c>
      <c r="F269" s="62">
        <f t="shared" si="87"/>
        <v>84.754796584108135</v>
      </c>
      <c r="G269" s="62">
        <f t="shared" si="87"/>
        <v>95.25029561830398</v>
      </c>
      <c r="H269" s="62">
        <f t="shared" si="87"/>
        <v>87.912488550006927</v>
      </c>
      <c r="I269" s="62">
        <f t="shared" si="87"/>
        <v>86.168483853128819</v>
      </c>
      <c r="J269" s="62">
        <f t="shared" si="87"/>
        <v>86.550829775616947</v>
      </c>
      <c r="K269" s="62">
        <f t="shared" si="87"/>
        <v>83.789712977218429</v>
      </c>
      <c r="L269" s="62">
        <f t="shared" si="87"/>
        <v>88.329227847649477</v>
      </c>
      <c r="M269" s="62">
        <f t="shared" si="87"/>
        <v>91.96229687830521</v>
      </c>
      <c r="N269" s="62">
        <f t="shared" si="87"/>
        <v>83.848379235742712</v>
      </c>
      <c r="O269" s="62">
        <f t="shared" si="87"/>
        <v>93.486109055330218</v>
      </c>
      <c r="P269" s="62">
        <f t="shared" si="87"/>
        <v>93.307643599403988</v>
      </c>
      <c r="Q269" s="62">
        <f t="shared" si="87"/>
        <v>92.152367309688984</v>
      </c>
      <c r="R269" s="62">
        <f t="shared" si="87"/>
        <v>97.250215637261988</v>
      </c>
      <c r="S269" s="62">
        <f t="shared" si="87"/>
        <v>97.388689170765616</v>
      </c>
      <c r="T269" s="62">
        <f t="shared" si="87"/>
        <v>95.754963761902729</v>
      </c>
      <c r="U269" s="62">
        <f t="shared" si="87"/>
        <v>92.576920596906817</v>
      </c>
      <c r="V269" s="62">
        <f t="shared" si="87"/>
        <v>87.600307237508318</v>
      </c>
    </row>
    <row r="270" spans="3:22" x14ac:dyDescent="0.2">
      <c r="C270" s="90" t="s">
        <v>147</v>
      </c>
      <c r="D270" s="61">
        <f t="shared" ref="D270:V270" si="88">+IFERROR(IF(D231&gt;0,+((D231/D37)*100)," "),"")</f>
        <v>91.592346669064597</v>
      </c>
      <c r="E270" s="61">
        <f t="shared" si="88"/>
        <v>96.807476304320929</v>
      </c>
      <c r="F270" s="61">
        <f t="shared" si="88"/>
        <v>97.807631738959131</v>
      </c>
      <c r="G270" s="61">
        <f t="shared" si="88"/>
        <v>96.263455975993395</v>
      </c>
      <c r="H270" s="61">
        <f t="shared" si="88"/>
        <v>92.196077198148231</v>
      </c>
      <c r="I270" s="61">
        <f t="shared" si="88"/>
        <v>93.339318794760999</v>
      </c>
      <c r="J270" s="61">
        <f t="shared" si="88"/>
        <v>92.667001759992417</v>
      </c>
      <c r="K270" s="61">
        <f t="shared" si="88"/>
        <v>95.578336548935511</v>
      </c>
      <c r="L270" s="61">
        <f t="shared" si="88"/>
        <v>97.1658324598842</v>
      </c>
      <c r="M270" s="61">
        <f t="shared" si="88"/>
        <v>85.604158756290389</v>
      </c>
      <c r="N270" s="61">
        <f t="shared" si="88"/>
        <v>71.64243473505546</v>
      </c>
      <c r="O270" s="61">
        <f t="shared" si="88"/>
        <v>80.824976033420924</v>
      </c>
      <c r="P270" s="61">
        <f t="shared" si="88"/>
        <v>77.974926317029031</v>
      </c>
      <c r="Q270" s="61">
        <f t="shared" si="88"/>
        <v>91.752817087840711</v>
      </c>
      <c r="R270" s="61">
        <f t="shared" si="88"/>
        <v>85.124962628712524</v>
      </c>
      <c r="S270" s="61">
        <f t="shared" si="88"/>
        <v>86.139725155935992</v>
      </c>
      <c r="T270" s="61">
        <f t="shared" si="88"/>
        <v>89.013576113292757</v>
      </c>
      <c r="U270" s="61">
        <f t="shared" si="88"/>
        <v>92.153741001025168</v>
      </c>
      <c r="V270" s="61">
        <f t="shared" si="88"/>
        <v>90.625080537607289</v>
      </c>
    </row>
    <row r="271" spans="3:22" ht="22.5" customHeight="1" x14ac:dyDescent="0.2">
      <c r="C271" s="89" t="s">
        <v>148</v>
      </c>
      <c r="D271" s="63" t="str">
        <f t="shared" ref="D271:V271" si="89">+IFERROR(IF(D232&gt;0,+((D232/D38)*100)," "),"")</f>
        <v xml:space="preserve"> </v>
      </c>
      <c r="E271" s="63" t="str">
        <f t="shared" si="89"/>
        <v xml:space="preserve"> </v>
      </c>
      <c r="F271" s="63" t="str">
        <f t="shared" si="89"/>
        <v xml:space="preserve"> </v>
      </c>
      <c r="G271" s="63" t="str">
        <f t="shared" si="89"/>
        <v xml:space="preserve"> </v>
      </c>
      <c r="H271" s="63" t="str">
        <f t="shared" si="89"/>
        <v xml:space="preserve"> </v>
      </c>
      <c r="I271" s="63" t="str">
        <f t="shared" si="89"/>
        <v xml:space="preserve"> </v>
      </c>
      <c r="J271" s="63" t="str">
        <f t="shared" si="89"/>
        <v xml:space="preserve"> </v>
      </c>
      <c r="K271" s="63" t="str">
        <f t="shared" si="89"/>
        <v xml:space="preserve"> </v>
      </c>
      <c r="L271" s="63" t="str">
        <f t="shared" si="89"/>
        <v xml:space="preserve"> </v>
      </c>
      <c r="M271" s="63" t="str">
        <f t="shared" si="89"/>
        <v xml:space="preserve"> </v>
      </c>
      <c r="N271" s="63" t="str">
        <f t="shared" si="89"/>
        <v xml:space="preserve"> </v>
      </c>
      <c r="O271" s="63" t="str">
        <f t="shared" si="89"/>
        <v xml:space="preserve"> </v>
      </c>
      <c r="P271" s="63" t="str">
        <f t="shared" si="89"/>
        <v xml:space="preserve"> </v>
      </c>
      <c r="Q271" s="63" t="str">
        <f t="shared" si="89"/>
        <v xml:space="preserve"> </v>
      </c>
      <c r="R271" s="63" t="str">
        <f t="shared" si="89"/>
        <v xml:space="preserve"> </v>
      </c>
      <c r="S271" s="63" t="str">
        <f t="shared" si="89"/>
        <v xml:space="preserve"> </v>
      </c>
      <c r="T271" s="63" t="str">
        <f t="shared" si="89"/>
        <v xml:space="preserve"> </v>
      </c>
      <c r="U271" s="63">
        <f t="shared" si="89"/>
        <v>55.081877894904977</v>
      </c>
      <c r="V271" s="63">
        <f t="shared" si="89"/>
        <v>77.692399336423705</v>
      </c>
    </row>
    <row r="272" spans="3:22" x14ac:dyDescent="0.2">
      <c r="C272" s="87" t="s">
        <v>149</v>
      </c>
      <c r="D272" s="60">
        <f t="shared" ref="D272:V272" si="90">+IFERROR(IF(D233&gt;0,+((D233/D39)*100)," "),"")</f>
        <v>42.218964693027552</v>
      </c>
      <c r="E272" s="60">
        <f t="shared" si="90"/>
        <v>41.591470670375074</v>
      </c>
      <c r="F272" s="60">
        <f t="shared" si="90"/>
        <v>45.59117312988338</v>
      </c>
      <c r="G272" s="60">
        <f t="shared" si="90"/>
        <v>57.30583506177517</v>
      </c>
      <c r="H272" s="60">
        <f t="shared" si="90"/>
        <v>52.722488140175081</v>
      </c>
      <c r="I272" s="60">
        <f t="shared" si="90"/>
        <v>26.527341642838596</v>
      </c>
      <c r="J272" s="60">
        <f t="shared" si="90"/>
        <v>49.440147824169486</v>
      </c>
      <c r="K272" s="60">
        <f t="shared" si="90"/>
        <v>51.441175629627232</v>
      </c>
      <c r="L272" s="60">
        <f t="shared" si="90"/>
        <v>60.643121303936155</v>
      </c>
      <c r="M272" s="60">
        <f t="shared" si="90"/>
        <v>52.176450035454415</v>
      </c>
      <c r="N272" s="60">
        <f t="shared" si="90"/>
        <v>67.807028195033553</v>
      </c>
      <c r="O272" s="60">
        <f t="shared" si="90"/>
        <v>73.228085352258105</v>
      </c>
      <c r="P272" s="60">
        <f t="shared" si="90"/>
        <v>69.403142174661582</v>
      </c>
      <c r="Q272" s="60">
        <f t="shared" si="90"/>
        <v>67.190852277095203</v>
      </c>
      <c r="R272" s="60">
        <f t="shared" si="90"/>
        <v>73.394951737224062</v>
      </c>
      <c r="S272" s="60">
        <f t="shared" si="90"/>
        <v>83.216262279164368</v>
      </c>
      <c r="T272" s="60">
        <f t="shared" si="90"/>
        <v>88.591183011775513</v>
      </c>
      <c r="U272" s="60">
        <f t="shared" si="90"/>
        <v>92.315765732418029</v>
      </c>
      <c r="V272" s="60">
        <f t="shared" si="90"/>
        <v>78.744645848880239</v>
      </c>
    </row>
    <row r="273" spans="3:22" x14ac:dyDescent="0.2">
      <c r="C273" s="88" t="s">
        <v>150</v>
      </c>
      <c r="D273" s="62">
        <f t="shared" ref="D273:V273" si="91">+IFERROR(IF(D234&gt;0,+((D234/D40)*100)," "),"")</f>
        <v>84.91277216771131</v>
      </c>
      <c r="E273" s="62">
        <f t="shared" si="91"/>
        <v>81.184314587428617</v>
      </c>
      <c r="F273" s="62">
        <f t="shared" si="91"/>
        <v>55.073755029895146</v>
      </c>
      <c r="G273" s="62">
        <f t="shared" si="91"/>
        <v>90.51187341540296</v>
      </c>
      <c r="H273" s="62">
        <f t="shared" si="91"/>
        <v>89.926905704330593</v>
      </c>
      <c r="I273" s="62">
        <f t="shared" si="91"/>
        <v>87.483695357271813</v>
      </c>
      <c r="J273" s="62">
        <f t="shared" si="91"/>
        <v>79.578040594051217</v>
      </c>
      <c r="K273" s="62">
        <f t="shared" si="91"/>
        <v>81.173797235154652</v>
      </c>
      <c r="L273" s="62">
        <f t="shared" si="91"/>
        <v>85.30941004425874</v>
      </c>
      <c r="M273" s="62">
        <f t="shared" si="91"/>
        <v>84.821073060126523</v>
      </c>
      <c r="N273" s="62">
        <f t="shared" si="91"/>
        <v>85.396056997984275</v>
      </c>
      <c r="O273" s="62">
        <f t="shared" si="91"/>
        <v>70.972044857142265</v>
      </c>
      <c r="P273" s="62">
        <f t="shared" si="91"/>
        <v>88.328497059783871</v>
      </c>
      <c r="Q273" s="62">
        <f t="shared" si="91"/>
        <v>84.667879232341306</v>
      </c>
      <c r="R273" s="62">
        <f t="shared" si="91"/>
        <v>88.760711632864002</v>
      </c>
      <c r="S273" s="62">
        <f t="shared" si="91"/>
        <v>89.636815922199375</v>
      </c>
      <c r="T273" s="62">
        <f t="shared" si="91"/>
        <v>92.55604460001355</v>
      </c>
      <c r="U273" s="62">
        <f t="shared" si="91"/>
        <v>89.045214029596039</v>
      </c>
      <c r="V273" s="62">
        <f t="shared" si="91"/>
        <v>93.679311167834882</v>
      </c>
    </row>
    <row r="274" spans="3:22" x14ac:dyDescent="0.2">
      <c r="C274" s="87" t="s">
        <v>151</v>
      </c>
      <c r="D274" s="60">
        <f t="shared" ref="D274:V274" si="92">+IFERROR(IF(D235&gt;0,+((D235/D41)*100)," "),"")</f>
        <v>80.798488383008817</v>
      </c>
      <c r="E274" s="60">
        <f t="shared" si="92"/>
        <v>77.569739794263654</v>
      </c>
      <c r="F274" s="60">
        <f t="shared" si="92"/>
        <v>74.535068244816088</v>
      </c>
      <c r="G274" s="60">
        <f t="shared" si="92"/>
        <v>69.120805564506881</v>
      </c>
      <c r="H274" s="60">
        <f t="shared" si="92"/>
        <v>55.056568884149556</v>
      </c>
      <c r="I274" s="60">
        <f t="shared" si="92"/>
        <v>77.715454967376246</v>
      </c>
      <c r="J274" s="60">
        <f t="shared" si="92"/>
        <v>56.795955433917776</v>
      </c>
      <c r="K274" s="60">
        <f t="shared" si="92"/>
        <v>66.443412844441056</v>
      </c>
      <c r="L274" s="60">
        <f t="shared" si="92"/>
        <v>81.411518646117969</v>
      </c>
      <c r="M274" s="60">
        <f t="shared" si="92"/>
        <v>90.643937565753575</v>
      </c>
      <c r="N274" s="60">
        <f t="shared" si="92"/>
        <v>72.580292234870427</v>
      </c>
      <c r="O274" s="60">
        <f t="shared" si="92"/>
        <v>98.006519659262878</v>
      </c>
      <c r="P274" s="60">
        <f t="shared" si="92"/>
        <v>99.077536123037987</v>
      </c>
      <c r="Q274" s="60">
        <f t="shared" si="92"/>
        <v>99.613262105117457</v>
      </c>
      <c r="R274" s="60">
        <f t="shared" si="92"/>
        <v>99.541800715356814</v>
      </c>
      <c r="S274" s="60">
        <f t="shared" si="92"/>
        <v>99.021884337048235</v>
      </c>
      <c r="T274" s="60">
        <f t="shared" si="92"/>
        <v>99.25622838323109</v>
      </c>
      <c r="U274" s="60">
        <f t="shared" si="92"/>
        <v>99.507595818516421</v>
      </c>
      <c r="V274" s="60">
        <f t="shared" si="92"/>
        <v>99.485005031816996</v>
      </c>
    </row>
    <row r="275" spans="3:22" x14ac:dyDescent="0.2">
      <c r="C275" s="91" t="s">
        <v>179</v>
      </c>
      <c r="D275" s="64">
        <f t="shared" ref="D275:V275" si="93">+IFERROR(IF(D236&gt;0,+((D236/D42)*100)," "),"")</f>
        <v>83.37900557854752</v>
      </c>
      <c r="E275" s="64">
        <f t="shared" si="93"/>
        <v>90.992420672840041</v>
      </c>
      <c r="F275" s="64">
        <f t="shared" si="93"/>
        <v>89.990395035672094</v>
      </c>
      <c r="G275" s="64">
        <f t="shared" si="93"/>
        <v>91.248011217710925</v>
      </c>
      <c r="H275" s="64">
        <f t="shared" si="93"/>
        <v>89.752804298424365</v>
      </c>
      <c r="I275" s="64">
        <f t="shared" si="93"/>
        <v>92.795371879449391</v>
      </c>
      <c r="J275" s="64">
        <f t="shared" si="93"/>
        <v>91.929746631120508</v>
      </c>
      <c r="K275" s="64">
        <f t="shared" si="93"/>
        <v>93.293974199324325</v>
      </c>
      <c r="L275" s="64">
        <f t="shared" si="93"/>
        <v>93.518467529042226</v>
      </c>
      <c r="M275" s="64">
        <f t="shared" si="93"/>
        <v>89.259091395218974</v>
      </c>
      <c r="N275" s="64">
        <f t="shared" si="93"/>
        <v>84.654833232535751</v>
      </c>
      <c r="O275" s="64">
        <f t="shared" si="93"/>
        <v>89.670612456767032</v>
      </c>
      <c r="P275" s="64">
        <f t="shared" si="93"/>
        <v>88.384184561317653</v>
      </c>
      <c r="Q275" s="64">
        <f t="shared" si="93"/>
        <v>89.388234074589292</v>
      </c>
      <c r="R275" s="64">
        <f t="shared" si="93"/>
        <v>88.572856476966166</v>
      </c>
      <c r="S275" s="64">
        <f t="shared" si="93"/>
        <v>91.869949805959791</v>
      </c>
      <c r="T275" s="64">
        <f t="shared" si="93"/>
        <v>92.881821882546063</v>
      </c>
      <c r="U275" s="64">
        <f t="shared" si="93"/>
        <v>93.826601156822704</v>
      </c>
      <c r="V275" s="64">
        <f t="shared" si="93"/>
        <v>93.743188989527908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4">
    <mergeCell ref="D9:V9"/>
    <mergeCell ref="P6:P7"/>
    <mergeCell ref="Q244:Q245"/>
    <mergeCell ref="T205:T206"/>
    <mergeCell ref="S244:S245"/>
    <mergeCell ref="R6:R7"/>
    <mergeCell ref="T50:T51"/>
    <mergeCell ref="H11:H12"/>
    <mergeCell ref="J11:J12"/>
    <mergeCell ref="S128:S129"/>
    <mergeCell ref="R205:R206"/>
    <mergeCell ref="H128:H129"/>
    <mergeCell ref="E89:E90"/>
    <mergeCell ref="J128:J129"/>
    <mergeCell ref="T128:T129"/>
    <mergeCell ref="V128:V129"/>
    <mergeCell ref="T11:T12"/>
    <mergeCell ref="V205:V206"/>
    <mergeCell ref="L50:L51"/>
    <mergeCell ref="H205:H206"/>
    <mergeCell ref="E244:E245"/>
    <mergeCell ref="D203:V203"/>
    <mergeCell ref="D89:D90"/>
    <mergeCell ref="M205:M206"/>
    <mergeCell ref="M167:M168"/>
    <mergeCell ref="C128:C129"/>
    <mergeCell ref="G244:G245"/>
    <mergeCell ref="J167:J168"/>
    <mergeCell ref="H50:H51"/>
    <mergeCell ref="K89:K90"/>
    <mergeCell ref="L6:L7"/>
    <mergeCell ref="N6:N7"/>
    <mergeCell ref="I11:I12"/>
    <mergeCell ref="U50:U51"/>
    <mergeCell ref="D244:D245"/>
    <mergeCell ref="F244:F245"/>
    <mergeCell ref="R244:R245"/>
    <mergeCell ref="L242:Q242"/>
    <mergeCell ref="U205:U206"/>
    <mergeCell ref="O11:O12"/>
    <mergeCell ref="J50:J51"/>
    <mergeCell ref="Q11:Q12"/>
    <mergeCell ref="E50:E51"/>
    <mergeCell ref="D167:D168"/>
    <mergeCell ref="G50:G51"/>
    <mergeCell ref="I50:I51"/>
    <mergeCell ref="P167:P168"/>
    <mergeCell ref="H244:H245"/>
    <mergeCell ref="I6:I7"/>
    <mergeCell ref="J244:J245"/>
    <mergeCell ref="K6:K7"/>
    <mergeCell ref="N89:N90"/>
    <mergeCell ref="M50:M51"/>
    <mergeCell ref="P89:P90"/>
    <mergeCell ref="C244:C245"/>
    <mergeCell ref="F167:F168"/>
    <mergeCell ref="G89:G90"/>
    <mergeCell ref="U244:U245"/>
    <mergeCell ref="M244:M245"/>
    <mergeCell ref="Q89:Q90"/>
    <mergeCell ref="O244:O245"/>
    <mergeCell ref="S89:S90"/>
    <mergeCell ref="F11:F12"/>
    <mergeCell ref="U89:U90"/>
    <mergeCell ref="L167:L168"/>
    <mergeCell ref="N205:N206"/>
    <mergeCell ref="P205:P206"/>
    <mergeCell ref="P244:P245"/>
    <mergeCell ref="S50:S51"/>
    <mergeCell ref="G11:G12"/>
    <mergeCell ref="R167:R168"/>
    <mergeCell ref="T244:T245"/>
    <mergeCell ref="S167:S168"/>
    <mergeCell ref="N50:N51"/>
    <mergeCell ref="D11:D12"/>
    <mergeCell ref="P50:P51"/>
    <mergeCell ref="M128:M129"/>
    <mergeCell ref="P11:P12"/>
    <mergeCell ref="A7:C7"/>
    <mergeCell ref="P128:P129"/>
    <mergeCell ref="S11:S12"/>
    <mergeCell ref="R128:R129"/>
    <mergeCell ref="U11:U12"/>
    <mergeCell ref="M11:M12"/>
    <mergeCell ref="C50:C51"/>
    <mergeCell ref="F89:F90"/>
    <mergeCell ref="O205:O206"/>
    <mergeCell ref="Q205:Q206"/>
    <mergeCell ref="D164:V164"/>
    <mergeCell ref="K11:K12"/>
    <mergeCell ref="G6:G7"/>
    <mergeCell ref="J89:J90"/>
    <mergeCell ref="L89:L90"/>
    <mergeCell ref="Q6:Q7"/>
    <mergeCell ref="C167:C168"/>
    <mergeCell ref="F50:F51"/>
    <mergeCell ref="S6:S7"/>
    <mergeCell ref="V89:V90"/>
    <mergeCell ref="O167:O168"/>
    <mergeCell ref="R50:R51"/>
    <mergeCell ref="Q167:Q168"/>
    <mergeCell ref="S205:S206"/>
    <mergeCell ref="C11:C12"/>
    <mergeCell ref="O50:O51"/>
    <mergeCell ref="T6:T7"/>
    <mergeCell ref="L48:Q48"/>
    <mergeCell ref="V50:V51"/>
    <mergeCell ref="I128:I129"/>
    <mergeCell ref="L11:L12"/>
    <mergeCell ref="U167:U168"/>
    <mergeCell ref="K128:K129"/>
    <mergeCell ref="N11:N12"/>
    <mergeCell ref="D86:V86"/>
    <mergeCell ref="U128:U129"/>
    <mergeCell ref="R11:R12"/>
    <mergeCell ref="D6:D7"/>
    <mergeCell ref="F6:F7"/>
    <mergeCell ref="I89:I90"/>
    <mergeCell ref="D128:D129"/>
    <mergeCell ref="F128:F129"/>
    <mergeCell ref="E11:E12"/>
    <mergeCell ref="Q50:Q51"/>
    <mergeCell ref="T89:T90"/>
    <mergeCell ref="R89:R90"/>
    <mergeCell ref="N167:N168"/>
    <mergeCell ref="L128:L129"/>
    <mergeCell ref="L205:L206"/>
    <mergeCell ref="V167:V168"/>
    <mergeCell ref="E167:E168"/>
    <mergeCell ref="L244:L245"/>
    <mergeCell ref="M6:M7"/>
    <mergeCell ref="I205:I206"/>
    <mergeCell ref="N244:N245"/>
    <mergeCell ref="D241:V241"/>
    <mergeCell ref="E6:E7"/>
    <mergeCell ref="N128:N129"/>
    <mergeCell ref="D50:D51"/>
    <mergeCell ref="V11:V12"/>
    <mergeCell ref="I244:I245"/>
    <mergeCell ref="D205:D206"/>
    <mergeCell ref="G167:G168"/>
    <mergeCell ref="M89:M90"/>
    <mergeCell ref="I167:I168"/>
    <mergeCell ref="O89:O90"/>
    <mergeCell ref="U6:U7"/>
    <mergeCell ref="O128:O129"/>
    <mergeCell ref="E128:E129"/>
    <mergeCell ref="G128:G129"/>
    <mergeCell ref="G205:G206"/>
    <mergeCell ref="J205:J206"/>
    <mergeCell ref="D2:V2"/>
    <mergeCell ref="Q128:Q129"/>
    <mergeCell ref="A5:C6"/>
    <mergeCell ref="K205:K206"/>
    <mergeCell ref="V244:V245"/>
    <mergeCell ref="D126:V126"/>
    <mergeCell ref="L165:Q165"/>
    <mergeCell ref="O6:O7"/>
    <mergeCell ref="D47:V47"/>
    <mergeCell ref="L87:Q87"/>
    <mergeCell ref="K167:K168"/>
    <mergeCell ref="D4:V4"/>
    <mergeCell ref="C89:C90"/>
    <mergeCell ref="H89:H90"/>
    <mergeCell ref="F205:F206"/>
    <mergeCell ref="H6:H7"/>
    <mergeCell ref="J6:J7"/>
    <mergeCell ref="K244:K245"/>
    <mergeCell ref="C205:C206"/>
    <mergeCell ref="V6:V7"/>
    <mergeCell ref="E205:E206"/>
    <mergeCell ref="K50:K51"/>
    <mergeCell ref="H167:H168"/>
    <mergeCell ref="T167:T168"/>
  </mergeCells>
  <pageMargins left="0.7" right="0.7" top="0.75" bottom="0.75" header="0.3" footer="0.3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L299"/>
  <sheetViews>
    <sheetView showGridLines="0" zoomScaleNormal="100" workbookViewId="0">
      <pane xSplit="3" ySplit="9" topLeftCell="D272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5" sqref="K15"/>
    </sheetView>
  </sheetViews>
  <sheetFormatPr baseColWidth="10" defaultColWidth="11.42578125" defaultRowHeight="11.25" x14ac:dyDescent="0.2"/>
  <cols>
    <col min="1" max="2" width="2.7109375" style="3" customWidth="1"/>
    <col min="3" max="3" width="56.5703125" style="3" customWidth="1"/>
    <col min="4" max="4" width="10.7109375" style="3" customWidth="1"/>
    <col min="5" max="11" width="10.7109375" style="9" customWidth="1"/>
    <col min="12" max="12" width="22.28515625" style="9" customWidth="1"/>
    <col min="13" max="33" width="10.7109375" style="9" customWidth="1"/>
    <col min="34" max="34" width="11.42578125" style="9" customWidth="1"/>
    <col min="35" max="16384" width="11.42578125" style="9"/>
  </cols>
  <sheetData>
    <row r="1" spans="1:12" ht="16.5" customHeight="1" x14ac:dyDescent="0.2"/>
    <row r="2" spans="1:12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2" s="102" customFormat="1" ht="16.5" customHeight="1" x14ac:dyDescent="0.25">
      <c r="A3" s="120"/>
      <c r="B3" s="98"/>
      <c r="C3" s="98"/>
      <c r="D3" s="180"/>
      <c r="E3" s="180"/>
      <c r="F3" s="180"/>
      <c r="G3" s="180"/>
      <c r="H3" s="180"/>
      <c r="I3" s="180"/>
      <c r="J3" s="180"/>
      <c r="K3" s="180"/>
    </row>
    <row r="4" spans="1:12" s="102" customFormat="1" ht="16.5" customHeight="1" x14ac:dyDescent="0.25">
      <c r="A4" s="99"/>
      <c r="B4" s="98"/>
      <c r="C4" s="98"/>
      <c r="D4" s="180"/>
      <c r="E4" s="180"/>
      <c r="F4" s="180"/>
      <c r="G4" s="180"/>
      <c r="H4" s="180"/>
      <c r="I4" s="180"/>
      <c r="J4" s="180"/>
      <c r="K4" s="180"/>
    </row>
    <row r="5" spans="1:12" s="102" customFormat="1" ht="16.5" customHeight="1" x14ac:dyDescent="0.25">
      <c r="A5" s="99"/>
      <c r="B5" s="98"/>
      <c r="C5" s="98"/>
      <c r="D5" s="139"/>
      <c r="E5" s="139"/>
      <c r="F5" s="139"/>
      <c r="G5" s="139"/>
      <c r="H5" s="139"/>
      <c r="I5" s="139"/>
      <c r="J5" s="139"/>
      <c r="K5" s="139"/>
    </row>
    <row r="6" spans="1:12" s="102" customFormat="1" ht="16.5" customHeight="1" x14ac:dyDescent="0.25">
      <c r="A6" s="99"/>
      <c r="B6" s="98"/>
      <c r="C6" s="98"/>
      <c r="D6" s="165"/>
      <c r="E6" s="180"/>
      <c r="F6" s="180"/>
      <c r="G6" s="180"/>
      <c r="H6" s="180"/>
      <c r="I6" s="180"/>
      <c r="J6" s="180"/>
      <c r="K6" s="180"/>
    </row>
    <row r="7" spans="1:12" s="102" customFormat="1" ht="16.5" customHeight="1" x14ac:dyDescent="0.25">
      <c r="A7" s="169" t="s">
        <v>186</v>
      </c>
      <c r="B7" s="180"/>
      <c r="C7" s="180"/>
      <c r="D7" s="147"/>
      <c r="E7" s="147"/>
      <c r="F7" s="147"/>
      <c r="G7" s="147"/>
      <c r="H7" s="147"/>
      <c r="I7" s="147"/>
      <c r="J7" s="147"/>
      <c r="K7" s="147"/>
    </row>
    <row r="8" spans="1:12" s="102" customFormat="1" ht="16.5" customHeight="1" x14ac:dyDescent="0.25">
      <c r="A8" s="180"/>
      <c r="B8" s="180"/>
      <c r="C8" s="18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2" ht="16.5" customHeight="1" x14ac:dyDescent="0.2">
      <c r="A9" s="166" t="s">
        <v>227</v>
      </c>
      <c r="B9" s="160"/>
      <c r="C9" s="160"/>
      <c r="D9" s="160"/>
      <c r="E9" s="182"/>
      <c r="F9" s="182"/>
      <c r="G9" s="182"/>
      <c r="H9" s="182"/>
      <c r="I9" s="182"/>
      <c r="J9" s="182"/>
      <c r="K9" s="182"/>
    </row>
    <row r="10" spans="1:12" ht="16.5" customHeight="1" x14ac:dyDescent="0.2">
      <c r="D10" s="132"/>
      <c r="E10" s="132"/>
      <c r="F10" s="132"/>
      <c r="G10" s="132"/>
      <c r="H10" s="132"/>
      <c r="I10" s="132"/>
      <c r="J10" s="132"/>
      <c r="K10" s="132"/>
    </row>
    <row r="11" spans="1:12" ht="16.5" customHeight="1" x14ac:dyDescent="0.2">
      <c r="D11" s="164" t="s">
        <v>178</v>
      </c>
      <c r="E11" s="182"/>
      <c r="F11" s="182"/>
      <c r="G11" s="182"/>
      <c r="H11" s="182"/>
      <c r="I11" s="182"/>
      <c r="J11" s="182"/>
      <c r="K11" s="182"/>
      <c r="L11" s="182"/>
    </row>
    <row r="12" spans="1:12" ht="15" customHeight="1" x14ac:dyDescent="0.2">
      <c r="C12" s="2"/>
      <c r="D12" s="2"/>
      <c r="E12" s="2"/>
      <c r="F12" s="2"/>
      <c r="G12" s="2"/>
      <c r="H12" s="2"/>
      <c r="I12" s="2"/>
    </row>
    <row r="13" spans="1:12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2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2" x14ac:dyDescent="0.2">
      <c r="C15" s="87" t="s">
        <v>123</v>
      </c>
      <c r="D15" s="42">
        <f>736.942361246*Deflactores!$T$5</f>
        <v>1146.1993812371641</v>
      </c>
      <c r="E15" s="42">
        <f>725.860149274*Deflactores!$U$5</f>
        <v>1111.0744235811194</v>
      </c>
      <c r="F15" s="42">
        <f>637.894146*Deflactores!$V$5</f>
        <v>924.46963345080826</v>
      </c>
      <c r="G15" s="42">
        <f>763.062259641*Deflactores!$W$5</f>
        <v>977.60769518054678</v>
      </c>
      <c r="H15" s="42">
        <f>936.114944514*Deflactores!$X$5</f>
        <v>1097.4711927306537</v>
      </c>
      <c r="I15" s="42">
        <f>1061.435277643*Deflactores!$Y$5</f>
        <v>1182.8828320929256</v>
      </c>
      <c r="J15" s="42">
        <f>858.820829205*Deflactores!$Z$5</f>
        <v>910.63397371369172</v>
      </c>
      <c r="K15" s="42">
        <f>910.513038*Deflactores!$AA$5</f>
        <v>910.51303800000005</v>
      </c>
    </row>
    <row r="16" spans="1:12" x14ac:dyDescent="0.2">
      <c r="C16" s="88" t="s">
        <v>124</v>
      </c>
      <c r="D16" s="50">
        <f>319.431494009*Deflactores!$T$5</f>
        <v>496.82607492088448</v>
      </c>
      <c r="E16" s="50">
        <f>350.177160803*Deflactores!$U$5</f>
        <v>536.01632143549136</v>
      </c>
      <c r="F16" s="50">
        <f>413.202235139*Deflactores!$V$5</f>
        <v>598.83433835432311</v>
      </c>
      <c r="G16" s="50">
        <f>445.54711388*Deflactores!$W$5</f>
        <v>570.81880487641388</v>
      </c>
      <c r="H16" s="50">
        <f>517.842635766*Deflactores!$X$5</f>
        <v>607.10212827116982</v>
      </c>
      <c r="I16" s="50">
        <f>604.031010141*Deflactores!$Y$5</f>
        <v>673.14317415013295</v>
      </c>
      <c r="J16" s="50">
        <f>787.58934808*Deflactores!$Z$5</f>
        <v>835.1050571986882</v>
      </c>
      <c r="K16" s="50">
        <f>684.195821986*Deflactores!$AA$5</f>
        <v>684.19582198600006</v>
      </c>
    </row>
    <row r="17" spans="3:11" x14ac:dyDescent="0.2">
      <c r="C17" s="87" t="s">
        <v>125</v>
      </c>
      <c r="D17" s="42">
        <f>23.468888556*Deflactores!$T$5</f>
        <v>36.502210967665647</v>
      </c>
      <c r="E17" s="42">
        <f>24.172511265*Deflactores!$U$5</f>
        <v>37.000872753698658</v>
      </c>
      <c r="F17" s="42">
        <f>25.56990936*Deflactores!$V$5</f>
        <v>37.057252965305615</v>
      </c>
      <c r="G17" s="42">
        <f>27.602653*Deflactores!$W$5</f>
        <v>35.363518034418199</v>
      </c>
      <c r="H17" s="42">
        <f>27.224997*Deflactores!$X$5</f>
        <v>31.917714918214958</v>
      </c>
      <c r="I17" s="42">
        <f>27.813986*Deflactores!$Y$5</f>
        <v>30.996413275929104</v>
      </c>
      <c r="J17" s="42">
        <f>27.025604856*Deflactores!$Z$5</f>
        <v>28.656074823915137</v>
      </c>
      <c r="K17" s="42">
        <f>31.288669554*Deflactores!$AA$5</f>
        <v>31.288669553999998</v>
      </c>
    </row>
    <row r="18" spans="3:11" x14ac:dyDescent="0.2">
      <c r="C18" s="88" t="s">
        <v>126</v>
      </c>
      <c r="D18" s="50">
        <f>655.731683681*Deflactores!$T$5</f>
        <v>1019.8887859044833</v>
      </c>
      <c r="E18" s="50">
        <f>720.222095086*Deflactores!$U$5</f>
        <v>1102.4442517590173</v>
      </c>
      <c r="F18" s="50">
        <f>682.760163512*Deflactores!$V$5</f>
        <v>989.49181781134041</v>
      </c>
      <c r="G18" s="50">
        <f>671.693745833*Deflactores!$W$5</f>
        <v>860.5496686992808</v>
      </c>
      <c r="H18" s="50">
        <f>796.753344286*Deflactores!$X$5</f>
        <v>934.08811406131372</v>
      </c>
      <c r="I18" s="50">
        <f>1126.419719992*Deflactores!$Y$5</f>
        <v>1255.3026798470514</v>
      </c>
      <c r="J18" s="50">
        <f>1066.021531823*Deflactores!$Z$5</f>
        <v>1130.3352114630843</v>
      </c>
      <c r="K18" s="50">
        <f>1438.648406938*Deflactores!$AA$5</f>
        <v>1438.6484069380001</v>
      </c>
    </row>
    <row r="19" spans="3:11" x14ac:dyDescent="0.2">
      <c r="C19" s="87" t="s">
        <v>127</v>
      </c>
      <c r="D19" s="42">
        <f>557.367*Deflactores!$T$5</f>
        <v>866.89779841378606</v>
      </c>
      <c r="E19" s="42">
        <f>607.3197*Deflactores!$U$5</f>
        <v>929.62451001321085</v>
      </c>
      <c r="F19" s="42">
        <f>660.634429179*Deflactores!$V$5</f>
        <v>957.42604383156402</v>
      </c>
      <c r="G19" s="42">
        <f>762.603828761*Deflactores!$W$5</f>
        <v>977.02037016173745</v>
      </c>
      <c r="H19" s="42">
        <f>907.149*Deflactores!$X$5</f>
        <v>1063.5124466806658</v>
      </c>
      <c r="I19" s="42">
        <f>1108.608*Deflactores!$Y$5</f>
        <v>1235.4529742339414</v>
      </c>
      <c r="J19" s="42">
        <f>1366.670325863*Deflactores!$Z$5</f>
        <v>1449.1223166411344</v>
      </c>
      <c r="K19" s="42">
        <f>1132.772*Deflactores!$AA$5</f>
        <v>1132.7719999999999</v>
      </c>
    </row>
    <row r="20" spans="3:11" x14ac:dyDescent="0.2">
      <c r="C20" s="88" t="s">
        <v>128</v>
      </c>
      <c r="D20" s="50">
        <f>236.470388119*Deflactores!$T$5</f>
        <v>367.79296020470287</v>
      </c>
      <c r="E20" s="50">
        <f>237.756608422*Deflactores!$U$5</f>
        <v>363.93413651278655</v>
      </c>
      <c r="F20" s="50">
        <f>242.850581438*Deflactores!$V$5</f>
        <v>351.95179233593961</v>
      </c>
      <c r="G20" s="50">
        <f>195.818877282*Deflactores!$W$5</f>
        <v>250.87604435129953</v>
      </c>
      <c r="H20" s="50">
        <f>299.543123779*Deflactores!$X$5</f>
        <v>351.17476892613428</v>
      </c>
      <c r="I20" s="50">
        <f>338.542472654*Deflactores!$Y$5</f>
        <v>377.27790593690207</v>
      </c>
      <c r="J20" s="50">
        <f>341.738676018*Deflactores!$Z$5</f>
        <v>362.35596288692739</v>
      </c>
      <c r="K20" s="50">
        <f>417.141184004*Deflactores!$AA$5</f>
        <v>417.14118400400002</v>
      </c>
    </row>
    <row r="21" spans="3:11" x14ac:dyDescent="0.2">
      <c r="C21" s="87" t="s">
        <v>129</v>
      </c>
      <c r="D21" s="42">
        <f>32430.7509406734*Deflactores!$T$5</f>
        <v>50440.995953071484</v>
      </c>
      <c r="E21" s="42">
        <f>34013.038044002*Deflactores!$U$5</f>
        <v>52063.771067719455</v>
      </c>
      <c r="F21" s="42">
        <f>36719.022628343*Deflactores!$V$5</f>
        <v>53215.132326823688</v>
      </c>
      <c r="G21" s="42">
        <f>40307.848102088*Deflactores!$W$5</f>
        <v>51640.953254992499</v>
      </c>
      <c r="H21" s="42">
        <f>45970.390055*Deflactores!$X$5</f>
        <v>53894.213632223145</v>
      </c>
      <c r="I21" s="42">
        <f>52795.803574195*Deflactores!$Y$5</f>
        <v>58836.606404437072</v>
      </c>
      <c r="J21" s="42">
        <f>57745.084219643*Deflactores!$Z$5</f>
        <v>61228.877685747626</v>
      </c>
      <c r="K21" s="42">
        <f>62154.469743991*Deflactores!$AA$5</f>
        <v>62154.469743991001</v>
      </c>
    </row>
    <row r="22" spans="3:11" x14ac:dyDescent="0.2">
      <c r="C22" s="88" t="s">
        <v>130</v>
      </c>
      <c r="D22" s="50">
        <f>37.630371065*Deflactores!$T$5</f>
        <v>58.528197452921212</v>
      </c>
      <c r="E22" s="50">
        <f>39.593952363*Deflactores!$U$5</f>
        <v>60.606478869268173</v>
      </c>
      <c r="F22" s="50">
        <f>39.882291951*Deflactores!$V$5</f>
        <v>57.799508041133663</v>
      </c>
      <c r="G22" s="50">
        <f>52.836845707*Deflactores!$W$5</f>
        <v>67.692650631852899</v>
      </c>
      <c r="H22" s="50">
        <f>57.071743554*Deflactores!$X$5</f>
        <v>66.909085082435254</v>
      </c>
      <c r="I22" s="50">
        <f>64.627885666*Deflactores!$Y$5</f>
        <v>72.022494483632457</v>
      </c>
      <c r="J22" s="50">
        <f>49.600696578*Deflactores!$Z$5</f>
        <v>52.593134548917249</v>
      </c>
      <c r="K22" s="50">
        <f>54.194708762*Deflactores!$AA$5</f>
        <v>54.194708761999998</v>
      </c>
    </row>
    <row r="23" spans="3:11" x14ac:dyDescent="0.2">
      <c r="C23" s="87" t="s">
        <v>131</v>
      </c>
      <c r="D23" s="42">
        <f>37398.2077659*Deflactores!$T$5</f>
        <v>58167.103500709709</v>
      </c>
      <c r="E23" s="42">
        <f>40616.603883028*Deflactores!$U$5</f>
        <v>62171.851963900699</v>
      </c>
      <c r="F23" s="42">
        <f>43233.516413785*Deflactores!$V$5</f>
        <v>62656.27819672972</v>
      </c>
      <c r="G23" s="42">
        <f>44220.539601358*Deflactores!$W$5</f>
        <v>56653.751713080914</v>
      </c>
      <c r="H23" s="42">
        <f>51647.625723569*Deflactores!$X$5</f>
        <v>60550.022982465009</v>
      </c>
      <c r="I23" s="42">
        <f>62044.204609758*Deflactores!$Y$5</f>
        <v>69143.193192819061</v>
      </c>
      <c r="J23" s="42">
        <f>73440.1804428303*Deflactores!$Z$5</f>
        <v>77870.867907119158</v>
      </c>
      <c r="K23" s="42">
        <f>81418.242384056*Deflactores!$AA$5</f>
        <v>81418.242384055993</v>
      </c>
    </row>
    <row r="24" spans="3:11" x14ac:dyDescent="0.2">
      <c r="C24" s="88" t="s">
        <v>132</v>
      </c>
      <c r="D24" s="50">
        <f>87.476593414*Deflactores!$T$5</f>
        <v>136.05625421550704</v>
      </c>
      <c r="E24" s="50">
        <f>89.692894037*Deflactores!$U$5</f>
        <v>137.29294911858278</v>
      </c>
      <c r="F24" s="50">
        <f>166.609527058*Deflactores!$V$5</f>
        <v>241.459259932951</v>
      </c>
      <c r="G24" s="50">
        <f>174.573208475*Deflactores!$W$5</f>
        <v>223.6568639337643</v>
      </c>
      <c r="H24" s="50">
        <f>182.964845927*Deflactores!$X$5</f>
        <v>214.5021280389162</v>
      </c>
      <c r="I24" s="50">
        <f>208.926002583*Deflactores!$Y$5</f>
        <v>232.83094771639347</v>
      </c>
      <c r="J24" s="50">
        <f>221.767948813*Deflactores!$Z$5</f>
        <v>235.14733411491534</v>
      </c>
      <c r="K24" s="50">
        <f>249.642061349*Deflactores!$AA$5</f>
        <v>249.64206134899999</v>
      </c>
    </row>
    <row r="25" spans="3:11" x14ac:dyDescent="0.2">
      <c r="C25" s="87" t="s">
        <v>133</v>
      </c>
      <c r="D25" s="42">
        <f>3697.965187113*Deflactores!$T$5</f>
        <v>5751.6104816379229</v>
      </c>
      <c r="E25" s="42">
        <f>3826.978427277*Deflactores!$U$5</f>
        <v>5857.957423888125</v>
      </c>
      <c r="F25" s="42">
        <f>4301.460163733*Deflactores!$V$5</f>
        <v>6233.9015427639624</v>
      </c>
      <c r="G25" s="42">
        <f>4573.9976*Deflactores!$W$5</f>
        <v>5860.0398525817627</v>
      </c>
      <c r="H25" s="42">
        <f>5223.6201*Deflactores!$X$5</f>
        <v>6124.0049794259858</v>
      </c>
      <c r="I25" s="42">
        <f>5766.745473169*Deflactores!$Y$5</f>
        <v>6426.5663304583404</v>
      </c>
      <c r="J25" s="42">
        <f>6517.323091365*Deflactores!$Z$5</f>
        <v>6910.5168655021707</v>
      </c>
      <c r="K25" s="42">
        <f>6793.145843692*Deflactores!$AA$5</f>
        <v>6793.1458436920002</v>
      </c>
    </row>
    <row r="26" spans="3:11" x14ac:dyDescent="0.2">
      <c r="C26" s="88" t="s">
        <v>134</v>
      </c>
      <c r="D26" s="50">
        <f>8704.496368164*Deflactores!$T$5</f>
        <v>13538.492120743009</v>
      </c>
      <c r="E26" s="50">
        <f>38968.068004962*Deflactores!$U$5</f>
        <v>59648.437429700163</v>
      </c>
      <c r="F26" s="50">
        <f>21890.0871298231*Deflactores!$V$5</f>
        <v>31724.261700802341</v>
      </c>
      <c r="G26" s="50">
        <f>15649.289069323*Deflactores!$W$5</f>
        <v>20049.301646071031</v>
      </c>
      <c r="H26" s="50">
        <f>36846.092319728*Deflactores!$X$5</f>
        <v>43197.179067138488</v>
      </c>
      <c r="I26" s="50">
        <f>29518.375603216*Deflactores!$Y$5</f>
        <v>32895.816134781482</v>
      </c>
      <c r="J26" s="50">
        <f>22149.5523728996*Deflactores!$Z$5</f>
        <v>23485.847347210176</v>
      </c>
      <c r="K26" s="50">
        <f>28073.741304464*Deflactores!$AA$5</f>
        <v>28073.741304464002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500*Deflactores!$X$5</f>
        <v>586.1839933024595</v>
      </c>
      <c r="I27" s="42">
        <f>2448.356474261*Deflactores!$Y$5</f>
        <v>2728.4931085746084</v>
      </c>
      <c r="J27" s="42">
        <f>1257.32816862*Deflactores!$Z$5</f>
        <v>1333.1834854453521</v>
      </c>
      <c r="K27" s="42">
        <f>1622.12330845*Deflactores!$AA$5</f>
        <v>1622.12330845</v>
      </c>
    </row>
    <row r="28" spans="3:11" x14ac:dyDescent="0.2">
      <c r="C28" s="88" t="s">
        <v>136</v>
      </c>
      <c r="D28" s="50">
        <f>1477.630868496*Deflactores!$T$5</f>
        <v>2298.2253107332026</v>
      </c>
      <c r="E28" s="50">
        <f>7506.528553615*Deflactores!$U$5</f>
        <v>11490.246288000408</v>
      </c>
      <c r="F28" s="50">
        <f>9484.95389384*Deflactores!$V$5</f>
        <v>13746.092364258948</v>
      </c>
      <c r="G28" s="50">
        <f>1675.404609127*Deflactores!$W$5</f>
        <v>2146.4676279417795</v>
      </c>
      <c r="H28" s="50">
        <f>2087.835745381*Deflactores!$X$5</f>
        <v>2447.7117891741032</v>
      </c>
      <c r="I28" s="50">
        <f>2268.261699535*Deflactores!$Y$5</f>
        <v>2527.7922070122627</v>
      </c>
      <c r="J28" s="50">
        <f>2071.398943636*Deflactores!$Z$5</f>
        <v>2196.3676089874371</v>
      </c>
      <c r="K28" s="50">
        <f>1994.240853656*Deflactores!$AA$5</f>
        <v>1994.2408536559999</v>
      </c>
    </row>
    <row r="29" spans="3:11" x14ac:dyDescent="0.2">
      <c r="C29" s="87" t="s">
        <v>137</v>
      </c>
      <c r="D29" s="42">
        <f>158.483731379*Deflactores!$T$5</f>
        <v>246.49682851129862</v>
      </c>
      <c r="E29" s="42">
        <f>167.723000001*Deflactores!$U$5</f>
        <v>256.73366382463041</v>
      </c>
      <c r="F29" s="42">
        <f>190.639256866*Deflactores!$V$5</f>
        <v>276.28440395852999</v>
      </c>
      <c r="G29" s="42">
        <f>199.218*Deflactores!$W$5</f>
        <v>255.23087711100541</v>
      </c>
      <c r="H29" s="42">
        <f>225.409*Deflactores!$X$5</f>
        <v>264.2622954926282</v>
      </c>
      <c r="I29" s="42">
        <f>249.029581223*Deflactores!$Y$5</f>
        <v>277.5231071706034</v>
      </c>
      <c r="J29" s="42">
        <f>273.799010614*Deflactores!$Z$5</f>
        <v>290.31745919006931</v>
      </c>
      <c r="K29" s="42">
        <f>309.133447*Deflactores!$AA$5</f>
        <v>309.13344699999999</v>
      </c>
    </row>
    <row r="30" spans="3:11" x14ac:dyDescent="0.2">
      <c r="C30" s="88" t="s">
        <v>138</v>
      </c>
      <c r="D30" s="50">
        <f>90.387*Deflactores!$T$5</f>
        <v>140.58293961649485</v>
      </c>
      <c r="E30" s="50">
        <f>92.601*Deflactores!$U$5</f>
        <v>141.74438809038028</v>
      </c>
      <c r="F30" s="50">
        <f>109.327*Deflactores!$V$5</f>
        <v>158.44241909107677</v>
      </c>
      <c r="G30" s="50">
        <f>103.804*Deflactores!$W$5</f>
        <v>132.98992042702369</v>
      </c>
      <c r="H30" s="50">
        <f>114.794*Deflactores!$X$5</f>
        <v>134.58081065432506</v>
      </c>
      <c r="I30" s="50">
        <f>128.047*Deflactores!$Y$5</f>
        <v>142.69791214904953</v>
      </c>
      <c r="J30" s="50">
        <f>140.651175014*Deflactores!$Z$5</f>
        <v>149.13673964924956</v>
      </c>
      <c r="K30" s="50">
        <f>154.503477808*Deflactores!$AA$5</f>
        <v>154.50347780800001</v>
      </c>
    </row>
    <row r="31" spans="3:11" x14ac:dyDescent="0.2">
      <c r="C31" s="87" t="s">
        <v>160</v>
      </c>
      <c r="D31" s="42">
        <f>1292.649722001*Deflactores!$T$5</f>
        <v>2010.5158685800552</v>
      </c>
      <c r="E31" s="42">
        <f>1576.714803424*Deflactores!$U$5</f>
        <v>2413.4779862461432</v>
      </c>
      <c r="F31" s="42">
        <f>1883.784798662*Deflactores!$V$5</f>
        <v>2730.0796742525113</v>
      </c>
      <c r="G31" s="42">
        <f>2394.06327222*Deflactores!$W$5</f>
        <v>3067.187045487628</v>
      </c>
      <c r="H31" s="42">
        <f>2890.076123573*Deflactores!$X$5</f>
        <v>3388.2327261282271</v>
      </c>
      <c r="I31" s="42">
        <f>3556.5098069995*Deflactores!$Y$5</f>
        <v>3963.4393933200136</v>
      </c>
      <c r="J31" s="42">
        <f>4008.230864104*Deflactores!$Z$5</f>
        <v>4250.0496904804686</v>
      </c>
      <c r="K31" s="42">
        <f>4145.922628603*Deflactores!$AA$5</f>
        <v>4145.9226286029998</v>
      </c>
    </row>
    <row r="32" spans="3:11" x14ac:dyDescent="0.2">
      <c r="C32" s="88" t="s">
        <v>161</v>
      </c>
      <c r="D32" s="50">
        <f>2363.89083455999*Deflactores!$T$5</f>
        <v>3676.6650342962225</v>
      </c>
      <c r="E32" s="50">
        <f>2528.427496633*Deflactores!$U$5</f>
        <v>3870.2649900231818</v>
      </c>
      <c r="F32" s="50">
        <f>2982.511649*Deflactores!$V$5</f>
        <v>4322.41221870971</v>
      </c>
      <c r="G32" s="50">
        <f>3236.337515924*Deflactores!$W$5</f>
        <v>4146.2782620874368</v>
      </c>
      <c r="H32" s="50">
        <f>3893.283514468*Deflactores!$X$5</f>
        <v>4564.3609551389718</v>
      </c>
      <c r="I32" s="50">
        <f>4187.430084892*Deflactores!$Y$5</f>
        <v>4666.5484578647347</v>
      </c>
      <c r="J32" s="50">
        <f>4351.980821856*Deflactores!$Z$5</f>
        <v>4614.5382768616182</v>
      </c>
      <c r="K32" s="50">
        <f>4946.192901881*Deflactores!$AA$5</f>
        <v>4946.1929018809997</v>
      </c>
    </row>
    <row r="33" spans="1:11" x14ac:dyDescent="0.2">
      <c r="C33" s="87" t="s">
        <v>140</v>
      </c>
      <c r="D33" s="42">
        <f>687.684063311*Deflactores!$T$5</f>
        <v>1069.5857495843002</v>
      </c>
      <c r="E33" s="42">
        <f>1201.473565365*Deflactores!$U$5</f>
        <v>1839.0960716345337</v>
      </c>
      <c r="F33" s="42">
        <f>1266.027854134*Deflactores!$V$5</f>
        <v>1834.793928724614</v>
      </c>
      <c r="G33" s="42">
        <f>995.605366938*Deflactores!$W$5</f>
        <v>1275.5334912508415</v>
      </c>
      <c r="H33" s="42">
        <f>1773.906274417*Deflactores!$X$5</f>
        <v>2079.6709273640913</v>
      </c>
      <c r="I33" s="42">
        <f>4496.808756244*Deflactores!$Y$5</f>
        <v>5011.3256917349327</v>
      </c>
      <c r="J33" s="42">
        <f>3743.658156151*Deflactores!$Z$5</f>
        <v>3969.5151619892849</v>
      </c>
      <c r="K33" s="42">
        <f>3243.261007472*Deflactores!$AA$5</f>
        <v>3243.2610074720001</v>
      </c>
    </row>
    <row r="34" spans="1:11" x14ac:dyDescent="0.2">
      <c r="C34" s="88" t="s">
        <v>141</v>
      </c>
      <c r="D34" s="50">
        <f>1738.67851541*Deflactores!$T$5</f>
        <v>2704.2443796605812</v>
      </c>
      <c r="E34" s="50">
        <f>2142.878077567*Deflactores!$U$5</f>
        <v>3280.1043385819262</v>
      </c>
      <c r="F34" s="50">
        <f>2509.972226424*Deflactores!$V$5</f>
        <v>3637.5833179912966</v>
      </c>
      <c r="G34" s="50">
        <f>2756.78107278*Deflactores!$W$5</f>
        <v>3531.8879378804018</v>
      </c>
      <c r="H34" s="50">
        <f>3454.611995337*Deflactores!$X$5</f>
        <v>4050.0765094744406</v>
      </c>
      <c r="I34" s="50">
        <f>3769.31476*Deflactores!$Y$5</f>
        <v>4200.5931141268111</v>
      </c>
      <c r="J34" s="50">
        <f>3879.211568828*Deflactores!$Z$5</f>
        <v>4113.2465884275261</v>
      </c>
      <c r="K34" s="50">
        <f>4150.264358949*Deflactores!$AA$5</f>
        <v>4150.2643589489999</v>
      </c>
    </row>
    <row r="35" spans="1:11" x14ac:dyDescent="0.2">
      <c r="C35" s="87" t="s">
        <v>142</v>
      </c>
      <c r="D35" s="42">
        <f>201.816091294*Deflactores!$T$5</f>
        <v>313.89358398908485</v>
      </c>
      <c r="E35" s="42">
        <f>406.1413538*Deflactores!$U$5</f>
        <v>621.68073425319005</v>
      </c>
      <c r="F35" s="42">
        <f>981.32019537*Deflactores!$V$5</f>
        <v>1422.1806658680005</v>
      </c>
      <c r="G35" s="42">
        <f>707.59493406*Deflactores!$W$5</f>
        <v>906.54496912647369</v>
      </c>
      <c r="H35" s="42">
        <f>545.691724435*Deflactores!$X$5</f>
        <v>639.75150828282722</v>
      </c>
      <c r="I35" s="42">
        <f>537.898652903*Deflactores!$Y$5</f>
        <v>599.44406910778366</v>
      </c>
      <c r="J35" s="42">
        <f>500.423093931*Deflactores!$Z$5</f>
        <v>530.61390113968775</v>
      </c>
      <c r="K35" s="42">
        <f>801.121533844*Deflactores!$AA$5</f>
        <v>801.12153384400006</v>
      </c>
    </row>
    <row r="36" spans="1:11" x14ac:dyDescent="0.2">
      <c r="C36" s="88" t="s">
        <v>143</v>
      </c>
      <c r="D36" s="50">
        <f>1319.303184481*Deflactores!$T$5</f>
        <v>2051.9711896593735</v>
      </c>
      <c r="E36" s="50">
        <f>4621.73738908*Deflactores!$U$5</f>
        <v>7074.4952876273092</v>
      </c>
      <c r="F36" s="50">
        <f>6365.804150271*Deflactores!$V$5</f>
        <v>9225.6570566187111</v>
      </c>
      <c r="G36" s="50">
        <f>4745.81222325475*Deflactores!$W$5</f>
        <v>6080.1625171693349</v>
      </c>
      <c r="H36" s="50">
        <f>3287.22781*Deflactores!$X$5</f>
        <v>3853.8406491213973</v>
      </c>
      <c r="I36" s="50">
        <f>2113.115714571*Deflactores!$Y$5</f>
        <v>2354.8946917821472</v>
      </c>
      <c r="J36" s="50">
        <f>3587.518379853*Deflactores!$Z$5</f>
        <v>3803.9553850138768</v>
      </c>
      <c r="K36" s="50">
        <f>9245.044151144*Deflactores!$AA$5</f>
        <v>9245.0441511440004</v>
      </c>
    </row>
    <row r="37" spans="1:11" x14ac:dyDescent="0.2">
      <c r="C37" s="87" t="s">
        <v>144</v>
      </c>
      <c r="D37" s="42">
        <f>4334.331609424*Deflactores!$T$5</f>
        <v>6741.3796112883392</v>
      </c>
      <c r="E37" s="42">
        <f>4599.530195*Deflactores!$U$5</f>
        <v>7040.5027266822453</v>
      </c>
      <c r="F37" s="42">
        <f>4957.475927*Deflactores!$V$5</f>
        <v>7184.6339738551178</v>
      </c>
      <c r="G37" s="42">
        <f>5455.2092*Deflactores!$W$5</f>
        <v>6989.0161980344456</v>
      </c>
      <c r="H37" s="42">
        <f>7176.2295*Deflactores!$X$5</f>
        <v>8413.1817303298249</v>
      </c>
      <c r="I37" s="42">
        <f>8192.5800133*Deflactores!$Y$5</f>
        <v>9129.9605848785395</v>
      </c>
      <c r="J37" s="42">
        <f>9425.170014399*Deflactores!$Z$5</f>
        <v>9993.7958317619778</v>
      </c>
      <c r="K37" s="42">
        <f>9459.483033632*Deflactores!$AA$5</f>
        <v>9459.4830336319992</v>
      </c>
    </row>
    <row r="38" spans="1:11" x14ac:dyDescent="0.2">
      <c r="C38" s="88" t="s">
        <v>145</v>
      </c>
      <c r="D38" s="50">
        <f>1449.736586891*Deflactores!$T$5</f>
        <v>2254.8400882286255</v>
      </c>
      <c r="E38" s="50">
        <f>573.460328532*Deflactores!$U$5</f>
        <v>877.79595643542496</v>
      </c>
      <c r="F38" s="50">
        <f>1342.173870562*Deflactores!$V$5</f>
        <v>1945.1487271458748</v>
      </c>
      <c r="G38" s="50">
        <f>3140.838685404*Deflactores!$W$5</f>
        <v>4023.9286236175453</v>
      </c>
      <c r="H38" s="50">
        <f>3124.964674751*Deflactores!$X$5</f>
        <v>3663.6085439493254</v>
      </c>
      <c r="I38" s="50">
        <f>1343.956208107*Deflactores!$Y$5</f>
        <v>1497.7293096802146</v>
      </c>
      <c r="J38" s="50">
        <f>2826.686832365*Deflactores!$Z$5</f>
        <v>2997.2224415929686</v>
      </c>
      <c r="K38" s="50">
        <f>6690.851948616*Deflactores!$AA$5</f>
        <v>6690.8519486160003</v>
      </c>
    </row>
    <row r="39" spans="1:11" x14ac:dyDescent="0.2">
      <c r="C39" s="87" t="s">
        <v>146</v>
      </c>
      <c r="D39" s="42">
        <f>909.638895488*Deflactores!$T$5</f>
        <v>1414.8020170733023</v>
      </c>
      <c r="E39" s="42">
        <f>957.210521744999*Deflactores!$U$5</f>
        <v>1465.2025321370024</v>
      </c>
      <c r="F39" s="42">
        <f>1102.87620753499*Deflactores!$V$5</f>
        <v>1598.3460104076419</v>
      </c>
      <c r="G39" s="42">
        <f>1326.690477201*Deflactores!$W$5</f>
        <v>1699.7077279705125</v>
      </c>
      <c r="H39" s="42">
        <f>1398.488*Deflactores!$X$5</f>
        <v>1639.54256085114</v>
      </c>
      <c r="I39" s="42">
        <f>1538.569206162*Deflactores!$Y$5</f>
        <v>1714.6095841069136</v>
      </c>
      <c r="J39" s="42">
        <f>1716.372328253*Deflactores!$Z$5</f>
        <v>1819.9220378668367</v>
      </c>
      <c r="K39" s="42">
        <f>1734.859279404*Deflactores!$AA$5</f>
        <v>1734.8592794040001</v>
      </c>
    </row>
    <row r="40" spans="1:11" x14ac:dyDescent="0.2">
      <c r="C40" s="88" t="s">
        <v>162</v>
      </c>
      <c r="D40" s="50">
        <f>28950.939836541*Deflactores!$T$5</f>
        <v>45028.690263878867</v>
      </c>
      <c r="E40" s="50">
        <f>34681.685660608*Deflactores!$U$5</f>
        <v>53087.270244444415</v>
      </c>
      <c r="F40" s="50">
        <f>42889.0175780738*Deflactores!$V$5</f>
        <v>62157.012426113659</v>
      </c>
      <c r="G40" s="50">
        <f>41295.6407251082*Deflactores!$W$5</f>
        <v>52906.477342059057</v>
      </c>
      <c r="H40" s="50">
        <f>51778.245040631*Deflactores!$X$5</f>
        <v>60703.156888220699</v>
      </c>
      <c r="I40" s="50">
        <f>59430.39723181*Deflactores!$Y$5</f>
        <v>66230.318579646075</v>
      </c>
      <c r="J40" s="50">
        <f>64829.835003367*Deflactores!$Z$5</f>
        <v>68741.055475992835</v>
      </c>
      <c r="K40" s="50">
        <f>75860.796006222*Deflactores!$AA$5</f>
        <v>75860.796006221994</v>
      </c>
    </row>
    <row r="41" spans="1:11" x14ac:dyDescent="0.2">
      <c r="C41" s="87" t="s">
        <v>148</v>
      </c>
      <c r="D41" s="42">
        <f>279.190136412*Deflactores!$T$5</f>
        <v>434.23689345513355</v>
      </c>
      <c r="E41" s="42">
        <f>325.051517136*Deflactores!$U$5</f>
        <v>497.55648852919603</v>
      </c>
      <c r="F41" s="42">
        <f>368.2064*Deflactores!$V$5</f>
        <v>533.62401548397611</v>
      </c>
      <c r="G41" s="42">
        <f>364.995285796*Deflactores!$W$5</f>
        <v>467.61872388586966</v>
      </c>
      <c r="H41" s="42">
        <f>490.227944563*Deflactores!$X$5</f>
        <v>574.72754834479213</v>
      </c>
      <c r="I41" s="42">
        <f>601.201697709*Deflactores!$Y$5</f>
        <v>669.99013677429627</v>
      </c>
      <c r="J41" s="42">
        <f>703.36457226*Deflactores!$Z$5</f>
        <v>745.79895319896355</v>
      </c>
      <c r="K41" s="42">
        <f>675.156391489*Deflactores!$AA$5</f>
        <v>675.15639148900004</v>
      </c>
    </row>
    <row r="42" spans="1:11" x14ac:dyDescent="0.2">
      <c r="C42" s="88" t="s">
        <v>149</v>
      </c>
      <c r="D42" s="50">
        <f>504.589671788*Deflactores!$T$5</f>
        <v>784.81086173984488</v>
      </c>
      <c r="E42" s="50">
        <f>317.391364936*Deflactores!$U$5</f>
        <v>485.8310904636441</v>
      </c>
      <c r="F42" s="50">
        <f>855.305423779*Deflactores!$V$5</f>
        <v>1239.5534534494072</v>
      </c>
      <c r="G42" s="50">
        <f>931.041113649*Deflactores!$W$5</f>
        <v>1192.8161113104316</v>
      </c>
      <c r="H42" s="50">
        <f>1028.852298238*Deflactores!$X$5</f>
        <v>1206.1934973991276</v>
      </c>
      <c r="I42" s="50">
        <f>793.083724775*Deflactores!$Y$5</f>
        <v>883.82696732281056</v>
      </c>
      <c r="J42" s="50">
        <f>818.860538458*Deflactores!$Z$5</f>
        <v>868.2628561112225</v>
      </c>
      <c r="K42" s="50">
        <f>575.01766157*Deflactores!$AA$5</f>
        <v>575.01766156999997</v>
      </c>
    </row>
    <row r="43" spans="1:11" x14ac:dyDescent="0.2">
      <c r="C43" s="87" t="s">
        <v>163</v>
      </c>
      <c r="D43" s="42">
        <f>22862.832526617*Deflactores!$T$5</f>
        <v>35559.584946413001</v>
      </c>
      <c r="E43" s="42">
        <f>26637.721680862*Deflactores!$U$5</f>
        <v>40774.371332659917</v>
      </c>
      <c r="F43" s="42">
        <f>23740.558575881*Deflactores!$V$5</f>
        <v>34406.061918245214</v>
      </c>
      <c r="G43" s="42">
        <f>30259.434631922*Deflactores!$W$5</f>
        <v>38767.290315074868</v>
      </c>
      <c r="H43" s="42">
        <f>29591.04277809*Deflactores!$X$5</f>
        <v>34691.591243289404</v>
      </c>
      <c r="I43" s="42">
        <f>34511.60108678*Deflactores!$Y$5</f>
        <v>38460.357681198111</v>
      </c>
      <c r="J43" s="42">
        <f>45181.17461875*Deflactores!$Z$5</f>
        <v>47906.980339788162</v>
      </c>
      <c r="K43" s="42">
        <f>49993.322309122*Deflactores!$AA$5</f>
        <v>49993.322309121999</v>
      </c>
    </row>
    <row r="44" spans="1:11" x14ac:dyDescent="0.2">
      <c r="C44" s="88" t="s">
        <v>150</v>
      </c>
      <c r="D44" s="50">
        <f>976.998140541*Deflactores!$T$5</f>
        <v>1519.5688605341825</v>
      </c>
      <c r="E44" s="50">
        <f>915.226585699*Deflactores!$U$5</f>
        <v>1400.9377042791411</v>
      </c>
      <c r="F44" s="50">
        <f>1097.911182352*Deflactores!$V$5</f>
        <v>1591.1504356562898</v>
      </c>
      <c r="G44" s="50">
        <f>1218.79296737*Deflactores!$W$5</f>
        <v>1561.4733511960271</v>
      </c>
      <c r="H44" s="50">
        <f>1620.578066813*Deflactores!$X$5</f>
        <v>1899.9138453256489</v>
      </c>
      <c r="I44" s="50">
        <f>1554.933628943*Deflactores!$Y$5</f>
        <v>1732.8463953119638</v>
      </c>
      <c r="J44" s="50">
        <f>1524.907324663*Deflactores!$Z$5</f>
        <v>1616.9058427337195</v>
      </c>
      <c r="K44" s="50">
        <f>2238.618196132*Deflactores!$AA$5</f>
        <v>2238.6181961319999</v>
      </c>
    </row>
    <row r="45" spans="1:11" x14ac:dyDescent="0.2">
      <c r="C45" s="87" t="s">
        <v>151</v>
      </c>
      <c r="D45" s="42">
        <f>2193.858246928*Deflactores!$T$5</f>
        <v>3412.2057536485145</v>
      </c>
      <c r="E45" s="42">
        <f>2371.702884348*Deflactores!$U$5</f>
        <v>3630.3665627163559</v>
      </c>
      <c r="F45" s="42">
        <f>2743.274099731*Deflactores!$V$5</f>
        <v>3975.6966219806222</v>
      </c>
      <c r="G45" s="42">
        <f>2659.146005054*Deflactores!$W$5</f>
        <v>3406.8014297711975</v>
      </c>
      <c r="H45" s="42">
        <f>2941.964825564*Deflactores!$X$5</f>
        <v>3449.0653792089583</v>
      </c>
      <c r="I45" s="42">
        <f>3774.236903562*Deflactores!$Y$5</f>
        <v>4206.0784406834291</v>
      </c>
      <c r="J45" s="42">
        <f>4342.223109946*Deflactores!$Z$5</f>
        <v>4604.1918766943299</v>
      </c>
      <c r="K45" s="42">
        <f>4698.621505748*Deflactores!$AA$5</f>
        <v>4698.6215057480003</v>
      </c>
    </row>
    <row r="46" spans="1:11" ht="21.75" customHeight="1" x14ac:dyDescent="0.2">
      <c r="C46" s="79" t="s">
        <v>179</v>
      </c>
      <c r="D46" s="44">
        <f t="shared" ref="D46:K46" si="0">+SUM(D15:D45)</f>
        <v>243689.19390036966</v>
      </c>
      <c r="E46" s="44">
        <f t="shared" si="0"/>
        <v>324267.69021588069</v>
      </c>
      <c r="F46" s="44">
        <f t="shared" si="0"/>
        <v>309972.81704565434</v>
      </c>
      <c r="G46" s="44">
        <f t="shared" si="0"/>
        <v>270725.04455399746</v>
      </c>
      <c r="H46" s="44">
        <f t="shared" si="0"/>
        <v>306381.75164101447</v>
      </c>
      <c r="I46" s="44">
        <f t="shared" si="0"/>
        <v>323360.56091667817</v>
      </c>
      <c r="J46" s="44">
        <f t="shared" si="0"/>
        <v>339045.11882389599</v>
      </c>
      <c r="K46" s="44">
        <f t="shared" si="0"/>
        <v>365896.5291675381</v>
      </c>
    </row>
    <row r="47" spans="1:11" s="31" customFormat="1" x14ac:dyDescent="0.2">
      <c r="A47" s="5"/>
      <c r="B47" s="5"/>
      <c r="C47" s="72" t="str">
        <f>+'C1 Aprop Resumen 2000-2026'!B20</f>
        <v>* Información con corte a 30 de Junio</v>
      </c>
      <c r="D47" s="121">
        <f>+D46-'C5 Ejecución PGN 2019-2026'!D14</f>
        <v>1.2514647096395493E-9</v>
      </c>
      <c r="E47" s="121">
        <f>+E46-'C5 Ejecución PGN 2019-2026'!E14</f>
        <v>6.9849193096160889E-10</v>
      </c>
      <c r="F47" s="121">
        <f>+F46-'C5 Ejecución PGN 2019-2026'!F14</f>
        <v>0</v>
      </c>
      <c r="G47" s="121">
        <f>+G46-'C5 Ejecución PGN 2019-2026'!G14</f>
        <v>0</v>
      </c>
      <c r="H47" s="121">
        <f>+H46-'C5 Ejecución PGN 2019-2026'!H14</f>
        <v>0</v>
      </c>
      <c r="I47" s="121">
        <f>+I46-'C5 Ejecución PGN 2019-2026'!I14</f>
        <v>0</v>
      </c>
      <c r="J47" s="121">
        <f>+J46-'C5 Ejecución PGN 2019-2026'!J14</f>
        <v>7.5669959187507629E-10</v>
      </c>
      <c r="K47" s="121">
        <f>+K46-'C5 Ejecución PGN 2019-2026'!K14</f>
        <v>0</v>
      </c>
    </row>
    <row r="48" spans="1:11" x14ac:dyDescent="0.2">
      <c r="C48" s="1" t="s">
        <v>52</v>
      </c>
      <c r="D48" s="10"/>
    </row>
    <row r="49" spans="3:12" x14ac:dyDescent="0.2">
      <c r="D49" s="10"/>
    </row>
    <row r="50" spans="3:12" x14ac:dyDescent="0.2">
      <c r="D50" s="10"/>
    </row>
    <row r="52" spans="3:12" ht="18" customHeight="1" x14ac:dyDescent="0.2">
      <c r="D52" s="164" t="s">
        <v>180</v>
      </c>
      <c r="E52" s="182"/>
      <c r="F52" s="182"/>
      <c r="G52" s="182"/>
      <c r="H52" s="182"/>
      <c r="I52" s="182"/>
      <c r="J52" s="182"/>
      <c r="K52" s="182"/>
      <c r="L52" s="182"/>
    </row>
    <row r="53" spans="3:12" ht="1.5" customHeight="1" x14ac:dyDescent="0.2">
      <c r="D53" s="28"/>
    </row>
    <row r="54" spans="3:12" ht="15.75" customHeight="1" x14ac:dyDescent="0.2">
      <c r="C54" s="2"/>
      <c r="D54" s="2"/>
      <c r="E54" s="2"/>
      <c r="F54" s="2"/>
      <c r="G54" s="2"/>
      <c r="H54" s="2"/>
      <c r="I54" s="2"/>
    </row>
    <row r="55" spans="3:12" x14ac:dyDescent="0.2">
      <c r="C55" s="181" t="s">
        <v>120</v>
      </c>
      <c r="D55" s="184">
        <v>2019</v>
      </c>
      <c r="E55" s="155">
        <v>2020</v>
      </c>
      <c r="F55" s="155">
        <v>2021</v>
      </c>
      <c r="G55" s="155">
        <v>2022</v>
      </c>
      <c r="H55" s="155">
        <v>2023</v>
      </c>
      <c r="I55" s="155">
        <v>2024</v>
      </c>
      <c r="J55" s="155">
        <v>2025</v>
      </c>
      <c r="K55" s="155" t="s">
        <v>36</v>
      </c>
    </row>
    <row r="56" spans="3:12" ht="12" customHeight="1" thickBot="1" x14ac:dyDescent="0.25">
      <c r="C56" s="162"/>
      <c r="D56" s="185"/>
      <c r="E56" s="156"/>
      <c r="F56" s="156"/>
      <c r="G56" s="156"/>
      <c r="H56" s="156"/>
      <c r="I56" s="156"/>
      <c r="J56" s="156"/>
      <c r="K56" s="156"/>
    </row>
    <row r="57" spans="3:12" x14ac:dyDescent="0.2">
      <c r="C57" s="87" t="s">
        <v>123</v>
      </c>
      <c r="D57" s="42">
        <f>713.026190400019*Deflactores!$T$5</f>
        <v>1109.0014921391928</v>
      </c>
      <c r="E57" s="42">
        <f>624.06366325123*Deflactores!$U$5</f>
        <v>955.2545013227367</v>
      </c>
      <c r="F57" s="42">
        <f>592.95086130107*Deflactores!$V$5</f>
        <v>859.33546943279396</v>
      </c>
      <c r="G57" s="42">
        <f>709.472601329039*Deflactores!$W$5</f>
        <v>908.9505683393935</v>
      </c>
      <c r="H57" s="42">
        <f>788.03137500301*Deflactores!$X$5</f>
        <v>923.86275649378479</v>
      </c>
      <c r="I57" s="42">
        <f>1017.57867620547*Deflactores!$Y$5</f>
        <v>1134.0082355847014</v>
      </c>
      <c r="J57" s="42">
        <f>814.053183417246*Deflactores!$Z$5</f>
        <v>863.16547063226676</v>
      </c>
      <c r="K57" s="42">
        <f>615.345049834099*Deflactores!$AA$5</f>
        <v>615.34504983409897</v>
      </c>
    </row>
    <row r="58" spans="3:12" x14ac:dyDescent="0.2">
      <c r="C58" s="88" t="s">
        <v>124</v>
      </c>
      <c r="D58" s="50">
        <f>312.50760838984*Deflactores!$T$5</f>
        <v>486.05704625625475</v>
      </c>
      <c r="E58" s="50">
        <f>342.330604263479*Deflactores!$U$5</f>
        <v>524.00559417216846</v>
      </c>
      <c r="F58" s="50">
        <f>391.34762989479*Deflactores!$V$5</f>
        <v>567.16149886203698</v>
      </c>
      <c r="G58" s="50">
        <f>417.10350549923*Deflactores!$W$5</f>
        <v>534.37788530475927</v>
      </c>
      <c r="H58" s="50">
        <f>494.72457192577*Deflactores!$X$5</f>
        <v>579.99925031259545</v>
      </c>
      <c r="I58" s="50">
        <f>586.287823801129*Deflactores!$Y$5</f>
        <v>653.36984368888716</v>
      </c>
      <c r="J58" s="50">
        <f>772.53676935788*Deflactores!$Z$5</f>
        <v>819.14434792123484</v>
      </c>
      <c r="K58" s="50">
        <f>438.86381324154*Deflactores!$AA$5</f>
        <v>438.86381324154002</v>
      </c>
    </row>
    <row r="59" spans="3:12" x14ac:dyDescent="0.2">
      <c r="C59" s="87" t="s">
        <v>125</v>
      </c>
      <c r="D59" s="42">
        <f>22.67956867012*Deflactores!$T$5</f>
        <v>35.274546482122737</v>
      </c>
      <c r="E59" s="42">
        <f>22.94716652129*Deflactores!$U$5</f>
        <v>35.125237059732747</v>
      </c>
      <c r="F59" s="42">
        <f>24.69428390912*Deflactores!$V$5</f>
        <v>35.788250663448416</v>
      </c>
      <c r="G59" s="42">
        <f>24.52920631672*Deflactores!$W$5</f>
        <v>31.425929600002309</v>
      </c>
      <c r="H59" s="42">
        <f>26.11209205751*Deflactores!$X$5</f>
        <v>30.612980791505297</v>
      </c>
      <c r="I59" s="42">
        <f>26.79346334176*Deflactores!$Y$5</f>
        <v>29.859124213072135</v>
      </c>
      <c r="J59" s="42">
        <f>25.25286534355*Deflactores!$Z$5</f>
        <v>26.776384937869906</v>
      </c>
      <c r="K59" s="42">
        <f>11.40198289905*Deflactores!$AA$5</f>
        <v>11.401982899049999</v>
      </c>
    </row>
    <row r="60" spans="3:12" x14ac:dyDescent="0.2">
      <c r="C60" s="88" t="s">
        <v>126</v>
      </c>
      <c r="D60" s="50">
        <f>637.43418051787*Deflactores!$T$5</f>
        <v>991.42986169729716</v>
      </c>
      <c r="E60" s="50">
        <f>693.02733955293*Deflactores!$U$5</f>
        <v>1060.8172284838638</v>
      </c>
      <c r="F60" s="50">
        <f>640.040956176229*Deflactores!$V$5</f>
        <v>927.58090328946719</v>
      </c>
      <c r="G60" s="50">
        <f>646.0740809606*Deflactores!$W$5</f>
        <v>827.72668314239002</v>
      </c>
      <c r="H60" s="50">
        <f>754.67324539444*Deflactores!$X$5</f>
        <v>884.75475324767956</v>
      </c>
      <c r="I60" s="50">
        <f>1069.76535855299*Deflactores!$Y$5</f>
        <v>1192.1660261848465</v>
      </c>
      <c r="J60" s="50">
        <f>1010.01525763479*Deflactores!$Z$5</f>
        <v>1070.9500471976585</v>
      </c>
      <c r="K60" s="50">
        <f>1028.78492719441*Deflactores!$AA$5</f>
        <v>1028.7849271944101</v>
      </c>
    </row>
    <row r="61" spans="3:12" x14ac:dyDescent="0.2">
      <c r="C61" s="87" t="s">
        <v>127</v>
      </c>
      <c r="D61" s="42">
        <f>551.90141227832*Deflactores!$T$5</f>
        <v>858.39692562626578</v>
      </c>
      <c r="E61" s="42">
        <f>602.52580513676*Deflactores!$U$5</f>
        <v>922.28649321037324</v>
      </c>
      <c r="F61" s="42">
        <f>632.65134401225*Deflactores!$V$5</f>
        <v>916.87148999352314</v>
      </c>
      <c r="G61" s="42">
        <f>738.717671821719*Deflactores!$W$5</f>
        <v>946.41829210441426</v>
      </c>
      <c r="H61" s="42">
        <f>896.06421984406*Deflactores!$X$5</f>
        <v>1050.5170052872882</v>
      </c>
      <c r="I61" s="42">
        <f>1043.44658585773*Deflactores!$Y$5</f>
        <v>1162.8359058857454</v>
      </c>
      <c r="J61" s="42">
        <f>1156.28635316452*Deflactores!$Z$5</f>
        <v>1226.0457603337663</v>
      </c>
      <c r="K61" s="42">
        <f>709.714675117929*Deflactores!$AA$5</f>
        <v>709.714675117929</v>
      </c>
    </row>
    <row r="62" spans="3:12" x14ac:dyDescent="0.2">
      <c r="C62" s="88" t="s">
        <v>128</v>
      </c>
      <c r="D62" s="50">
        <f>235.597381400159*Deflactores!$T$5</f>
        <v>366.4351338487046</v>
      </c>
      <c r="E62" s="50">
        <f>237.116722329109*Deflactores!$U$5</f>
        <v>362.95466261202546</v>
      </c>
      <c r="F62" s="50">
        <f>229.02910408488*Deflactores!$V$5</f>
        <v>331.92098286306589</v>
      </c>
      <c r="G62" s="50">
        <f>190.71196081699*Deflactores!$W$5</f>
        <v>244.33324817476361</v>
      </c>
      <c r="H62" s="50">
        <f>296.42994374731*Deflactores!$X$5</f>
        <v>347.52497632044322</v>
      </c>
      <c r="I62" s="50">
        <f>331.42532700873*Deflactores!$Y$5</f>
        <v>369.34642902576218</v>
      </c>
      <c r="J62" s="50">
        <f>339.52142948775*Deflactores!$Z$5</f>
        <v>360.00494862425114</v>
      </c>
      <c r="K62" s="50">
        <f>252.7497410254*Deflactores!$AA$5</f>
        <v>252.7497410254</v>
      </c>
    </row>
    <row r="63" spans="3:12" x14ac:dyDescent="0.2">
      <c r="C63" s="87" t="s">
        <v>129</v>
      </c>
      <c r="D63" s="42">
        <f>32269.114086411*Deflactores!$T$5</f>
        <v>50189.594931657215</v>
      </c>
      <c r="E63" s="42">
        <f>33901.7351977179*Deflactores!$U$5</f>
        <v>51893.399755970575</v>
      </c>
      <c r="F63" s="42">
        <f>35690.474776191*Deflactores!$V$5</f>
        <v>51724.506865172909</v>
      </c>
      <c r="G63" s="42">
        <f>39586.7184574335*Deflactores!$W$5</f>
        <v>50717.068105478313</v>
      </c>
      <c r="H63" s="42">
        <f>45392.3577240527*Deflactores!$X$5</f>
        <v>53216.547032197908</v>
      </c>
      <c r="I63" s="42">
        <f>52288.3537431111*Deflactores!$Y$5</f>
        <v>58271.095057696737</v>
      </c>
      <c r="J63" s="42">
        <f>57548.5491330769*Deflactores!$Z$5</f>
        <v>61020.485526675839</v>
      </c>
      <c r="K63" s="42">
        <f>31565.3475464505*Deflactores!$AA$5</f>
        <v>31565.347546450499</v>
      </c>
    </row>
    <row r="64" spans="3:12" x14ac:dyDescent="0.2">
      <c r="C64" s="88" t="s">
        <v>130</v>
      </c>
      <c r="D64" s="50">
        <f>36.97973938783*Deflactores!$T$5</f>
        <v>57.516240935013016</v>
      </c>
      <c r="E64" s="50">
        <f>39.0102949904899*Deflactores!$U$5</f>
        <v>59.713074293498117</v>
      </c>
      <c r="F64" s="50">
        <f>36.42389235794*Deflactores!$V$5</f>
        <v>52.787414068848484</v>
      </c>
      <c r="G64" s="50">
        <f>49.74624542684*Deflactores!$W$5</f>
        <v>63.733085631176472</v>
      </c>
      <c r="H64" s="50">
        <f>48.4766144126999*Deflactores!$X$5</f>
        <v>56.832430836439983</v>
      </c>
      <c r="I64" s="50">
        <f>62.4161431238*Deflactores!$Y$5</f>
        <v>69.557688256363008</v>
      </c>
      <c r="J64" s="50">
        <f>46.41038655829*Deflactores!$Z$5</f>
        <v>49.210351328211679</v>
      </c>
      <c r="K64" s="50">
        <f>25.79366292723*Deflactores!$AA$5</f>
        <v>25.793662927229999</v>
      </c>
    </row>
    <row r="65" spans="3:11" x14ac:dyDescent="0.2">
      <c r="C65" s="87" t="s">
        <v>131</v>
      </c>
      <c r="D65" s="42">
        <f>37392.192336246*Deflactores!$T$5</f>
        <v>58157.747434197758</v>
      </c>
      <c r="E65" s="42">
        <f>40611.4394535181*Deflactores!$U$5</f>
        <v>62163.946769564594</v>
      </c>
      <c r="F65" s="42">
        <f>43221.8048087811*Deflactores!$V$5</f>
        <v>62639.305124860395</v>
      </c>
      <c r="G65" s="42">
        <f>44189.6385611119*Deflactores!$W$5</f>
        <v>56614.162420920278</v>
      </c>
      <c r="H65" s="42">
        <f>51150.5616588756*Deflactores!$X$5</f>
        <v>59967.280985726757</v>
      </c>
      <c r="I65" s="42">
        <f>61971.7744248151*Deflactores!$Y$5</f>
        <v>69062.475673721216</v>
      </c>
      <c r="J65" s="42">
        <f>73143.6751983846*Deflactores!$Z$5</f>
        <v>77556.474334217026</v>
      </c>
      <c r="K65" s="42">
        <f>49991.3361002707*Deflactores!$AA$5</f>
        <v>49991.336100270702</v>
      </c>
    </row>
    <row r="66" spans="3:11" x14ac:dyDescent="0.2">
      <c r="C66" s="88" t="s">
        <v>132</v>
      </c>
      <c r="D66" s="50">
        <f>79.58376714397*Deflactores!$T$5</f>
        <v>123.7801888640393</v>
      </c>
      <c r="E66" s="50">
        <f>77.9594632223399*Deflactores!$U$5</f>
        <v>119.33258183286441</v>
      </c>
      <c r="F66" s="50">
        <f>92.56591726217*Deflactores!$V$5</f>
        <v>134.15137940675842</v>
      </c>
      <c r="G66" s="50">
        <f>139.22447420447*Deflactores!$W$5</f>
        <v>178.36934748127894</v>
      </c>
      <c r="H66" s="50">
        <f>164.954907577849*Deflactores!$X$5</f>
        <v>193.38785287764335</v>
      </c>
      <c r="I66" s="50">
        <f>180.44963145647*Deflactores!$Y$5</f>
        <v>201.09636037473524</v>
      </c>
      <c r="J66" s="50">
        <f>199.61805247925*Deflactores!$Z$5</f>
        <v>211.66112205550286</v>
      </c>
      <c r="K66" s="50">
        <f>110.42335819817*Deflactores!$AA$5</f>
        <v>110.42335819817001</v>
      </c>
    </row>
    <row r="67" spans="3:11" x14ac:dyDescent="0.2">
      <c r="C67" s="87" t="s">
        <v>133</v>
      </c>
      <c r="D67" s="42">
        <f>3673.78731855611*Deflactores!$T$5</f>
        <v>5714.0055623974486</v>
      </c>
      <c r="E67" s="42">
        <f>3786.55175503936*Deflactores!$U$5</f>
        <v>5796.0763003705115</v>
      </c>
      <c r="F67" s="42">
        <f>4102.42352713194*Deflactores!$V$5</f>
        <v>5945.4472159204252</v>
      </c>
      <c r="G67" s="42">
        <f>4529.7210737527*Deflactores!$W$5</f>
        <v>5803.314372808215</v>
      </c>
      <c r="H67" s="42">
        <f>5192.71999838744*Deflactores!$X$5</f>
        <v>6087.778689512581</v>
      </c>
      <c r="I67" s="42">
        <f>5690.95166253909*Deflactores!$Y$5</f>
        <v>6342.1003255483565</v>
      </c>
      <c r="J67" s="42">
        <f>6494.8325565089*Deflactores!$Z$5</f>
        <v>6886.6694640064297</v>
      </c>
      <c r="K67" s="42">
        <f>3069.79720424485*Deflactores!$AA$5</f>
        <v>3069.79720424485</v>
      </c>
    </row>
    <row r="68" spans="3:11" x14ac:dyDescent="0.2">
      <c r="C68" s="88" t="s">
        <v>134</v>
      </c>
      <c r="D68" s="50">
        <f>8405.95752496066*Deflactores!$T$5</f>
        <v>13074.161319109662</v>
      </c>
      <c r="E68" s="50">
        <f>19778.2694622122*Deflactores!$U$5</f>
        <v>30274.605051866864</v>
      </c>
      <c r="F68" s="50">
        <f>19946.1152744167*Deflactores!$V$5</f>
        <v>28906.9557890371</v>
      </c>
      <c r="G68" s="50">
        <f>14891.3371396266*Deflactores!$W$5</f>
        <v>19078.241120293285</v>
      </c>
      <c r="H68" s="50">
        <f>35521.1069491699*Deflactores!$X$5</f>
        <v>41643.808635976318</v>
      </c>
      <c r="I68" s="50">
        <f>24877.8678355969*Deflactores!$Y$5</f>
        <v>27724.349643956291</v>
      </c>
      <c r="J68" s="50">
        <f>20453.6899007454*Deflactores!$Z$5</f>
        <v>21687.672536616385</v>
      </c>
      <c r="K68" s="50">
        <f>8924.44013173124*Deflactores!$AA$5</f>
        <v>8924.4401317312404</v>
      </c>
    </row>
    <row r="69" spans="3:11" x14ac:dyDescent="0.2">
      <c r="C69" s="87" t="s">
        <v>135</v>
      </c>
      <c r="D69" s="42">
        <f>0*Deflactores!$T$5</f>
        <v>0</v>
      </c>
      <c r="E69" s="42">
        <f>0*Deflactores!$U$5</f>
        <v>0</v>
      </c>
      <c r="F69" s="42">
        <f>0*Deflactores!$V$5</f>
        <v>0</v>
      </c>
      <c r="G69" s="42">
        <f>0*Deflactores!$W$5</f>
        <v>0</v>
      </c>
      <c r="H69" s="42">
        <f>471.96114025259*Deflactores!$X$5</f>
        <v>553.31213175369078</v>
      </c>
      <c r="I69" s="42">
        <f>2255.96164743259*Deflactores!$Y$5</f>
        <v>2514.0848046183105</v>
      </c>
      <c r="J69" s="42">
        <f>1240.68198250512*Deflactores!$Z$5</f>
        <v>1315.5330255432523</v>
      </c>
      <c r="K69" s="42">
        <f>811.48121247981*Deflactores!$AA$5</f>
        <v>811.48121247980998</v>
      </c>
    </row>
    <row r="70" spans="3:11" x14ac:dyDescent="0.2">
      <c r="C70" s="88" t="s">
        <v>136</v>
      </c>
      <c r="D70" s="50">
        <f>1398.50468094726*Deflactores!$T$5</f>
        <v>2175.1568158584096</v>
      </c>
      <c r="E70" s="50">
        <f>7417.59731618681*Deflactores!$U$5</f>
        <v>11354.119206960469</v>
      </c>
      <c r="F70" s="50">
        <f>9216.86080528043*Deflactores!$V$5</f>
        <v>13357.557807443371</v>
      </c>
      <c r="G70" s="50">
        <f>1606.57305004349*Deflactores!$W$5</f>
        <v>2058.2831305680365</v>
      </c>
      <c r="H70" s="50">
        <f>1904.75194567413*Deflactores!$X$5</f>
        <v>2233.0702035317818</v>
      </c>
      <c r="I70" s="50">
        <f>2127.71075363161*Deflactores!$Y$5</f>
        <v>2371.1596694987888</v>
      </c>
      <c r="J70" s="50">
        <f>1974.62114581956*Deflactores!$Z$5</f>
        <v>2093.7511521015172</v>
      </c>
      <c r="K70" s="50">
        <f>468.5172381064*Deflactores!$AA$5</f>
        <v>468.51723810639999</v>
      </c>
    </row>
    <row r="71" spans="3:11" x14ac:dyDescent="0.2">
      <c r="C71" s="87" t="s">
        <v>137</v>
      </c>
      <c r="D71" s="42">
        <f>143.24445026189*Deflactores!$T$5</f>
        <v>222.79449369450563</v>
      </c>
      <c r="E71" s="42">
        <f>148.72989815405*Deflactores!$U$5</f>
        <v>227.66091515847992</v>
      </c>
      <c r="F71" s="42">
        <f>154.10084199066*Deflactores!$V$5</f>
        <v>223.33101785443628</v>
      </c>
      <c r="G71" s="42">
        <f>175.23011052403*Deflactores!$W$5</f>
        <v>224.49846301692921</v>
      </c>
      <c r="H71" s="42">
        <f>207.878671278*Deflactores!$X$5</f>
        <v>243.71029930429469</v>
      </c>
      <c r="I71" s="42">
        <f>237.63910905547*Deflactores!$Y$5</f>
        <v>264.82935724519791</v>
      </c>
      <c r="J71" s="42">
        <f>259.56835313703*Deflactores!$Z$5</f>
        <v>275.22825812957853</v>
      </c>
      <c r="K71" s="42">
        <f>152.24304361973*Deflactores!$AA$5</f>
        <v>152.24304361973</v>
      </c>
    </row>
    <row r="72" spans="3:11" x14ac:dyDescent="0.2">
      <c r="C72" s="88" t="s">
        <v>138</v>
      </c>
      <c r="D72" s="50">
        <f>87.2822857304599*Deflactores!$T$5</f>
        <v>135.75403879357535</v>
      </c>
      <c r="E72" s="50">
        <f>91.83441642363*Deflactores!$U$5</f>
        <v>140.57097830050006</v>
      </c>
      <c r="F72" s="50">
        <f>106.31293775018*Deflactores!$V$5</f>
        <v>154.07428208784268</v>
      </c>
      <c r="G72" s="50">
        <f>100.244969704429*Deflactores!$W$5</f>
        <v>128.43021987786034</v>
      </c>
      <c r="H72" s="50">
        <f>105.58533432232*Deflactores!$X$5</f>
        <v>123.78486581446555</v>
      </c>
      <c r="I72" s="50">
        <f>123.83520786849*Deflactores!$Y$5</f>
        <v>138.0042141821134</v>
      </c>
      <c r="J72" s="50">
        <f>137.17219646521*Deflactores!$Z$5</f>
        <v>145.44787236446098</v>
      </c>
      <c r="K72" s="50">
        <f>63.6878090168799*Deflactores!$AA$5</f>
        <v>63.687809016879903</v>
      </c>
    </row>
    <row r="73" spans="3:11" x14ac:dyDescent="0.2">
      <c r="C73" s="87" t="s">
        <v>160</v>
      </c>
      <c r="D73" s="42">
        <f>1277.0788270277*Deflactores!$T$5</f>
        <v>1986.2977599161297</v>
      </c>
      <c r="E73" s="42">
        <f>1541.24403916405*Deflactores!$U$5</f>
        <v>2359.1828730710727</v>
      </c>
      <c r="F73" s="42">
        <f>1834.19821467318*Deflactores!$V$5</f>
        <v>2658.2161975116192</v>
      </c>
      <c r="G73" s="42">
        <f>2123.60581711354*Deflactores!$W$5</f>
        <v>2720.6867619387917</v>
      </c>
      <c r="H73" s="42">
        <f>2780.42760789089*Deflactores!$X$5</f>
        <v>3259.6843165637742</v>
      </c>
      <c r="I73" s="42">
        <f>3217.10173329016*Deflactores!$Y$5</f>
        <v>3585.1968457800203</v>
      </c>
      <c r="J73" s="42">
        <f>3927.50022136241*Deflactores!$Z$5</f>
        <v>4164.4485225764629</v>
      </c>
      <c r="K73" s="42">
        <f>3011.28925634157*Deflactores!$AA$5</f>
        <v>3011.2892563415699</v>
      </c>
    </row>
    <row r="74" spans="3:11" x14ac:dyDescent="0.2">
      <c r="C74" s="88" t="s">
        <v>161</v>
      </c>
      <c r="D74" s="50">
        <f>2311.72961399883*Deflactores!$T$5</f>
        <v>3595.5363573794953</v>
      </c>
      <c r="E74" s="50">
        <f>2436.79541407373*Deflactores!$U$5</f>
        <v>3730.0037242505564</v>
      </c>
      <c r="F74" s="50">
        <f>2560.79117237842*Deflactores!$V$5</f>
        <v>3711.2327982905545</v>
      </c>
      <c r="G74" s="50">
        <f>2923.71624210692*Deflactores!$W$5</f>
        <v>3745.7592230453165</v>
      </c>
      <c r="H74" s="50">
        <f>3559.56289337771*Deflactores!$X$5</f>
        <v>4173.1175825028058</v>
      </c>
      <c r="I74" s="50">
        <f>3923.75975372176*Deflactores!$Y$5</f>
        <v>4372.709431931743</v>
      </c>
      <c r="J74" s="50">
        <f>4292.00163521007*Deflactores!$Z$5</f>
        <v>4550.9405120914525</v>
      </c>
      <c r="K74" s="50">
        <f>2708.85518587492*Deflactores!$AA$5</f>
        <v>2708.8551858749202</v>
      </c>
    </row>
    <row r="75" spans="3:11" x14ac:dyDescent="0.2">
      <c r="C75" s="87" t="s">
        <v>140</v>
      </c>
      <c r="D75" s="42">
        <f>632.353076759889*Deflactores!$T$5</f>
        <v>983.52699399736912</v>
      </c>
      <c r="E75" s="42">
        <f>1131.50036246776*Deflactores!$U$5</f>
        <v>1731.9880617059875</v>
      </c>
      <c r="F75" s="42">
        <f>1155.07003657059*Deflactores!$V$5</f>
        <v>1673.9880433366213</v>
      </c>
      <c r="G75" s="42">
        <f>913.90746647374*Deflactores!$W$5</f>
        <v>1170.8651038881499</v>
      </c>
      <c r="H75" s="42">
        <f>1711.46374686777*Deflactores!$X$5</f>
        <v>2006.4653070626782</v>
      </c>
      <c r="I75" s="42">
        <f>4448.17208833659*Deflactores!$Y$5</f>
        <v>4957.1241019727822</v>
      </c>
      <c r="J75" s="42">
        <f>3681.77616945115*Deflactores!$Z$5</f>
        <v>3903.899800165857</v>
      </c>
      <c r="K75" s="42">
        <f>1975.78881835*Deflactores!$AA$5</f>
        <v>1975.7888183499999</v>
      </c>
    </row>
    <row r="76" spans="3:11" x14ac:dyDescent="0.2">
      <c r="C76" s="88" t="s">
        <v>141</v>
      </c>
      <c r="D76" s="50">
        <f>1667.01719381691*Deflactores!$T$5</f>
        <v>2592.7863243389133</v>
      </c>
      <c r="E76" s="50">
        <f>1845.08838478559*Deflactores!$U$5</f>
        <v>2824.2775356000648</v>
      </c>
      <c r="F76" s="50">
        <f>2247.68160317047*Deflactores!$V$5</f>
        <v>3257.4579980502435</v>
      </c>
      <c r="G76" s="50">
        <f>2580.07745544422*Deflactores!$W$5</f>
        <v>3305.5016713718605</v>
      </c>
      <c r="H76" s="50">
        <f>3211.62342662757*Deflactores!$X$5</f>
        <v>3765.2044904085551</v>
      </c>
      <c r="I76" s="50">
        <f>3444.98079618202*Deflactores!$Y$5</f>
        <v>3839.1494295746456</v>
      </c>
      <c r="J76" s="50">
        <f>3775.76842614822*Deflactores!$Z$5</f>
        <v>4003.5626626672265</v>
      </c>
      <c r="K76" s="50">
        <f>2019.18614119652*Deflactores!$AA$5</f>
        <v>2019.1861411965201</v>
      </c>
    </row>
    <row r="77" spans="3:11" x14ac:dyDescent="0.2">
      <c r="C77" s="87" t="s">
        <v>142</v>
      </c>
      <c r="D77" s="42">
        <f>192.79588907593*Deflactores!$T$5</f>
        <v>299.8640604541572</v>
      </c>
      <c r="E77" s="42">
        <f>366.25596293708*Deflactores!$U$5</f>
        <v>560.62815035441747</v>
      </c>
      <c r="F77" s="42">
        <f>499.154355592649*Deflactores!$V$5</f>
        <v>723.40065674487414</v>
      </c>
      <c r="G77" s="42">
        <f>587.317321379959*Deflactores!$W$5</f>
        <v>752.44965353679481</v>
      </c>
      <c r="H77" s="42">
        <f>499.57886940495*Deflactores!$X$5</f>
        <v>585.690273274643</v>
      </c>
      <c r="I77" s="42">
        <f>488.43471479942*Deflactores!$Y$5</f>
        <v>544.32055435108748</v>
      </c>
      <c r="J77" s="42">
        <f>450.15033992063*Deflactores!$Z$5</f>
        <v>477.30816355485041</v>
      </c>
      <c r="K77" s="42">
        <f>539.85743685009*Deflactores!$AA$5</f>
        <v>539.85743685009004</v>
      </c>
    </row>
    <row r="78" spans="3:11" x14ac:dyDescent="0.2">
      <c r="C78" s="88" t="s">
        <v>143</v>
      </c>
      <c r="D78" s="50">
        <f>1297.13467551003*Deflactores!$T$5</f>
        <v>2017.4915171616294</v>
      </c>
      <c r="E78" s="50">
        <f>4602.66574984392*Deflactores!$U$5</f>
        <v>7045.3023217479058</v>
      </c>
      <c r="F78" s="50">
        <f>6335.75565469077*Deflactores!$V$5</f>
        <v>9182.1092017449901</v>
      </c>
      <c r="G78" s="50">
        <f>4712.21453107235*Deflactores!$W$5</f>
        <v>6037.1183723399536</v>
      </c>
      <c r="H78" s="50">
        <f>3243.31515661189*Deflactores!$X$5</f>
        <v>3802.3588600822991</v>
      </c>
      <c r="I78" s="50">
        <f>2039.04091891953*Deflactores!$Y$5</f>
        <v>2272.3443885159068</v>
      </c>
      <c r="J78" s="50">
        <f>3549.53627931391*Deflactores!$Z$5</f>
        <v>3763.6818029491264</v>
      </c>
      <c r="K78" s="50">
        <f>8713.16261347281*Deflactores!$AA$5</f>
        <v>8713.1626134728103</v>
      </c>
    </row>
    <row r="79" spans="3:11" x14ac:dyDescent="0.2">
      <c r="C79" s="87" t="s">
        <v>144</v>
      </c>
      <c r="D79" s="42">
        <f>4304.87282354709*Deflactores!$T$5</f>
        <v>6695.5610453871705</v>
      </c>
      <c r="E79" s="42">
        <f>4552.62443572019*Deflactores!$U$5</f>
        <v>6968.7040620130592</v>
      </c>
      <c r="F79" s="42">
        <f>4837.35950806067*Deflactores!$V$5</f>
        <v>7010.5549632785469</v>
      </c>
      <c r="G79" s="42">
        <f>5399.15096306296*Deflactores!$W$5</f>
        <v>6917.1964177799637</v>
      </c>
      <c r="H79" s="42">
        <f>6539.24942233256*Deflactores!$X$5</f>
        <v>7666.4066791674031</v>
      </c>
      <c r="I79" s="42">
        <f>8054.69986637758*Deflactores!$Y$5</f>
        <v>8976.304434460073</v>
      </c>
      <c r="J79" s="42">
        <f>9300.58513186542*Deflactores!$Z$5</f>
        <v>9861.6946730706732</v>
      </c>
      <c r="K79" s="42">
        <f>4174.56251871592*Deflactores!$AA$5</f>
        <v>4174.5625187159203</v>
      </c>
    </row>
    <row r="80" spans="3:11" x14ac:dyDescent="0.2">
      <c r="C80" s="88" t="s">
        <v>145</v>
      </c>
      <c r="D80" s="50">
        <f>1387.03097591526*Deflactores!$T$5</f>
        <v>2157.3112497737829</v>
      </c>
      <c r="E80" s="50">
        <f>552.6110638695*Deflactores!$U$5</f>
        <v>845.88197859803176</v>
      </c>
      <c r="F80" s="50">
        <f>1261.85026147778*Deflactores!$V$5</f>
        <v>1828.7395424666113</v>
      </c>
      <c r="G80" s="50">
        <f>3045.7786312898*Deflactores!$W$5</f>
        <v>3902.1411295668727</v>
      </c>
      <c r="H80" s="50">
        <f>2948.30144879335*Deflactores!$X$5</f>
        <v>3456.4942334262255</v>
      </c>
      <c r="I80" s="50">
        <f>868.26570958165*Deflactores!$Y$5</f>
        <v>967.61114237674019</v>
      </c>
      <c r="J80" s="50">
        <f>2693.20301428098*Deflactores!$Z$5</f>
        <v>2855.6854695555662</v>
      </c>
      <c r="K80" s="50">
        <f>4225.27305270517*Deflactores!$AA$5</f>
        <v>4225.2730527051699</v>
      </c>
    </row>
    <row r="81" spans="1:12" x14ac:dyDescent="0.2">
      <c r="C81" s="87" t="s">
        <v>146</v>
      </c>
      <c r="D81" s="42">
        <f>880.094874086934*Deflactores!$T$5</f>
        <v>1368.8508805530673</v>
      </c>
      <c r="E81" s="42">
        <f>887.3417492763*Deflactores!$U$5</f>
        <v>1358.2543739075907</v>
      </c>
      <c r="F81" s="42">
        <f>1019.51278585525*Deflactores!$V$5</f>
        <v>1477.5313699743772</v>
      </c>
      <c r="G81" s="42">
        <f>1292.60302768949*Deflactores!$W$5</f>
        <v>1656.0361238117528</v>
      </c>
      <c r="H81" s="42">
        <f>1319.130752675*Deflactores!$X$5</f>
        <v>1546.506664582221</v>
      </c>
      <c r="I81" s="42">
        <f>1475.60111536255*Deflactores!$Y$5</f>
        <v>1644.4367952942644</v>
      </c>
      <c r="J81" s="42">
        <f>1650.33219674223*Deflactores!$Z$5</f>
        <v>1749.8976680132357</v>
      </c>
      <c r="K81" s="42">
        <f>1057.46058701212*Deflactores!$AA$5</f>
        <v>1057.46058701212</v>
      </c>
    </row>
    <row r="82" spans="1:12" x14ac:dyDescent="0.2">
      <c r="C82" s="88" t="s">
        <v>162</v>
      </c>
      <c r="D82" s="50">
        <f>28898.6617114863*Deflactores!$T$5</f>
        <v>44947.379760180003</v>
      </c>
      <c r="E82" s="50">
        <f>33866.7348793537*Deflactores!$U$5</f>
        <v>51839.824754518093</v>
      </c>
      <c r="F82" s="50">
        <f>42729.0358309918*Deflactores!$V$5</f>
        <v>61925.158492336195</v>
      </c>
      <c r="G82" s="50">
        <f>41209.9832461457*Deflactores!$W$5</f>
        <v>52796.736086315519</v>
      </c>
      <c r="H82" s="50">
        <f>51286.8274943256*Deflactores!$X$5</f>
        <v>60127.034688876302</v>
      </c>
      <c r="I82" s="50">
        <f>58678.1353058655*Deflactores!$Y$5</f>
        <v>65391.984169456817</v>
      </c>
      <c r="J82" s="50">
        <f>64204.6159883901*Deflactores!$Z$5</f>
        <v>68078.116645577174</v>
      </c>
      <c r="K82" s="50">
        <f>39590.4703849127*Deflactores!$AA$5</f>
        <v>39590.470384912704</v>
      </c>
    </row>
    <row r="83" spans="1:12" x14ac:dyDescent="0.2">
      <c r="C83" s="87" t="s">
        <v>148</v>
      </c>
      <c r="D83" s="42">
        <f>264.07690960853*Deflactores!$T$5</f>
        <v>410.73061654448696</v>
      </c>
      <c r="E83" s="42">
        <f>317.62768516746*Deflactores!$U$5</f>
        <v>486.19282593736119</v>
      </c>
      <c r="F83" s="42">
        <f>358.64498812644*Deflactores!$V$5</f>
        <v>519.76711620774063</v>
      </c>
      <c r="G83" s="42">
        <f>360.0101767812*Deflactores!$W$5</f>
        <v>461.23198299728836</v>
      </c>
      <c r="H83" s="42">
        <f>451.28346101165*Deflactores!$X$5</f>
        <v>529.07028257432762</v>
      </c>
      <c r="I83" s="42">
        <f>592.63193987723*Deflactores!$Y$5</f>
        <v>660.43984234946367</v>
      </c>
      <c r="J83" s="42">
        <f>699.623488265909*Deflactores!$Z$5</f>
        <v>741.83216749968165</v>
      </c>
      <c r="K83" s="42">
        <f>379.82164676159*Deflactores!$AA$5</f>
        <v>379.82164676158999</v>
      </c>
    </row>
    <row r="84" spans="1:12" x14ac:dyDescent="0.2">
      <c r="C84" s="88" t="s">
        <v>149</v>
      </c>
      <c r="D84" s="50">
        <f>482.97701459646*Deflactores!$T$5</f>
        <v>751.19573035026144</v>
      </c>
      <c r="E84" s="50">
        <f>310.50228994636*Deflactores!$U$5</f>
        <v>475.28598059533527</v>
      </c>
      <c r="F84" s="50">
        <f>735.982120862079*Deflactores!$V$5</f>
        <v>1066.6238681859838</v>
      </c>
      <c r="G84" s="50">
        <f>790.426952881159*Deflactores!$W$5</f>
        <v>1012.6663478000861</v>
      </c>
      <c r="H84" s="50">
        <f>984.250297161429*Deflactores!$X$5</f>
        <v>1153.9035391984378</v>
      </c>
      <c r="I84" s="50">
        <f>756.47515549688*Deflactores!$Y$5</f>
        <v>843.02971004422102</v>
      </c>
      <c r="J84" s="50">
        <f>776.94355016674*Deflactores!$Z$5</f>
        <v>823.81699229919229</v>
      </c>
      <c r="K84" s="50">
        <f>457.44812402298*Deflactores!$AA$5</f>
        <v>457.44812402297998</v>
      </c>
    </row>
    <row r="85" spans="1:12" x14ac:dyDescent="0.2">
      <c r="C85" s="87" t="s">
        <v>163</v>
      </c>
      <c r="D85" s="42">
        <f>22731.348461844*Deflactores!$T$5</f>
        <v>35355.081905726693</v>
      </c>
      <c r="E85" s="42">
        <f>26449.4423942581*Deflactores!$U$5</f>
        <v>40486.172152632018</v>
      </c>
      <c r="F85" s="42">
        <f>23326.944286685*Deflactores!$V$5</f>
        <v>33806.630409552483</v>
      </c>
      <c r="G85" s="42">
        <f>25684.8366037944*Deflactores!$W$5</f>
        <v>32906.481215750093</v>
      </c>
      <c r="H85" s="42">
        <f>29025.9457795405*Deflactores!$X$5</f>
        <v>34029.089612863441</v>
      </c>
      <c r="I85" s="42">
        <f>31362.0055141346*Deflactores!$Y$5</f>
        <v>34950.390932032664</v>
      </c>
      <c r="J85" s="42">
        <f>45045.0905727994*Deflactores!$Z$5</f>
        <v>47762.686266671953</v>
      </c>
      <c r="K85" s="42">
        <f>17721.5426687562*Deflactores!$AA$5</f>
        <v>17721.542668756199</v>
      </c>
    </row>
    <row r="86" spans="1:12" x14ac:dyDescent="0.2">
      <c r="C86" s="88" t="s">
        <v>150</v>
      </c>
      <c r="D86" s="50">
        <f>924.845861677049*Deflactores!$T$5</f>
        <v>1438.454091038642</v>
      </c>
      <c r="E86" s="50">
        <f>853.55703920238*Deflactores!$U$5</f>
        <v>1306.5401045558699</v>
      </c>
      <c r="F86" s="50">
        <f>951.868982316599*Deflactores!$V$5</f>
        <v>1379.4984241404534</v>
      </c>
      <c r="G86" s="50">
        <f>1097.25736348712*Deflactores!$W$5</f>
        <v>1405.7663428973633</v>
      </c>
      <c r="H86" s="50">
        <f>1469.79144062042*Deflactores!$X$5</f>
        <v>1723.1364319693052</v>
      </c>
      <c r="I86" s="50">
        <f>1419.16353104033*Deflactores!$Y$5</f>
        <v>1581.5417220046386</v>
      </c>
      <c r="J86" s="50">
        <f>1444.17359115768*Deflactores!$Z$5</f>
        <v>1531.3013975984666</v>
      </c>
      <c r="K86" s="50">
        <f>1152.6949855993*Deflactores!$AA$5</f>
        <v>1152.6949855993</v>
      </c>
    </row>
    <row r="87" spans="1:12" x14ac:dyDescent="0.2">
      <c r="C87" s="87" t="s">
        <v>151</v>
      </c>
      <c r="D87" s="42">
        <f>2190.79212762716*Deflactores!$T$5</f>
        <v>3407.4368813048482</v>
      </c>
      <c r="E87" s="42">
        <f>2341.04330928252*Deflactores!$U$5</f>
        <v>3583.4359387839195</v>
      </c>
      <c r="F87" s="42">
        <f>2728.56652615388*Deflactores!$V$5</f>
        <v>3954.3816354126302</v>
      </c>
      <c r="G87" s="42">
        <f>2654.77344210921*Deflactores!$W$5</f>
        <v>3401.1994606939966</v>
      </c>
      <c r="H87" s="42">
        <f>2926.31864759444*Deflactores!$X$5</f>
        <v>3430.7223010447233</v>
      </c>
      <c r="I87" s="42">
        <f>3759.52629688483*Deflactores!$Y$5</f>
        <v>4189.6846723071449</v>
      </c>
      <c r="J87" s="42">
        <f>4340.45487461282*Deflactores!$Z$5</f>
        <v>4602.3169627272291</v>
      </c>
      <c r="K87" s="42">
        <f>2195.15470035394*Deflactores!$AA$5</f>
        <v>2195.1547003539399</v>
      </c>
    </row>
    <row r="88" spans="1:12" x14ac:dyDescent="0.2">
      <c r="C88" s="79" t="s">
        <v>179</v>
      </c>
      <c r="D88" s="44">
        <f t="shared" ref="D88:K88" si="1">+SUM(D57:D87)</f>
        <v>241704.61120566414</v>
      </c>
      <c r="E88" s="44">
        <f t="shared" si="1"/>
        <v>291491.54318945063</v>
      </c>
      <c r="F88" s="44">
        <f t="shared" si="1"/>
        <v>300952.0662081904</v>
      </c>
      <c r="G88" s="44">
        <f t="shared" si="1"/>
        <v>260551.16876647493</v>
      </c>
      <c r="H88" s="44">
        <f t="shared" si="1"/>
        <v>299391.67011358234</v>
      </c>
      <c r="I88" s="44">
        <f t="shared" si="1"/>
        <v>310276.6065321333</v>
      </c>
      <c r="J88" s="44">
        <f t="shared" si="1"/>
        <v>334479.41030970332</v>
      </c>
      <c r="K88" s="44">
        <f t="shared" si="1"/>
        <v>188162.49561728374</v>
      </c>
    </row>
    <row r="89" spans="1:12" s="31" customFormat="1" x14ac:dyDescent="0.2">
      <c r="A89" s="5"/>
      <c r="B89" s="5"/>
      <c r="C89" s="72" t="str">
        <f>+'C1 Aprop Resumen 2000-2026'!B20</f>
        <v>* Información con corte a 30 de Junio</v>
      </c>
      <c r="D89" s="121">
        <f>+D88-'C5 Ejecución PGN 2019-2026'!D47</f>
        <v>0</v>
      </c>
      <c r="E89" s="121">
        <f>+E88-'C5 Ejecución PGN 2019-2026'!E47</f>
        <v>1.280568540096283E-9</v>
      </c>
      <c r="F89" s="121">
        <f>+F88-'C5 Ejecución PGN 2019-2026'!F47</f>
        <v>0</v>
      </c>
      <c r="G89" s="121">
        <f>+G88-'C5 Ejecución PGN 2019-2026'!G47</f>
        <v>4.3655745685100555E-10</v>
      </c>
      <c r="H89" s="121">
        <f>+H88-'C5 Ejecución PGN 2019-2026'!H47</f>
        <v>0</v>
      </c>
      <c r="I89" s="121">
        <f>+I88-'C5 Ejecución PGN 2019-2026'!I47</f>
        <v>0</v>
      </c>
      <c r="J89" s="121">
        <f>+J88-'C5 Ejecución PGN 2019-2026'!J47</f>
        <v>0</v>
      </c>
      <c r="K89" s="121">
        <f>+K88-'C5 Ejecución PGN 2019-2026'!K47</f>
        <v>8.440110832452774E-10</v>
      </c>
    </row>
    <row r="90" spans="1:12" x14ac:dyDescent="0.2">
      <c r="C90" s="1" t="s">
        <v>52</v>
      </c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x14ac:dyDescent="0.2">
      <c r="D93" s="11"/>
      <c r="E93" s="11"/>
      <c r="F93" s="11"/>
    </row>
    <row r="94" spans="1:12" ht="18" customHeight="1" x14ac:dyDescent="0.2">
      <c r="D94" s="164" t="s">
        <v>181</v>
      </c>
      <c r="E94" s="182"/>
      <c r="F94" s="182"/>
      <c r="G94" s="182"/>
      <c r="H94" s="182"/>
      <c r="I94" s="182"/>
      <c r="J94" s="182"/>
      <c r="K94" s="182"/>
      <c r="L94" s="182"/>
    </row>
    <row r="95" spans="1:12" ht="2.25" customHeight="1" x14ac:dyDescent="0.2">
      <c r="D95" s="28"/>
      <c r="E95" s="28"/>
      <c r="F95" s="28"/>
      <c r="H95" s="9">
        <f>+G94-F95</f>
        <v>0</v>
      </c>
    </row>
    <row r="96" spans="1:12" x14ac:dyDescent="0.2">
      <c r="E96" s="29"/>
      <c r="F96" s="29"/>
    </row>
    <row r="97" spans="3:11" x14ac:dyDescent="0.2">
      <c r="C97" s="181" t="s">
        <v>120</v>
      </c>
      <c r="D97" s="155">
        <v>2019</v>
      </c>
      <c r="E97" s="155">
        <v>2020</v>
      </c>
      <c r="F97" s="155">
        <v>2021</v>
      </c>
      <c r="G97" s="155">
        <v>2022</v>
      </c>
      <c r="H97" s="155">
        <v>2023</v>
      </c>
      <c r="I97" s="155">
        <v>2024</v>
      </c>
      <c r="J97" s="155">
        <v>2025</v>
      </c>
      <c r="K97" s="155" t="s">
        <v>36</v>
      </c>
    </row>
    <row r="98" spans="3:11" ht="12" customHeight="1" thickBot="1" x14ac:dyDescent="0.25">
      <c r="C98" s="162"/>
      <c r="D98" s="156"/>
      <c r="E98" s="156"/>
      <c r="F98" s="156"/>
      <c r="G98" s="156"/>
      <c r="H98" s="156"/>
      <c r="I98" s="156"/>
      <c r="J98" s="156"/>
      <c r="K98" s="156"/>
    </row>
    <row r="99" spans="3:11" x14ac:dyDescent="0.2">
      <c r="C99" s="87" t="s">
        <v>123</v>
      </c>
      <c r="D99" s="47">
        <f t="shared" ref="D99:K108" si="2">+IFERROR(IF(D57&gt;0,+((D57/D15)*100)," "),"")</f>
        <v>96.754675520953327</v>
      </c>
      <c r="E99" s="47">
        <f t="shared" si="2"/>
        <v>85.97574393296199</v>
      </c>
      <c r="F99" s="47">
        <f t="shared" si="2"/>
        <v>92.954429041126517</v>
      </c>
      <c r="G99" s="47">
        <f t="shared" si="2"/>
        <v>92.977026758318075</v>
      </c>
      <c r="H99" s="47">
        <f t="shared" si="2"/>
        <v>84.181048451494377</v>
      </c>
      <c r="I99" s="47">
        <f t="shared" si="2"/>
        <v>95.868179401864495</v>
      </c>
      <c r="J99" s="47">
        <f t="shared" si="2"/>
        <v>94.787312526037013</v>
      </c>
      <c r="K99" s="47">
        <f t="shared" si="2"/>
        <v>67.582233768529392</v>
      </c>
    </row>
    <row r="100" spans="3:11" x14ac:dyDescent="0.2">
      <c r="C100" s="88" t="s">
        <v>124</v>
      </c>
      <c r="D100" s="116">
        <f t="shared" si="2"/>
        <v>97.832434888538288</v>
      </c>
      <c r="E100" s="116">
        <f t="shared" si="2"/>
        <v>97.759260906243057</v>
      </c>
      <c r="F100" s="116">
        <f t="shared" si="2"/>
        <v>94.710917951143657</v>
      </c>
      <c r="G100" s="116">
        <f t="shared" si="2"/>
        <v>93.616026791628855</v>
      </c>
      <c r="H100" s="116">
        <f t="shared" si="2"/>
        <v>95.535697093377919</v>
      </c>
      <c r="I100" s="116">
        <f t="shared" si="2"/>
        <v>97.062537180710422</v>
      </c>
      <c r="J100" s="116">
        <f t="shared" si="2"/>
        <v>98.088778275275615</v>
      </c>
      <c r="K100" s="116">
        <f t="shared" si="2"/>
        <v>64.143012736859419</v>
      </c>
    </row>
    <row r="101" spans="3:11" x14ac:dyDescent="0.2">
      <c r="C101" s="87" t="s">
        <v>125</v>
      </c>
      <c r="D101" s="47">
        <f t="shared" si="2"/>
        <v>96.636739383731026</v>
      </c>
      <c r="E101" s="47">
        <f t="shared" si="2"/>
        <v>94.930833911807071</v>
      </c>
      <c r="F101" s="47">
        <f t="shared" si="2"/>
        <v>96.575562945679522</v>
      </c>
      <c r="G101" s="47">
        <f t="shared" si="2"/>
        <v>88.865393905143833</v>
      </c>
      <c r="H101" s="47">
        <f t="shared" si="2"/>
        <v>95.912194434805642</v>
      </c>
      <c r="I101" s="47">
        <f t="shared" si="2"/>
        <v>96.330901086093874</v>
      </c>
      <c r="J101" s="47">
        <f t="shared" si="2"/>
        <v>93.440518641874419</v>
      </c>
      <c r="K101" s="47">
        <f t="shared" si="2"/>
        <v>36.441251934256016</v>
      </c>
    </row>
    <row r="102" spans="3:11" x14ac:dyDescent="0.2">
      <c r="C102" s="88" t="s">
        <v>126</v>
      </c>
      <c r="D102" s="116">
        <f t="shared" si="2"/>
        <v>97.209605145138696</v>
      </c>
      <c r="E102" s="116">
        <f t="shared" si="2"/>
        <v>96.22411535016532</v>
      </c>
      <c r="F102" s="116">
        <f t="shared" si="2"/>
        <v>93.7431605388295</v>
      </c>
      <c r="G102" s="116">
        <f t="shared" si="2"/>
        <v>96.185811609630548</v>
      </c>
      <c r="H102" s="116">
        <f t="shared" si="2"/>
        <v>94.718553841870644</v>
      </c>
      <c r="I102" s="116">
        <f t="shared" si="2"/>
        <v>94.970403976999592</v>
      </c>
      <c r="J102" s="116">
        <f t="shared" si="2"/>
        <v>94.746234244215145</v>
      </c>
      <c r="K102" s="116">
        <f t="shared" si="2"/>
        <v>71.510517943995922</v>
      </c>
    </row>
    <row r="103" spans="3:11" x14ac:dyDescent="0.2">
      <c r="C103" s="87" t="s">
        <v>127</v>
      </c>
      <c r="D103" s="47">
        <f t="shared" si="2"/>
        <v>99.019391581905637</v>
      </c>
      <c r="E103" s="47">
        <f t="shared" si="2"/>
        <v>99.210647231887933</v>
      </c>
      <c r="F103" s="47">
        <f t="shared" si="2"/>
        <v>95.764210290776731</v>
      </c>
      <c r="G103" s="47">
        <f t="shared" si="2"/>
        <v>96.867815759843651</v>
      </c>
      <c r="H103" s="47">
        <f t="shared" si="2"/>
        <v>98.778064005368464</v>
      </c>
      <c r="I103" s="47">
        <f t="shared" si="2"/>
        <v>94.122231289845487</v>
      </c>
      <c r="J103" s="47">
        <f t="shared" si="2"/>
        <v>84.60609199474419</v>
      </c>
      <c r="K103" s="47">
        <f t="shared" si="2"/>
        <v>62.652914718754438</v>
      </c>
    </row>
    <row r="104" spans="3:11" x14ac:dyDescent="0.2">
      <c r="C104" s="88" t="s">
        <v>128</v>
      </c>
      <c r="D104" s="116">
        <f t="shared" si="2"/>
        <v>99.630817741796221</v>
      </c>
      <c r="E104" s="116">
        <f t="shared" si="2"/>
        <v>99.730865065270763</v>
      </c>
      <c r="F104" s="116">
        <f t="shared" si="2"/>
        <v>94.308649676159561</v>
      </c>
      <c r="G104" s="116">
        <f t="shared" si="2"/>
        <v>97.392020352738783</v>
      </c>
      <c r="H104" s="116">
        <f t="shared" si="2"/>
        <v>98.960690536836722</v>
      </c>
      <c r="I104" s="116">
        <f t="shared" si="2"/>
        <v>97.897709675989773</v>
      </c>
      <c r="J104" s="116">
        <f t="shared" si="2"/>
        <v>99.351186539350564</v>
      </c>
      <c r="K104" s="116">
        <f t="shared" si="2"/>
        <v>60.590934368872183</v>
      </c>
    </row>
    <row r="105" spans="3:11" x14ac:dyDescent="0.2">
      <c r="C105" s="87" t="s">
        <v>129</v>
      </c>
      <c r="D105" s="47">
        <f t="shared" si="2"/>
        <v>99.501593858994852</v>
      </c>
      <c r="E105" s="47">
        <f t="shared" si="2"/>
        <v>99.672764173138205</v>
      </c>
      <c r="F105" s="47">
        <f t="shared" si="2"/>
        <v>97.198869200407088</v>
      </c>
      <c r="G105" s="47">
        <f t="shared" si="2"/>
        <v>98.210944819410614</v>
      </c>
      <c r="H105" s="47">
        <f t="shared" si="2"/>
        <v>98.742598593886783</v>
      </c>
      <c r="I105" s="47">
        <f t="shared" si="2"/>
        <v>99.038844383965539</v>
      </c>
      <c r="J105" s="47">
        <f t="shared" si="2"/>
        <v>99.659650532643525</v>
      </c>
      <c r="K105" s="47">
        <f t="shared" si="2"/>
        <v>50.785321918866813</v>
      </c>
    </row>
    <row r="106" spans="3:11" x14ac:dyDescent="0.2">
      <c r="C106" s="88" t="s">
        <v>130</v>
      </c>
      <c r="D106" s="116">
        <f t="shared" si="2"/>
        <v>98.270993193114847</v>
      </c>
      <c r="E106" s="116">
        <f t="shared" si="2"/>
        <v>98.525892623299924</v>
      </c>
      <c r="F106" s="116">
        <f t="shared" si="2"/>
        <v>91.328483334636218</v>
      </c>
      <c r="G106" s="116">
        <f t="shared" si="2"/>
        <v>94.150672246222783</v>
      </c>
      <c r="H106" s="116">
        <f t="shared" si="2"/>
        <v>84.93978174476554</v>
      </c>
      <c r="I106" s="116">
        <f t="shared" si="2"/>
        <v>96.577727215724821</v>
      </c>
      <c r="J106" s="116">
        <f t="shared" si="2"/>
        <v>93.568013677604213</v>
      </c>
      <c r="K106" s="116">
        <f t="shared" si="2"/>
        <v>47.594430372353777</v>
      </c>
    </row>
    <row r="107" spans="3:11" x14ac:dyDescent="0.2">
      <c r="C107" s="87" t="s">
        <v>131</v>
      </c>
      <c r="D107" s="47">
        <f t="shared" si="2"/>
        <v>99.983915192696784</v>
      </c>
      <c r="E107" s="47">
        <f t="shared" si="2"/>
        <v>99.987284930259605</v>
      </c>
      <c r="F107" s="47">
        <f t="shared" si="2"/>
        <v>99.972910820179848</v>
      </c>
      <c r="G107" s="47">
        <f t="shared" si="2"/>
        <v>99.930120616969674</v>
      </c>
      <c r="H107" s="47">
        <f t="shared" si="2"/>
        <v>99.03758583723905</v>
      </c>
      <c r="I107" s="47">
        <f t="shared" si="2"/>
        <v>99.883260353809888</v>
      </c>
      <c r="J107" s="47">
        <f t="shared" si="2"/>
        <v>99.596262914037212</v>
      </c>
      <c r="K107" s="47">
        <f t="shared" si="2"/>
        <v>61.400657440451489</v>
      </c>
    </row>
    <row r="108" spans="3:11" x14ac:dyDescent="0.2">
      <c r="C108" s="88" t="s">
        <v>132</v>
      </c>
      <c r="D108" s="116">
        <f t="shared" si="2"/>
        <v>90.977213489926754</v>
      </c>
      <c r="E108" s="116">
        <f t="shared" si="2"/>
        <v>86.918215828982142</v>
      </c>
      <c r="F108" s="116">
        <f t="shared" si="2"/>
        <v>55.558597936566976</v>
      </c>
      <c r="G108" s="116">
        <f t="shared" si="2"/>
        <v>79.751340667149293</v>
      </c>
      <c r="H108" s="116">
        <f t="shared" si="2"/>
        <v>90.156612731859624</v>
      </c>
      <c r="I108" s="116">
        <f t="shared" si="2"/>
        <v>86.370116321343389</v>
      </c>
      <c r="J108" s="116">
        <f t="shared" si="2"/>
        <v>90.012129141155867</v>
      </c>
      <c r="K108" s="116">
        <f t="shared" si="2"/>
        <v>44.232673613361165</v>
      </c>
    </row>
    <row r="109" spans="3:11" x14ac:dyDescent="0.2">
      <c r="C109" s="87" t="s">
        <v>133</v>
      </c>
      <c r="D109" s="47">
        <f t="shared" ref="D109:K118" si="3">+IFERROR(IF(D67&gt;0,+((D67/D25)*100)," "),"")</f>
        <v>99.346184527611385</v>
      </c>
      <c r="E109" s="47">
        <f t="shared" si="3"/>
        <v>98.943639923614526</v>
      </c>
      <c r="F109" s="47">
        <f t="shared" si="3"/>
        <v>95.372812277114605</v>
      </c>
      <c r="G109" s="47">
        <f t="shared" si="3"/>
        <v>99.031994982959787</v>
      </c>
      <c r="H109" s="47">
        <f t="shared" si="3"/>
        <v>99.408454270773632</v>
      </c>
      <c r="I109" s="47">
        <f t="shared" si="3"/>
        <v>98.685674424464239</v>
      </c>
      <c r="J109" s="47">
        <f t="shared" si="3"/>
        <v>99.654911463789503</v>
      </c>
      <c r="K109" s="47">
        <f t="shared" si="3"/>
        <v>45.18962605661428</v>
      </c>
    </row>
    <row r="110" spans="3:11" x14ac:dyDescent="0.2">
      <c r="C110" s="88" t="s">
        <v>134</v>
      </c>
      <c r="D110" s="116">
        <f t="shared" si="3"/>
        <v>96.570291599003681</v>
      </c>
      <c r="E110" s="116">
        <f t="shared" si="3"/>
        <v>50.755068123197013</v>
      </c>
      <c r="F110" s="116">
        <f t="shared" si="3"/>
        <v>91.11939644699757</v>
      </c>
      <c r="G110" s="116">
        <f t="shared" si="3"/>
        <v>95.156636660369458</v>
      </c>
      <c r="H110" s="116">
        <f t="shared" si="3"/>
        <v>96.40400029652892</v>
      </c>
      <c r="I110" s="116">
        <f t="shared" si="3"/>
        <v>84.279257673265988</v>
      </c>
      <c r="J110" s="116">
        <f t="shared" si="3"/>
        <v>92.343581289574416</v>
      </c>
      <c r="K110" s="116">
        <f t="shared" si="3"/>
        <v>31.789279650846421</v>
      </c>
    </row>
    <row r="111" spans="3:11" x14ac:dyDescent="0.2">
      <c r="C111" s="87" t="s">
        <v>135</v>
      </c>
      <c r="D111" s="47" t="str">
        <f t="shared" si="3"/>
        <v xml:space="preserve"> </v>
      </c>
      <c r="E111" s="47" t="str">
        <f t="shared" si="3"/>
        <v xml:space="preserve"> </v>
      </c>
      <c r="F111" s="47" t="str">
        <f t="shared" si="3"/>
        <v xml:space="preserve"> </v>
      </c>
      <c r="G111" s="47" t="str">
        <f t="shared" si="3"/>
        <v xml:space="preserve"> </v>
      </c>
      <c r="H111" s="47">
        <f t="shared" si="3"/>
        <v>94.392228050518014</v>
      </c>
      <c r="I111" s="47">
        <f t="shared" si="3"/>
        <v>92.141878486608789</v>
      </c>
      <c r="J111" s="47">
        <f t="shared" si="3"/>
        <v>98.676066715887671</v>
      </c>
      <c r="K111" s="47">
        <f t="shared" si="3"/>
        <v>50.025864757175022</v>
      </c>
    </row>
    <row r="112" spans="3:11" x14ac:dyDescent="0.2">
      <c r="C112" s="88" t="s">
        <v>136</v>
      </c>
      <c r="D112" s="116">
        <f t="shared" si="3"/>
        <v>94.645063984804409</v>
      </c>
      <c r="E112" s="116">
        <f t="shared" si="3"/>
        <v>98.815281434114254</v>
      </c>
      <c r="F112" s="116">
        <f t="shared" si="3"/>
        <v>97.173490861840833</v>
      </c>
      <c r="G112" s="116">
        <f t="shared" si="3"/>
        <v>95.891645593635062</v>
      </c>
      <c r="H112" s="116">
        <f t="shared" si="3"/>
        <v>91.23092896019655</v>
      </c>
      <c r="I112" s="116">
        <f t="shared" si="3"/>
        <v>93.803583337310528</v>
      </c>
      <c r="J112" s="116">
        <f t="shared" si="3"/>
        <v>95.327901555913598</v>
      </c>
      <c r="K112" s="116">
        <f t="shared" si="3"/>
        <v>23.493513195634179</v>
      </c>
    </row>
    <row r="113" spans="3:11" x14ac:dyDescent="0.2">
      <c r="C113" s="87" t="s">
        <v>137</v>
      </c>
      <c r="D113" s="47">
        <f t="shared" si="3"/>
        <v>90.384324634137613</v>
      </c>
      <c r="E113" s="47">
        <f t="shared" si="3"/>
        <v>88.675910968181597</v>
      </c>
      <c r="F113" s="47">
        <f t="shared" si="3"/>
        <v>80.833740397434113</v>
      </c>
      <c r="G113" s="47">
        <f t="shared" si="3"/>
        <v>87.958974853692951</v>
      </c>
      <c r="H113" s="47">
        <f t="shared" si="3"/>
        <v>92.222879866376246</v>
      </c>
      <c r="I113" s="47">
        <f t="shared" si="3"/>
        <v>95.426056570632809</v>
      </c>
      <c r="J113" s="47">
        <f t="shared" si="3"/>
        <v>94.802516837055961</v>
      </c>
      <c r="K113" s="47">
        <f t="shared" si="3"/>
        <v>49.24832466275641</v>
      </c>
    </row>
    <row r="114" spans="3:11" x14ac:dyDescent="0.2">
      <c r="C114" s="88" t="s">
        <v>138</v>
      </c>
      <c r="D114" s="116">
        <f t="shared" si="3"/>
        <v>96.565087601601903</v>
      </c>
      <c r="E114" s="116">
        <f t="shared" si="3"/>
        <v>99.172164904947053</v>
      </c>
      <c r="F114" s="116">
        <f t="shared" si="3"/>
        <v>97.243076047252742</v>
      </c>
      <c r="G114" s="116">
        <f t="shared" si="3"/>
        <v>96.571393881188598</v>
      </c>
      <c r="H114" s="116">
        <f t="shared" si="3"/>
        <v>91.978094954718898</v>
      </c>
      <c r="I114" s="116">
        <f t="shared" si="3"/>
        <v>96.710745170515523</v>
      </c>
      <c r="J114" s="116">
        <f t="shared" si="3"/>
        <v>97.526520095943951</v>
      </c>
      <c r="K114" s="116">
        <f t="shared" si="3"/>
        <v>41.2209549716571</v>
      </c>
    </row>
    <row r="115" spans="3:11" x14ac:dyDescent="0.2">
      <c r="C115" s="87" t="s">
        <v>160</v>
      </c>
      <c r="D115" s="47">
        <f t="shared" si="3"/>
        <v>98.795428126561873</v>
      </c>
      <c r="E115" s="47">
        <f t="shared" si="3"/>
        <v>97.750337335393738</v>
      </c>
      <c r="F115" s="47">
        <f t="shared" si="3"/>
        <v>97.367715037087038</v>
      </c>
      <c r="G115" s="47">
        <f t="shared" si="3"/>
        <v>88.702994685029097</v>
      </c>
      <c r="H115" s="47">
        <f t="shared" si="3"/>
        <v>96.20603364777287</v>
      </c>
      <c r="I115" s="47">
        <f t="shared" si="3"/>
        <v>90.456709186029599</v>
      </c>
      <c r="J115" s="47">
        <f t="shared" si="3"/>
        <v>97.985878421710197</v>
      </c>
      <c r="K115" s="47">
        <f t="shared" si="3"/>
        <v>72.632548315457754</v>
      </c>
    </row>
    <row r="116" spans="3:11" x14ac:dyDescent="0.2">
      <c r="C116" s="88" t="s">
        <v>161</v>
      </c>
      <c r="D116" s="116">
        <f t="shared" si="3"/>
        <v>97.793416692574581</v>
      </c>
      <c r="E116" s="116">
        <f t="shared" si="3"/>
        <v>96.3759260377728</v>
      </c>
      <c r="F116" s="116">
        <f t="shared" si="3"/>
        <v>85.860223655355114</v>
      </c>
      <c r="G116" s="116">
        <f t="shared" si="3"/>
        <v>90.34027593602751</v>
      </c>
      <c r="H116" s="116">
        <f t="shared" si="3"/>
        <v>91.428299021888947</v>
      </c>
      <c r="I116" s="116">
        <f t="shared" si="3"/>
        <v>93.703289945746263</v>
      </c>
      <c r="J116" s="116">
        <f t="shared" si="3"/>
        <v>98.621795704045624</v>
      </c>
      <c r="K116" s="116">
        <f t="shared" si="3"/>
        <v>54.766468668150068</v>
      </c>
    </row>
    <row r="117" spans="3:11" x14ac:dyDescent="0.2">
      <c r="C117" s="87" t="s">
        <v>140</v>
      </c>
      <c r="D117" s="47">
        <f t="shared" si="3"/>
        <v>91.954010641935142</v>
      </c>
      <c r="E117" s="47">
        <f t="shared" si="3"/>
        <v>94.176051399351209</v>
      </c>
      <c r="F117" s="47">
        <f t="shared" si="3"/>
        <v>91.235752262393262</v>
      </c>
      <c r="G117" s="47">
        <f t="shared" si="3"/>
        <v>91.794148246154677</v>
      </c>
      <c r="H117" s="47">
        <f t="shared" si="3"/>
        <v>96.479942122660788</v>
      </c>
      <c r="I117" s="47">
        <f t="shared" si="3"/>
        <v>98.918418137309573</v>
      </c>
      <c r="J117" s="47">
        <f t="shared" si="3"/>
        <v>98.347018234072053</v>
      </c>
      <c r="K117" s="47">
        <f t="shared" si="3"/>
        <v>60.919821556084166</v>
      </c>
    </row>
    <row r="118" spans="3:11" x14ac:dyDescent="0.2">
      <c r="C118" s="88" t="s">
        <v>141</v>
      </c>
      <c r="D118" s="116">
        <f t="shared" si="3"/>
        <v>95.878402996416426</v>
      </c>
      <c r="E118" s="116">
        <f t="shared" si="3"/>
        <v>86.103283434607846</v>
      </c>
      <c r="F118" s="116">
        <f t="shared" si="3"/>
        <v>89.550058741995727</v>
      </c>
      <c r="G118" s="116">
        <f t="shared" si="3"/>
        <v>93.59021943815118</v>
      </c>
      <c r="H118" s="116">
        <f t="shared" si="3"/>
        <v>92.966255862093533</v>
      </c>
      <c r="I118" s="116">
        <f t="shared" si="3"/>
        <v>91.395413106386997</v>
      </c>
      <c r="J118" s="116">
        <f t="shared" si="3"/>
        <v>97.333397757652278</v>
      </c>
      <c r="K118" s="116">
        <f t="shared" si="3"/>
        <v>48.651988561708215</v>
      </c>
    </row>
    <row r="119" spans="3:11" x14ac:dyDescent="0.2">
      <c r="C119" s="87" t="s">
        <v>142</v>
      </c>
      <c r="D119" s="47">
        <f t="shared" ref="D119:K128" si="4">+IFERROR(IF(D77&gt;0,+((D77/D35)*100)," "),"")</f>
        <v>95.530484135217137</v>
      </c>
      <c r="E119" s="47">
        <f t="shared" si="4"/>
        <v>90.179431252262702</v>
      </c>
      <c r="F119" s="47">
        <f t="shared" si="4"/>
        <v>50.865594935040171</v>
      </c>
      <c r="G119" s="47">
        <f t="shared" si="4"/>
        <v>83.001911561192415</v>
      </c>
      <c r="H119" s="47">
        <f t="shared" si="4"/>
        <v>91.549651027272873</v>
      </c>
      <c r="I119" s="47">
        <f t="shared" si="4"/>
        <v>90.804227183573218</v>
      </c>
      <c r="J119" s="47">
        <f t="shared" si="4"/>
        <v>89.953950043460267</v>
      </c>
      <c r="K119" s="47">
        <f t="shared" si="4"/>
        <v>67.387707612814566</v>
      </c>
    </row>
    <row r="120" spans="3:11" x14ac:dyDescent="0.2">
      <c r="C120" s="88" t="s">
        <v>143</v>
      </c>
      <c r="D120" s="116">
        <f t="shared" si="4"/>
        <v>98.319680477411197</v>
      </c>
      <c r="E120" s="116">
        <f t="shared" si="4"/>
        <v>99.587349136687394</v>
      </c>
      <c r="F120" s="116">
        <f t="shared" si="4"/>
        <v>99.52797015316672</v>
      </c>
      <c r="G120" s="116">
        <f t="shared" si="4"/>
        <v>99.292056014821441</v>
      </c>
      <c r="H120" s="116">
        <f t="shared" si="4"/>
        <v>98.664143286494337</v>
      </c>
      <c r="I120" s="116">
        <f t="shared" si="4"/>
        <v>96.494522512861593</v>
      </c>
      <c r="J120" s="116">
        <f t="shared" si="4"/>
        <v>98.941270914390515</v>
      </c>
      <c r="K120" s="116">
        <f t="shared" si="4"/>
        <v>94.246846970380631</v>
      </c>
    </row>
    <row r="121" spans="3:11" x14ac:dyDescent="0.2">
      <c r="C121" s="87" t="s">
        <v>144</v>
      </c>
      <c r="D121" s="47">
        <f t="shared" si="4"/>
        <v>99.320338438968093</v>
      </c>
      <c r="E121" s="47">
        <f t="shared" si="4"/>
        <v>98.980205427702174</v>
      </c>
      <c r="F121" s="47">
        <f t="shared" si="4"/>
        <v>97.577065008321313</v>
      </c>
      <c r="G121" s="47">
        <f t="shared" si="4"/>
        <v>98.972390702504313</v>
      </c>
      <c r="H121" s="47">
        <f t="shared" si="4"/>
        <v>91.123749907002832</v>
      </c>
      <c r="I121" s="47">
        <f t="shared" si="4"/>
        <v>98.317011897368332</v>
      </c>
      <c r="J121" s="47">
        <f t="shared" si="4"/>
        <v>98.67816832647847</v>
      </c>
      <c r="K121" s="47">
        <f t="shared" si="4"/>
        <v>44.130979503571069</v>
      </c>
    </row>
    <row r="122" spans="3:11" x14ac:dyDescent="0.2">
      <c r="C122" s="88" t="s">
        <v>145</v>
      </c>
      <c r="D122" s="116">
        <f t="shared" si="4"/>
        <v>95.674689350965906</v>
      </c>
      <c r="E122" s="116">
        <f t="shared" si="4"/>
        <v>96.364305667687262</v>
      </c>
      <c r="F122" s="116">
        <f t="shared" si="4"/>
        <v>94.015409564590399</v>
      </c>
      <c r="G122" s="116">
        <f t="shared" si="4"/>
        <v>96.973418133317068</v>
      </c>
      <c r="H122" s="116">
        <f t="shared" si="4"/>
        <v>94.346712864146966</v>
      </c>
      <c r="I122" s="116">
        <f t="shared" si="4"/>
        <v>64.60520843939004</v>
      </c>
      <c r="J122" s="116">
        <f t="shared" si="4"/>
        <v>95.277728804066413</v>
      </c>
      <c r="K122" s="116">
        <f t="shared" si="4"/>
        <v>63.150000704755783</v>
      </c>
    </row>
    <row r="123" spans="3:11" x14ac:dyDescent="0.2">
      <c r="C123" s="87" t="s">
        <v>146</v>
      </c>
      <c r="D123" s="47">
        <f t="shared" si="4"/>
        <v>96.752115422107551</v>
      </c>
      <c r="E123" s="47">
        <f t="shared" si="4"/>
        <v>92.700793516004396</v>
      </c>
      <c r="F123" s="47">
        <f t="shared" si="4"/>
        <v>92.441271186177516</v>
      </c>
      <c r="G123" s="47">
        <f t="shared" si="4"/>
        <v>97.430640371865323</v>
      </c>
      <c r="H123" s="47">
        <f t="shared" si="4"/>
        <v>94.325496727537157</v>
      </c>
      <c r="I123" s="47">
        <f t="shared" si="4"/>
        <v>95.907360517338986</v>
      </c>
      <c r="J123" s="47">
        <f t="shared" si="4"/>
        <v>96.152342331340861</v>
      </c>
      <c r="K123" s="47">
        <f t="shared" si="4"/>
        <v>60.953680772045317</v>
      </c>
    </row>
    <row r="124" spans="3:11" x14ac:dyDescent="0.2">
      <c r="C124" s="88" t="s">
        <v>162</v>
      </c>
      <c r="D124" s="116">
        <f t="shared" si="4"/>
        <v>99.819425119357547</v>
      </c>
      <c r="E124" s="116">
        <f t="shared" si="4"/>
        <v>97.650198467198706</v>
      </c>
      <c r="F124" s="116">
        <f t="shared" si="4"/>
        <v>99.626986683034247</v>
      </c>
      <c r="G124" s="116">
        <f t="shared" si="4"/>
        <v>99.792575009229921</v>
      </c>
      <c r="H124" s="116">
        <f t="shared" si="4"/>
        <v>99.050918883172301</v>
      </c>
      <c r="I124" s="116">
        <f t="shared" si="4"/>
        <v>98.734213532158833</v>
      </c>
      <c r="J124" s="116">
        <f t="shared" si="4"/>
        <v>99.035599867029703</v>
      </c>
      <c r="K124" s="116">
        <f t="shared" si="4"/>
        <v>52.188313950285405</v>
      </c>
    </row>
    <row r="125" spans="3:11" x14ac:dyDescent="0.2">
      <c r="C125" s="87" t="s">
        <v>148</v>
      </c>
      <c r="D125" s="47">
        <f t="shared" si="4"/>
        <v>94.586761911542808</v>
      </c>
      <c r="E125" s="47">
        <f t="shared" si="4"/>
        <v>97.716106039451631</v>
      </c>
      <c r="F125" s="47">
        <f t="shared" si="4"/>
        <v>97.403246691649031</v>
      </c>
      <c r="G125" s="47">
        <f t="shared" si="4"/>
        <v>98.634199068098027</v>
      </c>
      <c r="H125" s="47">
        <f t="shared" si="4"/>
        <v>92.055841780691253</v>
      </c>
      <c r="I125" s="47">
        <f t="shared" si="4"/>
        <v>98.574561937461795</v>
      </c>
      <c r="J125" s="47">
        <f t="shared" si="4"/>
        <v>99.468115947030071</v>
      </c>
      <c r="K125" s="47">
        <f t="shared" si="4"/>
        <v>56.256839385601552</v>
      </c>
    </row>
    <row r="126" spans="3:11" x14ac:dyDescent="0.2">
      <c r="C126" s="88" t="s">
        <v>149</v>
      </c>
      <c r="D126" s="116">
        <f t="shared" si="4"/>
        <v>95.716785657749156</v>
      </c>
      <c r="E126" s="116">
        <f t="shared" si="4"/>
        <v>97.82946993815375</v>
      </c>
      <c r="F126" s="116">
        <f t="shared" si="4"/>
        <v>86.049041710771078</v>
      </c>
      <c r="G126" s="116">
        <f t="shared" si="4"/>
        <v>84.89710511099382</v>
      </c>
      <c r="H126" s="116">
        <f t="shared" si="4"/>
        <v>95.664878121674434</v>
      </c>
      <c r="I126" s="116">
        <f t="shared" si="4"/>
        <v>95.384022123451601</v>
      </c>
      <c r="J126" s="116">
        <f t="shared" si="4"/>
        <v>94.881058944396813</v>
      </c>
      <c r="K126" s="116">
        <f t="shared" si="4"/>
        <v>79.553751927199258</v>
      </c>
    </row>
    <row r="127" spans="3:11" x14ac:dyDescent="0.2">
      <c r="C127" s="87" t="s">
        <v>163</v>
      </c>
      <c r="D127" s="47">
        <f t="shared" si="4"/>
        <v>99.42490037216551</v>
      </c>
      <c r="E127" s="47">
        <f t="shared" si="4"/>
        <v>99.293185472618049</v>
      </c>
      <c r="F127" s="47">
        <f t="shared" si="4"/>
        <v>98.257773557121752</v>
      </c>
      <c r="G127" s="47">
        <f t="shared" si="4"/>
        <v>84.882076999212487</v>
      </c>
      <c r="H127" s="47">
        <f t="shared" si="4"/>
        <v>98.090310629512814</v>
      </c>
      <c r="I127" s="47">
        <f t="shared" si="4"/>
        <v>90.8738062753864</v>
      </c>
      <c r="J127" s="47">
        <f t="shared" si="4"/>
        <v>99.698803656392499</v>
      </c>
      <c r="K127" s="47">
        <f t="shared" si="4"/>
        <v>35.447819529134691</v>
      </c>
    </row>
    <row r="128" spans="3:11" x14ac:dyDescent="0.2">
      <c r="C128" s="88" t="s">
        <v>150</v>
      </c>
      <c r="D128" s="116">
        <f t="shared" si="4"/>
        <v>94.661987909713702</v>
      </c>
      <c r="E128" s="116">
        <f t="shared" si="4"/>
        <v>93.261827457785216</v>
      </c>
      <c r="F128" s="116">
        <f t="shared" si="4"/>
        <v>86.69817719475796</v>
      </c>
      <c r="G128" s="116">
        <f t="shared" si="4"/>
        <v>90.028199445133126</v>
      </c>
      <c r="H128" s="116">
        <f t="shared" si="4"/>
        <v>90.695503704482789</v>
      </c>
      <c r="I128" s="116">
        <f t="shared" si="4"/>
        <v>91.268431309511087</v>
      </c>
      <c r="J128" s="116">
        <f t="shared" si="4"/>
        <v>94.705662947539309</v>
      </c>
      <c r="K128" s="116">
        <f t="shared" si="4"/>
        <v>51.491361393871713</v>
      </c>
    </row>
    <row r="129" spans="1:12" x14ac:dyDescent="0.2">
      <c r="C129" s="87" t="s">
        <v>151</v>
      </c>
      <c r="D129" s="47">
        <f t="shared" ref="D129:K130" si="5">+IFERROR(IF(D87&gt;0,+((D87/D45)*100)," "),"")</f>
        <v>99.860240774209842</v>
      </c>
      <c r="E129" s="47">
        <f t="shared" si="5"/>
        <v>98.707275887388036</v>
      </c>
      <c r="F129" s="47">
        <f t="shared" si="5"/>
        <v>99.463867880407491</v>
      </c>
      <c r="G129" s="47">
        <f t="shared" si="5"/>
        <v>99.83556514247509</v>
      </c>
      <c r="H129" s="47">
        <f t="shared" si="5"/>
        <v>99.468172500445846</v>
      </c>
      <c r="I129" s="47">
        <f t="shared" si="5"/>
        <v>99.610236266216177</v>
      </c>
      <c r="J129" s="47">
        <f t="shared" si="5"/>
        <v>99.959278109659351</v>
      </c>
      <c r="K129" s="47">
        <f t="shared" si="5"/>
        <v>46.719121718327912</v>
      </c>
    </row>
    <row r="130" spans="1:12" x14ac:dyDescent="0.2">
      <c r="C130" s="91" t="s">
        <v>179</v>
      </c>
      <c r="D130" s="64">
        <f t="shared" si="5"/>
        <v>99.185609069100991</v>
      </c>
      <c r="E130" s="64">
        <f t="shared" si="5"/>
        <v>89.892256300771322</v>
      </c>
      <c r="F130" s="64">
        <f t="shared" si="5"/>
        <v>97.089825190660079</v>
      </c>
      <c r="G130" s="64">
        <f t="shared" si="5"/>
        <v>96.241989430906415</v>
      </c>
      <c r="H130" s="64">
        <f t="shared" si="5"/>
        <v>97.718505919496678</v>
      </c>
      <c r="I130" s="64">
        <f t="shared" si="5"/>
        <v>95.953756899897186</v>
      </c>
      <c r="J130" s="64">
        <f t="shared" si="5"/>
        <v>98.653362558343119</v>
      </c>
      <c r="K130" s="64">
        <f t="shared" si="5"/>
        <v>51.425056161472135</v>
      </c>
    </row>
    <row r="131" spans="1:12" s="31" customFormat="1" x14ac:dyDescent="0.2">
      <c r="A131" s="5"/>
      <c r="B131" s="5"/>
      <c r="C131" s="72" t="str">
        <f>+'C1 Aprop Resumen 2000-2026'!B20</f>
        <v>* Información con corte a 30 de Junio</v>
      </c>
      <c r="D131" s="47"/>
      <c r="E131" s="47"/>
      <c r="F131" s="47"/>
      <c r="G131" s="47"/>
      <c r="H131" s="47"/>
      <c r="I131" s="47"/>
    </row>
    <row r="132" spans="1:12" x14ac:dyDescent="0.2">
      <c r="C132" s="1" t="s">
        <v>52</v>
      </c>
      <c r="D132" s="11"/>
      <c r="E132" s="11"/>
      <c r="F132" s="11"/>
    </row>
    <row r="133" spans="1:12" x14ac:dyDescent="0.2">
      <c r="D133" s="11"/>
      <c r="E133" s="11"/>
      <c r="F133" s="11"/>
    </row>
    <row r="134" spans="1:12" x14ac:dyDescent="0.2">
      <c r="E134" s="3"/>
      <c r="F134" s="3"/>
    </row>
    <row r="135" spans="1:12" x14ac:dyDescent="0.2">
      <c r="E135" s="3"/>
      <c r="F135" s="3"/>
    </row>
    <row r="136" spans="1:12" x14ac:dyDescent="0.2">
      <c r="E136" s="3"/>
      <c r="F136" s="3"/>
    </row>
    <row r="137" spans="1:12" ht="18" customHeight="1" x14ac:dyDescent="0.2">
      <c r="D137" s="164" t="s">
        <v>182</v>
      </c>
      <c r="E137" s="182"/>
      <c r="F137" s="182"/>
      <c r="G137" s="182"/>
      <c r="H137" s="182"/>
      <c r="I137" s="182"/>
      <c r="J137" s="182"/>
      <c r="K137" s="182"/>
      <c r="L137" s="182"/>
    </row>
    <row r="138" spans="1:12" ht="15.75" customHeight="1" x14ac:dyDescent="0.2">
      <c r="C138" s="2"/>
      <c r="D138" s="2"/>
      <c r="E138" s="2"/>
      <c r="F138" s="2"/>
      <c r="G138" s="2"/>
      <c r="H138" s="2"/>
      <c r="I138" s="2"/>
    </row>
    <row r="139" spans="1:12" x14ac:dyDescent="0.2">
      <c r="C139" s="181" t="s">
        <v>120</v>
      </c>
      <c r="D139" s="155">
        <v>2019</v>
      </c>
      <c r="E139" s="155">
        <v>2020</v>
      </c>
      <c r="F139" s="155">
        <v>2021</v>
      </c>
      <c r="G139" s="155">
        <v>2022</v>
      </c>
      <c r="H139" s="155">
        <v>2023</v>
      </c>
      <c r="I139" s="155">
        <v>2024</v>
      </c>
      <c r="J139" s="155" t="s">
        <v>187</v>
      </c>
      <c r="K139" s="155" t="s">
        <v>36</v>
      </c>
    </row>
    <row r="140" spans="1:12" ht="12" customHeight="1" thickBot="1" x14ac:dyDescent="0.25">
      <c r="C140" s="162"/>
      <c r="D140" s="156"/>
      <c r="E140" s="156"/>
      <c r="F140" s="156"/>
      <c r="G140" s="156"/>
      <c r="H140" s="156"/>
      <c r="I140" s="156"/>
      <c r="J140" s="156"/>
      <c r="K140" s="156"/>
    </row>
    <row r="141" spans="1:12" x14ac:dyDescent="0.2">
      <c r="C141" s="87" t="s">
        <v>123</v>
      </c>
      <c r="D141" s="42">
        <f>550.94961865328*Deflactores!$T$5</f>
        <v>856.91655847483526</v>
      </c>
      <c r="E141" s="42">
        <f>583.37008877332*Deflactores!$U$5</f>
        <v>892.96483043817113</v>
      </c>
      <c r="F141" s="42">
        <f>592.03272026262*Deflactores!$V$5</f>
        <v>858.00485131285291</v>
      </c>
      <c r="G141" s="42">
        <f>700.56826697568*Deflactores!$W$5</f>
        <v>897.54265807477145</v>
      </c>
      <c r="H141" s="42">
        <f>710.862389260989*Deflactores!$X$5</f>
        <v>833.39230805106786</v>
      </c>
      <c r="I141" s="42">
        <f>819.606263210479*Deflactores!$Y$5</f>
        <v>913.38416787913582</v>
      </c>
      <c r="J141" s="42">
        <f>785.02281948073*Deflactores!$Z$5</f>
        <v>832.38368848297296</v>
      </c>
      <c r="K141" s="42">
        <f>503.76764727279*Deflactores!$AA$5</f>
        <v>503.76764727278999</v>
      </c>
    </row>
    <row r="142" spans="1:12" x14ac:dyDescent="0.2">
      <c r="C142" s="88" t="s">
        <v>124</v>
      </c>
      <c r="D142" s="50">
        <f>304.43805658167*Deflactores!$T$5</f>
        <v>473.50611177917131</v>
      </c>
      <c r="E142" s="50">
        <f>338.501691976169*Deflactores!$U$5</f>
        <v>518.14467658794695</v>
      </c>
      <c r="F142" s="50">
        <f>386.82017852223*Deflactores!$V$5</f>
        <v>560.60007901345784</v>
      </c>
      <c r="G142" s="50">
        <f>412.67784388114*Deflactores!$W$5</f>
        <v>528.70788813290926</v>
      </c>
      <c r="H142" s="50">
        <f>490.29124433829*Deflactores!$X$5</f>
        <v>574.80175897490153</v>
      </c>
      <c r="I142" s="50">
        <f>582.15267019203*Deflactores!$Y$5</f>
        <v>648.76155308907596</v>
      </c>
      <c r="J142" s="50">
        <f>769.00184488935*Deflactores!$Z$5</f>
        <v>815.39615946784693</v>
      </c>
      <c r="K142" s="50">
        <f>382.69579741491*Deflactores!$AA$5</f>
        <v>382.69579741490998</v>
      </c>
    </row>
    <row r="143" spans="1:12" x14ac:dyDescent="0.2">
      <c r="C143" s="87" t="s">
        <v>125</v>
      </c>
      <c r="D143" s="42">
        <f>22.32428966408*Deflactores!$T$5</f>
        <v>34.721965170063157</v>
      </c>
      <c r="E143" s="42">
        <f>21.9513317790499*Deflactores!$U$5</f>
        <v>33.600912417688228</v>
      </c>
      <c r="F143" s="42">
        <f>24.25331393745*Deflactores!$V$5</f>
        <v>35.149173865787098</v>
      </c>
      <c r="G143" s="42">
        <f>23.96646871316*Deflactores!$W$5</f>
        <v>30.704970589571708</v>
      </c>
      <c r="H143" s="42">
        <f>25.59483440175*Deflactores!$X$5</f>
        <v>30.006564475065964</v>
      </c>
      <c r="I143" s="42">
        <f>26.2082651191699*Deflactores!$Y$5</f>
        <v>29.206968640845204</v>
      </c>
      <c r="J143" s="42">
        <f>24.36302321479*Deflactores!$Z$5</f>
        <v>25.83285813212083</v>
      </c>
      <c r="K143" s="42">
        <f>9.63141430279*Deflactores!$AA$5</f>
        <v>9.6314143027900005</v>
      </c>
    </row>
    <row r="144" spans="1:12" x14ac:dyDescent="0.2">
      <c r="C144" s="88" t="s">
        <v>126</v>
      </c>
      <c r="D144" s="50">
        <f>601.65551045078*Deflactores!$T$5</f>
        <v>935.78169754094483</v>
      </c>
      <c r="E144" s="50">
        <f>681.10805485492*Deflactores!$U$5</f>
        <v>1042.5723745838579</v>
      </c>
      <c r="F144" s="50">
        <f>625.253676882129*Deflactores!$V$5</f>
        <v>906.15040301842168</v>
      </c>
      <c r="G144" s="50">
        <f>641.48128723704*Deflactores!$W$5</f>
        <v>821.84256237793034</v>
      </c>
      <c r="H144" s="50">
        <f>738.77674124178*Deflactores!$X$5</f>
        <v>866.1182006801688</v>
      </c>
      <c r="I144" s="50">
        <f>853.23803293667*Deflactores!$Y$5</f>
        <v>950.86402544553778</v>
      </c>
      <c r="J144" s="50">
        <f>944.04564089688*Deflactores!$Z$5</f>
        <v>1001.0004463128938</v>
      </c>
      <c r="K144" s="50">
        <f>475.19258707854*Deflactores!$AA$5</f>
        <v>475.19258707853999</v>
      </c>
    </row>
    <row r="145" spans="3:11" x14ac:dyDescent="0.2">
      <c r="C145" s="87" t="s">
        <v>127</v>
      </c>
      <c r="D145" s="42">
        <f>534.55512548138*Deflactores!$T$5</f>
        <v>831.41747073402883</v>
      </c>
      <c r="E145" s="42">
        <f>574.45739305315*Deflactores!$U$5</f>
        <v>879.32216350054352</v>
      </c>
      <c r="F145" s="42">
        <f>620.32288849422*Deflactores!$V$5</f>
        <v>899.00444602512187</v>
      </c>
      <c r="G145" s="42">
        <f>723.0786412986*Deflactores!$W$5</f>
        <v>926.38213333572139</v>
      </c>
      <c r="H145" s="42">
        <f>853.40507203029*Deflactores!$X$5</f>
        <v>1000.5047860545769</v>
      </c>
      <c r="I145" s="42">
        <f>956.798178938159*Deflactores!$Y$5</f>
        <v>1066.273340902075</v>
      </c>
      <c r="J145" s="42">
        <f>1097.22904794437*Deflactores!$Z$5</f>
        <v>1163.4254946152105</v>
      </c>
      <c r="K145" s="42">
        <f>612.6798282613*Deflactores!$AA$5</f>
        <v>612.67982826130003</v>
      </c>
    </row>
    <row r="146" spans="3:11" x14ac:dyDescent="0.2">
      <c r="C146" s="88" t="s">
        <v>128</v>
      </c>
      <c r="D146" s="50">
        <f>230.497928258609*Deflactores!$T$5</f>
        <v>358.50372653265612</v>
      </c>
      <c r="E146" s="50">
        <f>230.760492422019*Deflactores!$U$5</f>
        <v>353.22517892672784</v>
      </c>
      <c r="F146" s="50">
        <f>216.23649284489*Deflactores!$V$5</f>
        <v>313.3812600923348</v>
      </c>
      <c r="G146" s="50">
        <f>182.7676079624*Deflactores!$W$5</f>
        <v>234.15523139336673</v>
      </c>
      <c r="H146" s="50">
        <f>274.27541182356*Deflactores!$X$5</f>
        <v>321.55171233482201</v>
      </c>
      <c r="I146" s="50">
        <f>314.48738554402*Deflactores!$Y$5</f>
        <v>350.47047813962718</v>
      </c>
      <c r="J146" s="50">
        <f>310.2229683975*Deflactores!$Z$5</f>
        <v>328.93889486888531</v>
      </c>
      <c r="K146" s="50">
        <f>189.82880009188*Deflactores!$AA$5</f>
        <v>189.82880009188</v>
      </c>
    </row>
    <row r="147" spans="3:11" x14ac:dyDescent="0.2">
      <c r="C147" s="87" t="s">
        <v>129</v>
      </c>
      <c r="D147" s="42">
        <f>31549.6913649519*Deflactores!$T$5</f>
        <v>49070.64462896304</v>
      </c>
      <c r="E147" s="42">
        <f>33230.3514632327*Deflactores!$U$5</f>
        <v>50865.71240250313</v>
      </c>
      <c r="F147" s="42">
        <f>35034.704311918*Deflactores!$V$5</f>
        <v>50774.129934241922</v>
      </c>
      <c r="G147" s="42">
        <f>38818.7511070497*Deflactores!$W$5</f>
        <v>49733.176185917473</v>
      </c>
      <c r="H147" s="42">
        <f>43879.5089630275*Deflactores!$X$5</f>
        <v>51442.93157619705</v>
      </c>
      <c r="I147" s="42">
        <f>49048.2037219894*Deflactores!$Y$5</f>
        <v>54660.212779597554</v>
      </c>
      <c r="J147" s="42">
        <f>54512.2039062196*Deflactores!$Z$5</f>
        <v>57800.955881523667</v>
      </c>
      <c r="K147" s="42">
        <f>27196.6753767745*Deflactores!$AA$5</f>
        <v>27196.675376774499</v>
      </c>
    </row>
    <row r="148" spans="3:11" x14ac:dyDescent="0.2">
      <c r="C148" s="88" t="s">
        <v>130</v>
      </c>
      <c r="D148" s="50">
        <f>35.19635672401*Deflactores!$T$5</f>
        <v>54.74246619593648</v>
      </c>
      <c r="E148" s="50">
        <f>37.52834642101*Deflactores!$U$5</f>
        <v>57.44465501981486</v>
      </c>
      <c r="F148" s="50">
        <f>35.65260900663*Deflactores!$V$5</f>
        <v>51.669629807081229</v>
      </c>
      <c r="G148" s="50">
        <f>48.70019650441*Deflactores!$W$5</f>
        <v>62.392925685926393</v>
      </c>
      <c r="H148" s="50">
        <f>47.58309044185*Deflactores!$X$5</f>
        <v>55.784891937751446</v>
      </c>
      <c r="I148" s="50">
        <f>60.11913009778*Deflactores!$Y$5</f>
        <v>66.997855046742913</v>
      </c>
      <c r="J148" s="50">
        <f>44.59167876021*Deflactores!$Z$5</f>
        <v>47.281919863964625</v>
      </c>
      <c r="K148" s="50">
        <f>23.0729912438099*Deflactores!$AA$5</f>
        <v>23.072991243809899</v>
      </c>
    </row>
    <row r="149" spans="3:11" x14ac:dyDescent="0.2">
      <c r="C149" s="87" t="s">
        <v>131</v>
      </c>
      <c r="D149" s="42">
        <f>37374.7153265805*Deflactores!$T$5</f>
        <v>58130.564660187323</v>
      </c>
      <c r="E149" s="42">
        <f>40602.7147169017*Deflactores!$U$5</f>
        <v>62150.591811703001</v>
      </c>
      <c r="F149" s="42">
        <f>43204.9641443643*Deflactores!$V$5</f>
        <v>62614.898751235407</v>
      </c>
      <c r="G149" s="42">
        <f>44174.487360484*Deflactores!$W$5</f>
        <v>56594.751252122573</v>
      </c>
      <c r="H149" s="42">
        <f>51128.3182462946*Deflactores!$X$5</f>
        <v>59941.203520903946</v>
      </c>
      <c r="I149" s="42">
        <f>61840.0174803646*Deflactores!$Y$5</f>
        <v>68915.643331813757</v>
      </c>
      <c r="J149" s="42">
        <f>71916.5310447585*Deflactores!$Z$5</f>
        <v>76255.295882396647</v>
      </c>
      <c r="K149" s="42">
        <f>40218.1342222099*Deflactores!$AA$5</f>
        <v>40218.134222209897</v>
      </c>
    </row>
    <row r="150" spans="3:11" x14ac:dyDescent="0.2">
      <c r="C150" s="88" t="s">
        <v>132</v>
      </c>
      <c r="D150" s="50">
        <f>78.0400563333699*Deflactores!$T$5</f>
        <v>121.37918646688127</v>
      </c>
      <c r="E150" s="50">
        <f>77.35142788346*Deflactores!$U$5</f>
        <v>118.40186189412877</v>
      </c>
      <c r="F150" s="50">
        <f>92.14093762066*Deflactores!$V$5</f>
        <v>133.53547663374439</v>
      </c>
      <c r="G150" s="50">
        <f>137.361435775109*Deflactores!$W$5</f>
        <v>175.98249020725086</v>
      </c>
      <c r="H150" s="50">
        <f>162.8243772651*Deflactores!$X$5</f>
        <v>190.89008734448504</v>
      </c>
      <c r="I150" s="50">
        <f>178.99946131674*Deflactores!$Y$5</f>
        <v>199.48026432250154</v>
      </c>
      <c r="J150" s="50">
        <f>195.73838679159*Deflactores!$Z$5</f>
        <v>207.54739395099833</v>
      </c>
      <c r="K150" s="50">
        <f>92.14281825547*Deflactores!$AA$5</f>
        <v>92.142818255470004</v>
      </c>
    </row>
    <row r="151" spans="3:11" x14ac:dyDescent="0.2">
      <c r="C151" s="87" t="s">
        <v>133</v>
      </c>
      <c r="D151" s="42">
        <f>3531.33633471202*Deflactores!$T$5</f>
        <v>5492.4451824748485</v>
      </c>
      <c r="E151" s="42">
        <f>3652.45423177794*Deflactores!$U$5</f>
        <v>5590.813167368432</v>
      </c>
      <c r="F151" s="42">
        <f>3975.7511740663*Deflactores!$V$5</f>
        <v>5761.8670019597466</v>
      </c>
      <c r="G151" s="42">
        <f>4354.53842344542*Deflactores!$W$5</f>
        <v>5578.8767140998771</v>
      </c>
      <c r="H151" s="42">
        <f>4987.96653730631*Deflactores!$X$5</f>
        <v>5847.732286594508</v>
      </c>
      <c r="I151" s="42">
        <f>5413.56807720895*Deflactores!$Y$5</f>
        <v>6032.9789990742602</v>
      </c>
      <c r="J151" s="42">
        <f>6118.1187661645*Deflactores!$Z$5</f>
        <v>6487.2283184398702</v>
      </c>
      <c r="K151" s="42">
        <f>2875.96506670729*Deflactores!$AA$5</f>
        <v>2875.9650667072901</v>
      </c>
    </row>
    <row r="152" spans="3:11" x14ac:dyDescent="0.2">
      <c r="C152" s="88" t="s">
        <v>134</v>
      </c>
      <c r="D152" s="50">
        <f>7969.1342874065*Deflactores!$T$5</f>
        <v>12394.750620356985</v>
      </c>
      <c r="E152" s="50">
        <f>16338.4981002119*Deflactores!$U$5</f>
        <v>25009.345639144034</v>
      </c>
      <c r="F152" s="50">
        <f>17924.5618813687*Deflactores!$V$5</f>
        <v>25977.214646260843</v>
      </c>
      <c r="G152" s="50">
        <f>13089.5418608054*Deflactores!$W$5</f>
        <v>16769.846349800642</v>
      </c>
      <c r="H152" s="50">
        <f>32976.8839745503*Deflactores!$X$5</f>
        <v>38661.043069747553</v>
      </c>
      <c r="I152" s="50">
        <f>21888.8235882934*Deflactores!$Y$5</f>
        <v>24393.304219921862</v>
      </c>
      <c r="J152" s="50">
        <f>16538.1688164601*Deflactores!$Z$5</f>
        <v>17535.925859206262</v>
      </c>
      <c r="K152" s="50">
        <f>7683.03373422739*Deflactores!$AA$5</f>
        <v>7683.0337342273897</v>
      </c>
    </row>
    <row r="153" spans="3:11" x14ac:dyDescent="0.2">
      <c r="C153" s="87" t="s">
        <v>135</v>
      </c>
      <c r="D153" s="42">
        <f>0*Deflactores!$T$5</f>
        <v>0</v>
      </c>
      <c r="E153" s="42">
        <f>0*Deflactores!$U$5</f>
        <v>0</v>
      </c>
      <c r="F153" s="42">
        <f>0*Deflactores!$V$5</f>
        <v>0</v>
      </c>
      <c r="G153" s="42">
        <f>0*Deflactores!$W$5</f>
        <v>0</v>
      </c>
      <c r="H153" s="42">
        <f>2.91414025259*Deflactores!$X$5</f>
        <v>3.4164447406132887</v>
      </c>
      <c r="I153" s="42">
        <f>941.492081639519*Deflactores!$Y$5</f>
        <v>1049.2159469165374</v>
      </c>
      <c r="J153" s="42">
        <f>1204.33780825378*Deflactores!$Z$5</f>
        <v>1276.9961867820437</v>
      </c>
      <c r="K153" s="42">
        <f>548.15460383858*Deflactores!$AA$5</f>
        <v>548.15460383857999</v>
      </c>
    </row>
    <row r="154" spans="3:11" x14ac:dyDescent="0.2">
      <c r="C154" s="88" t="s">
        <v>136</v>
      </c>
      <c r="D154" s="50">
        <f>1389.04955860798*Deflactores!$T$5</f>
        <v>2160.4508416266108</v>
      </c>
      <c r="E154" s="50">
        <f>7370.96964955375*Deflactores!$U$5</f>
        <v>11282.746218817952</v>
      </c>
      <c r="F154" s="50">
        <f>9177.77460247228*Deflactores!$V$5</f>
        <v>13300.91203351737</v>
      </c>
      <c r="G154" s="50">
        <f>1588.66319028154*Deflactores!$W$5</f>
        <v>2035.3376677284459</v>
      </c>
      <c r="H154" s="50">
        <f>1866.93386082371*Deflactores!$X$5</f>
        <v>2188.7334915384408</v>
      </c>
      <c r="I154" s="50">
        <f>1092.31574234515*Deflactores!$Y$5</f>
        <v>1217.2965851616364</v>
      </c>
      <c r="J154" s="50">
        <f>1140.82790819177*Deflactores!$Z$5</f>
        <v>1209.6546986661065</v>
      </c>
      <c r="K154" s="50">
        <f>334.66860642149*Deflactores!$AA$5</f>
        <v>334.66860642148998</v>
      </c>
    </row>
    <row r="155" spans="3:11" x14ac:dyDescent="0.2">
      <c r="C155" s="87" t="s">
        <v>137</v>
      </c>
      <c r="D155" s="42">
        <f>142.33992183894*Deflactores!$T$5</f>
        <v>221.38764022370805</v>
      </c>
      <c r="E155" s="42">
        <f>147.316447537489*Deflactores!$U$5</f>
        <v>225.49734572898771</v>
      </c>
      <c r="F155" s="42">
        <f>152.18502291976*Deflactores!$V$5</f>
        <v>220.55451243368736</v>
      </c>
      <c r="G155" s="42">
        <f>172.73294155391*Deflactores!$W$5</f>
        <v>221.29918069034164</v>
      </c>
      <c r="H155" s="42">
        <f>205.4969227005*Deflactores!$X$5</f>
        <v>240.91801351989187</v>
      </c>
      <c r="I155" s="42">
        <f>233.94588656526*Deflactores!$Y$5</f>
        <v>260.71356274431247</v>
      </c>
      <c r="J155" s="42">
        <f>256.052947271279*Deflactores!$Z$5</f>
        <v>271.50076584727253</v>
      </c>
      <c r="K155" s="42">
        <f>133.39629371983*Deflactores!$AA$5</f>
        <v>133.39629371983</v>
      </c>
    </row>
    <row r="156" spans="3:11" x14ac:dyDescent="0.2">
      <c r="C156" s="88" t="s">
        <v>138</v>
      </c>
      <c r="D156" s="50">
        <f>86.51463718401*Deflactores!$T$5</f>
        <v>134.56008071052958</v>
      </c>
      <c r="E156" s="50">
        <f>90.77501368117*Deflactores!$U$5</f>
        <v>138.94935009485147</v>
      </c>
      <c r="F156" s="50">
        <f>103.43565574278*Deflactores!$V$5</f>
        <v>149.90437418165587</v>
      </c>
      <c r="G156" s="50">
        <f>99.5883479329599*Deflactores!$W$5</f>
        <v>127.58897987614242</v>
      </c>
      <c r="H156" s="50">
        <f>101.14452172284*Deflactores!$X$5</f>
        <v>118.57859928832342</v>
      </c>
      <c r="I156" s="50">
        <f>121.30639423118*Deflactores!$Y$5</f>
        <v>135.18605814364173</v>
      </c>
      <c r="J156" s="50">
        <f>135.22252019535*Deflactores!$Z$5</f>
        <v>143.38057102674028</v>
      </c>
      <c r="K156" s="50">
        <f>59.72010359831*Deflactores!$AA$5</f>
        <v>59.720103598309997</v>
      </c>
    </row>
    <row r="157" spans="3:11" x14ac:dyDescent="0.2">
      <c r="C157" s="87" t="s">
        <v>160</v>
      </c>
      <c r="D157" s="42">
        <f>1129.2545941681*Deflactores!$T$5</f>
        <v>1756.3801257214357</v>
      </c>
      <c r="E157" s="42">
        <f>1314.42372819879*Deflactores!$U$5</f>
        <v>2011.9889314911702</v>
      </c>
      <c r="F157" s="42">
        <f>1542.67768829214*Deflactores!$V$5</f>
        <v>2235.7293697882201</v>
      </c>
      <c r="G157" s="42">
        <f>1690.89340637662*Deflactores!$W$5</f>
        <v>2166.3113132885605</v>
      </c>
      <c r="H157" s="42">
        <f>2098.96821195896*Deflactores!$X$5</f>
        <v>2460.7631366020532</v>
      </c>
      <c r="I157" s="42">
        <f>2675.34363169003*Deflactores!$Y$5</f>
        <v>2981.4517366546897</v>
      </c>
      <c r="J157" s="42">
        <f>3281.87139734377*Deflactores!$Z$5</f>
        <v>3479.8685478401339</v>
      </c>
      <c r="K157" s="42">
        <f>1546.31646952256*Deflactores!$AA$5</f>
        <v>1546.3164695225601</v>
      </c>
    </row>
    <row r="158" spans="3:11" x14ac:dyDescent="0.2">
      <c r="C158" s="88" t="s">
        <v>161</v>
      </c>
      <c r="D158" s="50">
        <f>2023.7300204703*Deflactores!$T$5</f>
        <v>3147.5977216620095</v>
      </c>
      <c r="E158" s="50">
        <f>2246.48092019577*Deflactores!$U$5</f>
        <v>3438.6892516264825</v>
      </c>
      <c r="F158" s="50">
        <f>2246.74067526672*Deflactores!$V$5</f>
        <v>3256.0943560106693</v>
      </c>
      <c r="G158" s="50">
        <f>2543.7446438053*Deflactores!$W$5</f>
        <v>3258.9533906818097</v>
      </c>
      <c r="H158" s="50">
        <f>2960.99921282595*Deflactores!$X$5</f>
        <v>3471.3806854795093</v>
      </c>
      <c r="I158" s="50">
        <f>3533.56822730151*Deflactores!$Y$5</f>
        <v>3937.8728784910509</v>
      </c>
      <c r="J158" s="50">
        <f>3856.63622799505*Deflactores!$Z$5</f>
        <v>4089.3092645625702</v>
      </c>
      <c r="K158" s="50">
        <f>1815.84295993761*Deflactores!$AA$5</f>
        <v>1815.84295993761</v>
      </c>
    </row>
    <row r="159" spans="3:11" x14ac:dyDescent="0.2">
      <c r="C159" s="87" t="s">
        <v>140</v>
      </c>
      <c r="D159" s="42">
        <f>619.861313088259*Deflactores!$T$5</f>
        <v>964.09799582338076</v>
      </c>
      <c r="E159" s="42">
        <f>1114.42598897947*Deflactores!$U$5</f>
        <v>1705.852311313181</v>
      </c>
      <c r="F159" s="42">
        <f>1148.46163833429*Deflactores!$V$5</f>
        <v>1664.4108062142584</v>
      </c>
      <c r="G159" s="42">
        <f>903.12072403123*Deflactores!$W$5</f>
        <v>1157.0455206438028</v>
      </c>
      <c r="H159" s="42">
        <f>1691.05162280594*Deflactores!$X$5</f>
        <v>1982.5347862739809</v>
      </c>
      <c r="I159" s="42">
        <f>4410.79756426403*Deflactores!$Y$5</f>
        <v>4915.4732507016197</v>
      </c>
      <c r="J159" s="42">
        <f>3642.34057760215*Deflactores!$Z$5</f>
        <v>3862.0850368415336</v>
      </c>
      <c r="K159" s="42">
        <f>1900.65374286764*Deflactores!$AA$5</f>
        <v>1900.6537428676399</v>
      </c>
    </row>
    <row r="160" spans="3:11" x14ac:dyDescent="0.2">
      <c r="C160" s="88" t="s">
        <v>141</v>
      </c>
      <c r="D160" s="50">
        <f>1602.98854737534*Deflactores!$T$5</f>
        <v>2493.1997097104695</v>
      </c>
      <c r="E160" s="50">
        <f>1781.51894623452*Deflactores!$U$5</f>
        <v>2726.9717703419092</v>
      </c>
      <c r="F160" s="50">
        <f>2194.09617402772*Deflactores!$V$5</f>
        <v>3179.799185301235</v>
      </c>
      <c r="G160" s="50">
        <f>2530.70825635387*Deflactores!$W$5</f>
        <v>3242.251643833697</v>
      </c>
      <c r="H160" s="50">
        <f>2976.67962251757*Deflactores!$X$5</f>
        <v>3489.763895818814</v>
      </c>
      <c r="I160" s="50">
        <f>3395.93174375014*Deflactores!$Y$5</f>
        <v>3784.4882709772669</v>
      </c>
      <c r="J160" s="50">
        <f>3628.71197118004*Deflactores!$Z$5</f>
        <v>3847.6342089152545</v>
      </c>
      <c r="K160" s="50">
        <f>1822.7318918143*Deflactores!$AA$5</f>
        <v>1822.7318918143001</v>
      </c>
    </row>
    <row r="161" spans="1:11" x14ac:dyDescent="0.2">
      <c r="C161" s="87" t="s">
        <v>142</v>
      </c>
      <c r="D161" s="42">
        <f>190.85883588481*Deflactores!$T$5</f>
        <v>296.85127507792873</v>
      </c>
      <c r="E161" s="42">
        <f>364.97699249817*Deflactores!$U$5</f>
        <v>558.67042978715585</v>
      </c>
      <c r="F161" s="42">
        <f>495.987163479659*Deflactores!$V$5</f>
        <v>718.81059591718918</v>
      </c>
      <c r="G161" s="42">
        <f>582.284589841019*Deflactores!$W$5</f>
        <v>746.00190039728</v>
      </c>
      <c r="H161" s="42">
        <f>496.18384191627*Deflactores!$X$5</f>
        <v>581.71005173327092</v>
      </c>
      <c r="I161" s="42">
        <f>483.80546440751*Deflactores!$Y$5</f>
        <v>539.16163328506696</v>
      </c>
      <c r="J161" s="42">
        <f>446.95614318052*Deflactores!$Z$5</f>
        <v>473.92125912571316</v>
      </c>
      <c r="K161" s="42">
        <f>498.83956918728*Deflactores!$AA$5</f>
        <v>498.83956918728001</v>
      </c>
    </row>
    <row r="162" spans="1:11" x14ac:dyDescent="0.2">
      <c r="C162" s="88" t="s">
        <v>143</v>
      </c>
      <c r="D162" s="50">
        <f>571.41931260076*Deflactores!$T$5</f>
        <v>888.75398806301394</v>
      </c>
      <c r="E162" s="50">
        <f>1732.48362359133*Deflactores!$U$5</f>
        <v>2651.9133821725231</v>
      </c>
      <c r="F162" s="50">
        <f>3587.29638675409*Deflactores!$V$5</f>
        <v>5198.8979622051002</v>
      </c>
      <c r="G162" s="50">
        <f>919.23644559331*Deflactores!$W$5</f>
        <v>1177.6923986847751</v>
      </c>
      <c r="H162" s="50">
        <f>733.51434310156*Deflactores!$X$5</f>
        <v>859.94873356780568</v>
      </c>
      <c r="I162" s="50">
        <f>713.69842254485*Deflactores!$Y$5</f>
        <v>795.35853867111484</v>
      </c>
      <c r="J162" s="50">
        <f>1330.47563549567*Deflactores!$Z$5</f>
        <v>1410.7439802108813</v>
      </c>
      <c r="K162" s="50">
        <f>384.40815158193*Deflactores!$AA$5</f>
        <v>384.40815158192999</v>
      </c>
    </row>
    <row r="163" spans="1:11" x14ac:dyDescent="0.2">
      <c r="C163" s="87" t="s">
        <v>144</v>
      </c>
      <c r="D163" s="42">
        <f>4147.32285530746*Deflactores!$T$5</f>
        <v>6450.5165404073332</v>
      </c>
      <c r="E163" s="42">
        <f>4314.73352545996*Deflactores!$U$5</f>
        <v>6604.5643496222656</v>
      </c>
      <c r="F163" s="42">
        <f>4675.53911346223*Deflactores!$V$5</f>
        <v>6776.0363651422267</v>
      </c>
      <c r="G163" s="42">
        <f>5178.99546720401*Deflactores!$W$5</f>
        <v>6635.1411802568082</v>
      </c>
      <c r="H163" s="42">
        <f>6266.11140587502*Deflactores!$X$5</f>
        <v>7346.1884127478161</v>
      </c>
      <c r="I163" s="42">
        <f>7662.25595568172*Deflactores!$Y$5</f>
        <v>8538.9577829031659</v>
      </c>
      <c r="J163" s="42">
        <f>8732.32619687421*Deflactores!$Z$5</f>
        <v>9259.1523563590745</v>
      </c>
      <c r="K163" s="42">
        <f>4007.74961420208*Deflactores!$AA$5</f>
        <v>4007.74961420208</v>
      </c>
    </row>
    <row r="164" spans="1:11" x14ac:dyDescent="0.2">
      <c r="C164" s="88" t="s">
        <v>145</v>
      </c>
      <c r="D164" s="50">
        <f>1338.81878379526*Deflactores!$T$5</f>
        <v>2082.3246732352895</v>
      </c>
      <c r="E164" s="50">
        <f>534.03175917673*Deflactores!$U$5</f>
        <v>817.44262940286751</v>
      </c>
      <c r="F164" s="50">
        <f>1148.35464884171*Deflactores!$V$5</f>
        <v>1664.2557514334478</v>
      </c>
      <c r="G164" s="50">
        <f>2920.45972506698*Deflactores!$W$5</f>
        <v>3741.5870915088549</v>
      </c>
      <c r="H164" s="50">
        <f>2483.89143939984*Deflactores!$X$5</f>
        <v>2912.0348057543843</v>
      </c>
      <c r="I164" s="50">
        <f>788.22006667305*Deflactores!$Y$5</f>
        <v>878.40681802954282</v>
      </c>
      <c r="J164" s="50">
        <f>2058.98609633044*Deflactores!$Z$5</f>
        <v>2183.2058876102005</v>
      </c>
      <c r="K164" s="50">
        <f>2015.75088709146*Deflactores!$AA$5</f>
        <v>2015.7508870914601</v>
      </c>
    </row>
    <row r="165" spans="1:11" x14ac:dyDescent="0.2">
      <c r="C165" s="87" t="s">
        <v>146</v>
      </c>
      <c r="D165" s="42">
        <f>863.083427856437*Deflactores!$T$5</f>
        <v>1342.3922181545893</v>
      </c>
      <c r="E165" s="42">
        <f>813.93072248072*Deflactores!$U$5</f>
        <v>1245.8840855497326</v>
      </c>
      <c r="F165" s="42">
        <f>1013.40184365795*Deflactores!$V$5</f>
        <v>1468.675072219331</v>
      </c>
      <c r="G165" s="42">
        <f>1260.86017246513*Deflactores!$W$5</f>
        <v>1615.3683288287641</v>
      </c>
      <c r="H165" s="42">
        <f>1302.18723162908*Deflactores!$X$5</f>
        <v>1526.642622927618</v>
      </c>
      <c r="I165" s="42">
        <f>1419.01067346674*Deflactores!$Y$5</f>
        <v>1581.3713747367801</v>
      </c>
      <c r="J165" s="42">
        <f>1582.66067975384*Deflactores!$Z$5</f>
        <v>1678.1434902769834</v>
      </c>
      <c r="K165" s="42">
        <f>769.931153309039*Deflactores!$AA$5</f>
        <v>769.93115330903902</v>
      </c>
    </row>
    <row r="166" spans="1:11" x14ac:dyDescent="0.2">
      <c r="C166" s="88" t="s">
        <v>162</v>
      </c>
      <c r="D166" s="50">
        <f>28795.1450550206*Deflactores!$T$5</f>
        <v>44786.375679225675</v>
      </c>
      <c r="E166" s="50">
        <f>33768.3958912633*Deflactores!$U$5</f>
        <v>51689.297225740855</v>
      </c>
      <c r="F166" s="50">
        <f>42583.8340262913*Deflactores!$V$5</f>
        <v>61714.724425791443</v>
      </c>
      <c r="G166" s="50">
        <f>41177.2058983625*Deflactores!$W$5</f>
        <v>52754.742936981231</v>
      </c>
      <c r="H166" s="50">
        <f>48660.4301664704*Deflactores!$X$5</f>
        <v>57047.930541594171</v>
      </c>
      <c r="I166" s="50">
        <f>56879.0915248487*Deflactores!$Y$5</f>
        <v>63387.096968539736</v>
      </c>
      <c r="J166" s="50">
        <f>63413.6240013666*Deflactores!$Z$5</f>
        <v>67239.403666310391</v>
      </c>
      <c r="K166" s="50">
        <f>35399.6865510082*Deflactores!$AA$5</f>
        <v>35399.686551008199</v>
      </c>
    </row>
    <row r="167" spans="1:11" x14ac:dyDescent="0.2">
      <c r="C167" s="87" t="s">
        <v>148</v>
      </c>
      <c r="D167" s="42">
        <f>261.13458804366*Deflactores!$T$5</f>
        <v>406.15429235089243</v>
      </c>
      <c r="E167" s="42">
        <f>312.86440454456*Deflactores!$U$5</f>
        <v>478.90167036457331</v>
      </c>
      <c r="F167" s="42">
        <f>356.96159296429*Deflactores!$V$5</f>
        <v>517.32745169872396</v>
      </c>
      <c r="G167" s="42">
        <f>358.201944011099*Deflactores!$W$5</f>
        <v>458.91534074641874</v>
      </c>
      <c r="H167" s="42">
        <f>439.06493918917*Deflactores!$X$5</f>
        <v>514.74567874601848</v>
      </c>
      <c r="I167" s="42">
        <f>576.45136574244*Deflactores!$Y$5</f>
        <v>642.40791542882164</v>
      </c>
      <c r="J167" s="42">
        <f>642.43666857635*Deflactores!$Z$5</f>
        <v>681.19523475765925</v>
      </c>
      <c r="K167" s="42">
        <f>325.36380847398*Deflactores!$AA$5</f>
        <v>325.36380847397999</v>
      </c>
    </row>
    <row r="168" spans="1:11" x14ac:dyDescent="0.2">
      <c r="C168" s="88" t="s">
        <v>149</v>
      </c>
      <c r="D168" s="50">
        <f>471.87672926694*Deflactores!$T$5</f>
        <v>733.93096061339918</v>
      </c>
      <c r="E168" s="50">
        <f>305.55287475045*Deflactores!$U$5</f>
        <v>467.70990875648369</v>
      </c>
      <c r="F168" s="50">
        <f>705.37592186894*Deflactores!$V$5</f>
        <v>1022.2677602926379</v>
      </c>
      <c r="G168" s="50">
        <f>782.55862903342*Deflactores!$W$5</f>
        <v>1002.5857366251327</v>
      </c>
      <c r="H168" s="50">
        <f>977.15633054271*Deflactores!$X$5</f>
        <v>1145.5867998366077</v>
      </c>
      <c r="I168" s="50">
        <f>747.09526212896*Deflactores!$Y$5</f>
        <v>832.57658580247471</v>
      </c>
      <c r="J168" s="50">
        <f>662.38485180802*Deflactores!$Z$5</f>
        <v>702.34690312303894</v>
      </c>
      <c r="K168" s="50">
        <f>381.25980392762*Deflactores!$AA$5</f>
        <v>381.25980392762</v>
      </c>
    </row>
    <row r="169" spans="1:11" x14ac:dyDescent="0.2">
      <c r="C169" s="87" t="s">
        <v>163</v>
      </c>
      <c r="D169" s="42">
        <f>18245.9415818559*Deflactores!$T$5</f>
        <v>28378.728176044569</v>
      </c>
      <c r="E169" s="42">
        <f>22972.6077130273*Deflactores!$U$5</f>
        <v>35164.179902197662</v>
      </c>
      <c r="F169" s="42">
        <f>22320.536643617*Deflactores!$V$5</f>
        <v>32348.091699449367</v>
      </c>
      <c r="G169" s="42">
        <f>18396.7723556309*Deflactores!$W$5</f>
        <v>23569.277597100521</v>
      </c>
      <c r="H169" s="42">
        <f>22306.8215424723*Deflactores!$X$5</f>
        <v>26151.803459303483</v>
      </c>
      <c r="I169" s="42">
        <f>27655.8215617685*Deflactores!$Y$5</f>
        <v>30820.151941326476</v>
      </c>
      <c r="J169" s="42">
        <f>38784.2505052736*Deflactores!$Z$5</f>
        <v>41124.126190346637</v>
      </c>
      <c r="K169" s="42">
        <f>17671.3115503735*Deflactores!$AA$5</f>
        <v>17671.311550373499</v>
      </c>
    </row>
    <row r="170" spans="1:11" x14ac:dyDescent="0.2">
      <c r="C170" s="88" t="s">
        <v>150</v>
      </c>
      <c r="D170" s="50">
        <f>899.15426537356*Deflactores!$T$5</f>
        <v>1398.4948034001013</v>
      </c>
      <c r="E170" s="50">
        <f>834.181042032*Deflactores!$U$5</f>
        <v>1276.8812578635398</v>
      </c>
      <c r="F170" s="50">
        <f>924.9981015312*Deflactores!$V$5</f>
        <v>1340.5557351912773</v>
      </c>
      <c r="G170" s="50">
        <f>1041.58968843729*Deflactores!$W$5</f>
        <v>1334.4469363693461</v>
      </c>
      <c r="H170" s="50">
        <f>1397.23399763066*Deflactores!$X$5</f>
        <v>1638.0724086181992</v>
      </c>
      <c r="I170" s="50">
        <f>1271.4276849658*Deflactores!$Y$5</f>
        <v>1416.9022007006736</v>
      </c>
      <c r="J170" s="50">
        <f>1413.98725184224*Deflactores!$Z$5</f>
        <v>1499.2938994243307</v>
      </c>
      <c r="K170" s="50">
        <f>987.59069616679*Deflactores!$AA$5</f>
        <v>987.59069616679005</v>
      </c>
    </row>
    <row r="171" spans="1:11" x14ac:dyDescent="0.2">
      <c r="C171" s="87" t="s">
        <v>151</v>
      </c>
      <c r="D171" s="42">
        <f>2184.37924621438*Deflactores!$T$5</f>
        <v>3397.4626403142124</v>
      </c>
      <c r="E171" s="42">
        <f>2339.43149135068*Deflactores!$U$5</f>
        <v>3580.968728424833</v>
      </c>
      <c r="F171" s="42">
        <f>2722.94042561438*Deflactores!$V$5</f>
        <v>3946.2279956024454</v>
      </c>
      <c r="G171" s="42">
        <f>2651.12126017479*Deflactores!$W$5</f>
        <v>3396.5204176432135</v>
      </c>
      <c r="H171" s="42">
        <f>2924.4423574912*Deflactores!$X$5</f>
        <v>3428.5225985941006</v>
      </c>
      <c r="I171" s="42">
        <f>3756.2286585442*Deflactores!$Y$5</f>
        <v>4186.0097239973011</v>
      </c>
      <c r="J171" s="42">
        <f>4332.14239693372*Deflactores!$Z$5</f>
        <v>4593.502988586275</v>
      </c>
      <c r="K171" s="42">
        <f>2188.19501068084*Deflactores!$AA$5</f>
        <v>2188.1950106808399</v>
      </c>
    </row>
    <row r="172" spans="1:11" x14ac:dyDescent="0.2">
      <c r="C172" s="79" t="s">
        <v>179</v>
      </c>
      <c r="D172" s="44">
        <f t="shared" ref="D172:K172" si="6">+SUM(D141:D171)</f>
        <v>229795.0336372419</v>
      </c>
      <c r="E172" s="44">
        <f t="shared" si="6"/>
        <v>273579.2484233845</v>
      </c>
      <c r="F172" s="44">
        <f t="shared" si="6"/>
        <v>289608.88110585703</v>
      </c>
      <c r="G172" s="44">
        <f t="shared" si="6"/>
        <v>240995.42892362317</v>
      </c>
      <c r="H172" s="44">
        <f t="shared" si="6"/>
        <v>276875.23592998093</v>
      </c>
      <c r="I172" s="44">
        <f t="shared" si="6"/>
        <v>290127.67775708489</v>
      </c>
      <c r="J172" s="44">
        <f t="shared" si="6"/>
        <v>311526.67793387419</v>
      </c>
      <c r="K172" s="44">
        <f t="shared" si="6"/>
        <v>153054.39175156361</v>
      </c>
    </row>
    <row r="173" spans="1:11" s="31" customFormat="1" x14ac:dyDescent="0.2">
      <c r="A173" s="5"/>
      <c r="B173" s="5"/>
      <c r="C173" s="72" t="str">
        <f>+'C1 Aprop Resumen 2000-2026'!B20</f>
        <v>* Información con corte a 30 de Junio</v>
      </c>
      <c r="D173" s="121">
        <f>+D172-'C5 Ejecución PGN 2019-2026'!D79</f>
        <v>7.5669959187507629E-10</v>
      </c>
      <c r="E173" s="121">
        <f>+E172-'C5 Ejecución PGN 2019-2026'!E79</f>
        <v>9.8953023552894592E-10</v>
      </c>
      <c r="F173" s="121">
        <f>+F172-'C5 Ejecución PGN 2019-2026'!F79</f>
        <v>0</v>
      </c>
      <c r="G173" s="121">
        <f>+G172-'C5 Ejecución PGN 2019-2026'!G79</f>
        <v>0</v>
      </c>
      <c r="H173" s="121">
        <f>+H172-'C5 Ejecución PGN 2019-2026'!H79</f>
        <v>4.6566128730773926E-10</v>
      </c>
      <c r="I173" s="121">
        <f>+I172-'C5 Ejecución PGN 2019-2026'!I79</f>
        <v>5.8207660913467407E-10</v>
      </c>
      <c r="J173" s="121">
        <f>+J172-'C5 Ejecución PGN 2019-2026'!J79</f>
        <v>0</v>
      </c>
      <c r="K173" s="121">
        <f>+K172-'C5 Ejecución PGN 2019-2026'!K79</f>
        <v>5.5297277867794037E-10</v>
      </c>
    </row>
    <row r="174" spans="1:11" x14ac:dyDescent="0.2">
      <c r="C174" s="1" t="s">
        <v>52</v>
      </c>
      <c r="D174" s="11"/>
      <c r="E174" s="11"/>
      <c r="F174" s="11"/>
    </row>
    <row r="175" spans="1:11" x14ac:dyDescent="0.2">
      <c r="B175" s="9"/>
      <c r="D175" s="11"/>
      <c r="E175" s="11"/>
      <c r="F175" s="11"/>
    </row>
    <row r="176" spans="1:11" x14ac:dyDescent="0.2">
      <c r="D176" s="11"/>
      <c r="E176" s="11"/>
      <c r="F176" s="11"/>
    </row>
    <row r="177" spans="3:12" x14ac:dyDescent="0.2">
      <c r="D177" s="11"/>
      <c r="E177" s="11"/>
      <c r="F177" s="11"/>
    </row>
    <row r="178" spans="3:12" ht="18" customHeight="1" x14ac:dyDescent="0.2">
      <c r="D178" s="164" t="s">
        <v>183</v>
      </c>
      <c r="E178" s="182"/>
      <c r="F178" s="182"/>
      <c r="G178" s="182"/>
      <c r="H178" s="182"/>
      <c r="I178" s="182"/>
      <c r="J178" s="182"/>
      <c r="K178" s="182"/>
      <c r="L178" s="182"/>
    </row>
    <row r="179" spans="3:12" ht="2.25" customHeight="1" x14ac:dyDescent="0.2">
      <c r="D179" s="28"/>
      <c r="E179" s="28"/>
      <c r="F179" s="28"/>
    </row>
    <row r="180" spans="3:12" x14ac:dyDescent="0.2">
      <c r="D180" s="29"/>
      <c r="E180" s="29"/>
      <c r="F180" s="29"/>
    </row>
    <row r="181" spans="3:12" x14ac:dyDescent="0.2">
      <c r="C181" s="181" t="s">
        <v>120</v>
      </c>
      <c r="D181" s="155">
        <v>2019</v>
      </c>
      <c r="E181" s="155">
        <v>2020</v>
      </c>
      <c r="F181" s="155">
        <v>2021</v>
      </c>
      <c r="G181" s="155">
        <v>2022</v>
      </c>
      <c r="H181" s="155">
        <v>2023</v>
      </c>
      <c r="I181" s="155">
        <v>2024</v>
      </c>
      <c r="J181" s="155" t="s">
        <v>187</v>
      </c>
      <c r="K181" s="155" t="s">
        <v>36</v>
      </c>
    </row>
    <row r="182" spans="3:12" ht="12" customHeight="1" thickBot="1" x14ac:dyDescent="0.25">
      <c r="C182" s="162"/>
      <c r="D182" s="156"/>
      <c r="E182" s="156"/>
      <c r="F182" s="156"/>
      <c r="G182" s="156"/>
      <c r="H182" s="156"/>
      <c r="I182" s="156"/>
      <c r="J182" s="156"/>
      <c r="K182" s="156"/>
    </row>
    <row r="183" spans="3:12" x14ac:dyDescent="0.2">
      <c r="C183" s="87" t="s">
        <v>123</v>
      </c>
      <c r="D183" s="47">
        <f t="shared" ref="D183:K192" si="7">+IFERROR(IF(D141&gt;0,+((D141/D15)*100)," "),"")</f>
        <v>74.761561775571025</v>
      </c>
      <c r="E183" s="47">
        <f t="shared" si="7"/>
        <v>80.369488441651256</v>
      </c>
      <c r="F183" s="47">
        <f t="shared" si="7"/>
        <v>92.810495906733109</v>
      </c>
      <c r="G183" s="47">
        <f t="shared" si="7"/>
        <v>91.810105679355487</v>
      </c>
      <c r="H183" s="47">
        <f t="shared" si="7"/>
        <v>75.937511031836507</v>
      </c>
      <c r="I183" s="47">
        <f t="shared" si="7"/>
        <v>77.216791308319671</v>
      </c>
      <c r="J183" s="47">
        <f t="shared" si="7"/>
        <v>91.40705404262448</v>
      </c>
      <c r="K183" s="47">
        <f t="shared" si="7"/>
        <v>55.327889469803502</v>
      </c>
    </row>
    <row r="184" spans="3:12" x14ac:dyDescent="0.2">
      <c r="C184" s="88" t="s">
        <v>124</v>
      </c>
      <c r="D184" s="116">
        <f t="shared" si="7"/>
        <v>95.306211908175982</v>
      </c>
      <c r="E184" s="116">
        <f t="shared" si="7"/>
        <v>96.665839428231806</v>
      </c>
      <c r="F184" s="116">
        <f t="shared" si="7"/>
        <v>93.615219286532877</v>
      </c>
      <c r="G184" s="116">
        <f t="shared" si="7"/>
        <v>92.622717334510043</v>
      </c>
      <c r="H184" s="116">
        <f t="shared" si="7"/>
        <v>94.679582265960875</v>
      </c>
      <c r="I184" s="116">
        <f t="shared" si="7"/>
        <v>96.377944247620178</v>
      </c>
      <c r="J184" s="116">
        <f t="shared" si="7"/>
        <v>97.639949900800076</v>
      </c>
      <c r="K184" s="116">
        <f t="shared" si="7"/>
        <v>55.933664766333614</v>
      </c>
    </row>
    <row r="185" spans="3:12" x14ac:dyDescent="0.2">
      <c r="C185" s="87" t="s">
        <v>125</v>
      </c>
      <c r="D185" s="47">
        <f t="shared" si="7"/>
        <v>95.122909680239744</v>
      </c>
      <c r="E185" s="47">
        <f t="shared" si="7"/>
        <v>90.811134757164439</v>
      </c>
      <c r="F185" s="47">
        <f t="shared" si="7"/>
        <v>94.850996911981227</v>
      </c>
      <c r="G185" s="47">
        <f t="shared" si="7"/>
        <v>86.826685511570219</v>
      </c>
      <c r="H185" s="47">
        <f t="shared" si="7"/>
        <v>94.01225793248021</v>
      </c>
      <c r="I185" s="47">
        <f t="shared" si="7"/>
        <v>94.226930002660893</v>
      </c>
      <c r="J185" s="47">
        <f t="shared" si="7"/>
        <v>90.147929508342244</v>
      </c>
      <c r="K185" s="47">
        <f t="shared" si="7"/>
        <v>30.782434792145718</v>
      </c>
    </row>
    <row r="186" spans="3:12" x14ac:dyDescent="0.2">
      <c r="C186" s="88" t="s">
        <v>126</v>
      </c>
      <c r="D186" s="116">
        <f t="shared" si="7"/>
        <v>91.753307858077051</v>
      </c>
      <c r="E186" s="116">
        <f t="shared" si="7"/>
        <v>94.569169635595614</v>
      </c>
      <c r="F186" s="116">
        <f t="shared" si="7"/>
        <v>91.577351798899983</v>
      </c>
      <c r="G186" s="116">
        <f t="shared" si="7"/>
        <v>95.502048547661843</v>
      </c>
      <c r="H186" s="116">
        <f t="shared" si="7"/>
        <v>92.723393825704619</v>
      </c>
      <c r="I186" s="116">
        <f t="shared" si="7"/>
        <v>75.747789016222995</v>
      </c>
      <c r="J186" s="116">
        <f t="shared" si="7"/>
        <v>88.557839847987921</v>
      </c>
      <c r="K186" s="116">
        <f t="shared" si="7"/>
        <v>33.030487837534501</v>
      </c>
    </row>
    <row r="187" spans="3:12" x14ac:dyDescent="0.2">
      <c r="C187" s="87" t="s">
        <v>127</v>
      </c>
      <c r="D187" s="47">
        <f t="shared" si="7"/>
        <v>95.907207545724802</v>
      </c>
      <c r="E187" s="47">
        <f t="shared" si="7"/>
        <v>94.588960814732332</v>
      </c>
      <c r="F187" s="47">
        <f t="shared" si="7"/>
        <v>93.898056337318508</v>
      </c>
      <c r="G187" s="47">
        <f t="shared" si="7"/>
        <v>94.817074610467614</v>
      </c>
      <c r="H187" s="47">
        <f t="shared" si="7"/>
        <v>94.075512625851971</v>
      </c>
      <c r="I187" s="47">
        <f t="shared" si="7"/>
        <v>86.306266862421992</v>
      </c>
      <c r="J187" s="47">
        <f t="shared" si="7"/>
        <v>80.284837329113131</v>
      </c>
      <c r="K187" s="47">
        <f t="shared" si="7"/>
        <v>54.086773707445104</v>
      </c>
    </row>
    <row r="188" spans="3:12" x14ac:dyDescent="0.2">
      <c r="C188" s="88" t="s">
        <v>128</v>
      </c>
      <c r="D188" s="116">
        <f t="shared" si="7"/>
        <v>97.474330757479251</v>
      </c>
      <c r="E188" s="116">
        <f t="shared" si="7"/>
        <v>97.057446248743844</v>
      </c>
      <c r="F188" s="116">
        <f t="shared" si="7"/>
        <v>89.040961551123715</v>
      </c>
      <c r="G188" s="116">
        <f t="shared" si="7"/>
        <v>93.33503005391826</v>
      </c>
      <c r="H188" s="116">
        <f t="shared" si="7"/>
        <v>91.564582876526885</v>
      </c>
      <c r="I188" s="116">
        <f t="shared" si="7"/>
        <v>92.894514262449732</v>
      </c>
      <c r="J188" s="116">
        <f t="shared" si="7"/>
        <v>90.777834107708671</v>
      </c>
      <c r="K188" s="116">
        <f t="shared" si="7"/>
        <v>45.507086658233128</v>
      </c>
    </row>
    <row r="189" spans="3:12" x14ac:dyDescent="0.2">
      <c r="C189" s="87" t="s">
        <v>129</v>
      </c>
      <c r="D189" s="47">
        <f t="shared" si="7"/>
        <v>97.2832587893717</v>
      </c>
      <c r="E189" s="47">
        <f t="shared" si="7"/>
        <v>97.69886306610789</v>
      </c>
      <c r="F189" s="47">
        <f t="shared" si="7"/>
        <v>95.412954387503518</v>
      </c>
      <c r="G189" s="47">
        <f t="shared" si="7"/>
        <v>96.305689672971738</v>
      </c>
      <c r="H189" s="47">
        <f t="shared" si="7"/>
        <v>95.451678592522441</v>
      </c>
      <c r="I189" s="47">
        <f t="shared" si="7"/>
        <v>92.901708850895645</v>
      </c>
      <c r="J189" s="47">
        <f t="shared" si="7"/>
        <v>94.4014622939563</v>
      </c>
      <c r="K189" s="47">
        <f t="shared" si="7"/>
        <v>43.756588204831132</v>
      </c>
    </row>
    <row r="190" spans="3:12" x14ac:dyDescent="0.2">
      <c r="C190" s="88" t="s">
        <v>130</v>
      </c>
      <c r="D190" s="116">
        <f t="shared" si="7"/>
        <v>93.531782249009311</v>
      </c>
      <c r="E190" s="116">
        <f t="shared" si="7"/>
        <v>94.783026652524143</v>
      </c>
      <c r="F190" s="116">
        <f t="shared" si="7"/>
        <v>89.394584068622109</v>
      </c>
      <c r="G190" s="116">
        <f t="shared" si="7"/>
        <v>92.17090053874665</v>
      </c>
      <c r="H190" s="116">
        <f t="shared" si="7"/>
        <v>83.374166406582518</v>
      </c>
      <c r="I190" s="116">
        <f t="shared" si="7"/>
        <v>93.023513732877689</v>
      </c>
      <c r="J190" s="116">
        <f t="shared" si="7"/>
        <v>89.901315579483807</v>
      </c>
      <c r="K190" s="116">
        <f t="shared" si="7"/>
        <v>42.574250827948198</v>
      </c>
    </row>
    <row r="191" spans="3:12" x14ac:dyDescent="0.2">
      <c r="C191" s="87" t="s">
        <v>131</v>
      </c>
      <c r="D191" s="47">
        <f t="shared" si="7"/>
        <v>99.937182980888949</v>
      </c>
      <c r="E191" s="47">
        <f t="shared" si="7"/>
        <v>99.96580421601395</v>
      </c>
      <c r="F191" s="47">
        <f t="shared" si="7"/>
        <v>99.933958021948911</v>
      </c>
      <c r="G191" s="47">
        <f t="shared" si="7"/>
        <v>99.895857804338988</v>
      </c>
      <c r="H191" s="47">
        <f t="shared" si="7"/>
        <v>98.994518199047803</v>
      </c>
      <c r="I191" s="47">
        <f t="shared" si="7"/>
        <v>99.670900560853852</v>
      </c>
      <c r="J191" s="47">
        <f t="shared" si="7"/>
        <v>97.92531909795909</v>
      </c>
      <c r="K191" s="47">
        <f t="shared" si="7"/>
        <v>49.396957051096635</v>
      </c>
    </row>
    <row r="192" spans="3:12" x14ac:dyDescent="0.2">
      <c r="C192" s="88" t="s">
        <v>132</v>
      </c>
      <c r="D192" s="116">
        <f t="shared" si="7"/>
        <v>89.212500496024276</v>
      </c>
      <c r="E192" s="116">
        <f t="shared" si="7"/>
        <v>86.240307790214786</v>
      </c>
      <c r="F192" s="116">
        <f t="shared" si="7"/>
        <v>55.303522702266562</v>
      </c>
      <c r="G192" s="116">
        <f t="shared" si="7"/>
        <v>78.684144591854718</v>
      </c>
      <c r="H192" s="116">
        <f t="shared" si="7"/>
        <v>88.99216482824481</v>
      </c>
      <c r="I192" s="116">
        <f t="shared" si="7"/>
        <v>85.676009258650737</v>
      </c>
      <c r="J192" s="116">
        <f t="shared" si="7"/>
        <v>88.262703352431345</v>
      </c>
      <c r="K192" s="116">
        <f t="shared" si="7"/>
        <v>36.90997332643164</v>
      </c>
    </row>
    <row r="193" spans="3:11" x14ac:dyDescent="0.2">
      <c r="C193" s="87" t="s">
        <v>133</v>
      </c>
      <c r="D193" s="47">
        <f t="shared" ref="D193:K202" si="8">+IFERROR(IF(D151&gt;0,+((D151/D25)*100)," "),"")</f>
        <v>95.494039452246255</v>
      </c>
      <c r="E193" s="47">
        <f t="shared" si="8"/>
        <v>95.439634719257143</v>
      </c>
      <c r="F193" s="47">
        <f t="shared" si="8"/>
        <v>92.427943598946754</v>
      </c>
      <c r="G193" s="47">
        <f t="shared" si="8"/>
        <v>95.202026853827391</v>
      </c>
      <c r="H193" s="47">
        <f t="shared" si="8"/>
        <v>95.488692550714205</v>
      </c>
      <c r="I193" s="47">
        <f t="shared" si="8"/>
        <v>93.875620181204766</v>
      </c>
      <c r="J193" s="47">
        <f t="shared" si="8"/>
        <v>93.874719426915959</v>
      </c>
      <c r="K193" s="47">
        <f t="shared" si="8"/>
        <v>42.336277372549894</v>
      </c>
    </row>
    <row r="194" spans="3:11" x14ac:dyDescent="0.2">
      <c r="C194" s="88" t="s">
        <v>134</v>
      </c>
      <c r="D194" s="116">
        <f t="shared" si="8"/>
        <v>91.551928455653936</v>
      </c>
      <c r="E194" s="116">
        <f t="shared" si="8"/>
        <v>41.927914153022513</v>
      </c>
      <c r="F194" s="116">
        <f t="shared" si="8"/>
        <v>81.884378874619642</v>
      </c>
      <c r="G194" s="116">
        <f t="shared" si="8"/>
        <v>83.643044759551259</v>
      </c>
      <c r="H194" s="116">
        <f t="shared" si="8"/>
        <v>89.49899948248769</v>
      </c>
      <c r="I194" s="116">
        <f t="shared" si="8"/>
        <v>74.153211824801872</v>
      </c>
      <c r="J194" s="116">
        <f t="shared" si="8"/>
        <v>74.665927952092005</v>
      </c>
      <c r="K194" s="116">
        <f t="shared" si="8"/>
        <v>27.367331097425591</v>
      </c>
    </row>
    <row r="195" spans="3:11" x14ac:dyDescent="0.2">
      <c r="C195" s="87" t="s">
        <v>135</v>
      </c>
      <c r="D195" s="47" t="str">
        <f t="shared" si="8"/>
        <v xml:space="preserve"> </v>
      </c>
      <c r="E195" s="47" t="str">
        <f t="shared" si="8"/>
        <v xml:space="preserve"> </v>
      </c>
      <c r="F195" s="47" t="str">
        <f t="shared" si="8"/>
        <v xml:space="preserve"> </v>
      </c>
      <c r="G195" s="47" t="str">
        <f t="shared" si="8"/>
        <v xml:space="preserve"> </v>
      </c>
      <c r="H195" s="47">
        <f t="shared" si="8"/>
        <v>0.58282805051800002</v>
      </c>
      <c r="I195" s="47">
        <f t="shared" si="8"/>
        <v>38.454044234865528</v>
      </c>
      <c r="J195" s="47">
        <f t="shared" si="8"/>
        <v>95.78547894744294</v>
      </c>
      <c r="K195" s="47">
        <f t="shared" si="8"/>
        <v>33.792412758211483</v>
      </c>
    </row>
    <row r="196" spans="3:11" x14ac:dyDescent="0.2">
      <c r="C196" s="88" t="s">
        <v>136</v>
      </c>
      <c r="D196" s="116">
        <f t="shared" si="8"/>
        <v>94.005180063801603</v>
      </c>
      <c r="E196" s="116">
        <f t="shared" si="8"/>
        <v>98.194119917175726</v>
      </c>
      <c r="F196" s="116">
        <f t="shared" si="8"/>
        <v>96.761404485400632</v>
      </c>
      <c r="G196" s="116">
        <f t="shared" si="8"/>
        <v>94.822658456773709</v>
      </c>
      <c r="H196" s="116">
        <f t="shared" si="8"/>
        <v>89.419575507987176</v>
      </c>
      <c r="I196" s="116">
        <f t="shared" si="8"/>
        <v>48.156513094105406</v>
      </c>
      <c r="J196" s="116">
        <f t="shared" si="8"/>
        <v>55.075238485409002</v>
      </c>
      <c r="K196" s="116">
        <f t="shared" si="8"/>
        <v>16.781754611432671</v>
      </c>
    </row>
    <row r="197" spans="3:11" x14ac:dyDescent="0.2">
      <c r="C197" s="87" t="s">
        <v>137</v>
      </c>
      <c r="D197" s="47">
        <f t="shared" si="8"/>
        <v>89.813585659809149</v>
      </c>
      <c r="E197" s="47">
        <f t="shared" si="8"/>
        <v>87.833181815619014</v>
      </c>
      <c r="F197" s="47">
        <f t="shared" si="8"/>
        <v>79.828795716891918</v>
      </c>
      <c r="G197" s="47">
        <f t="shared" si="8"/>
        <v>86.705489239882937</v>
      </c>
      <c r="H197" s="47">
        <f t="shared" si="8"/>
        <v>91.166245669205765</v>
      </c>
      <c r="I197" s="47">
        <f t="shared" si="8"/>
        <v>93.94301087298021</v>
      </c>
      <c r="J197" s="47">
        <f t="shared" si="8"/>
        <v>93.518580179334791</v>
      </c>
      <c r="K197" s="47">
        <f t="shared" si="8"/>
        <v>43.151685789545127</v>
      </c>
    </row>
    <row r="198" spans="3:11" x14ac:dyDescent="0.2">
      <c r="C198" s="88" t="s">
        <v>138</v>
      </c>
      <c r="D198" s="116">
        <f t="shared" si="8"/>
        <v>95.715796722991129</v>
      </c>
      <c r="E198" s="116">
        <f t="shared" si="8"/>
        <v>98.028113822928489</v>
      </c>
      <c r="F198" s="116">
        <f t="shared" si="8"/>
        <v>94.611263222058597</v>
      </c>
      <c r="G198" s="116">
        <f t="shared" si="8"/>
        <v>95.93883466240213</v>
      </c>
      <c r="H198" s="116">
        <f t="shared" si="8"/>
        <v>88.109589109918645</v>
      </c>
      <c r="I198" s="116">
        <f t="shared" si="8"/>
        <v>94.735834678813248</v>
      </c>
      <c r="J198" s="116">
        <f t="shared" si="8"/>
        <v>96.140341651529297</v>
      </c>
      <c r="K198" s="116">
        <f t="shared" si="8"/>
        <v>38.652918656318917</v>
      </c>
    </row>
    <row r="199" spans="3:11" x14ac:dyDescent="0.2">
      <c r="C199" s="87" t="s">
        <v>160</v>
      </c>
      <c r="D199" s="47">
        <f t="shared" si="8"/>
        <v>87.359674856080332</v>
      </c>
      <c r="E199" s="47">
        <f t="shared" si="8"/>
        <v>83.364710304259376</v>
      </c>
      <c r="F199" s="47">
        <f t="shared" si="8"/>
        <v>81.892458702706421</v>
      </c>
      <c r="G199" s="47">
        <f t="shared" si="8"/>
        <v>70.628601424082888</v>
      </c>
      <c r="H199" s="47">
        <f t="shared" si="8"/>
        <v>72.62674484034028</v>
      </c>
      <c r="I199" s="47">
        <f t="shared" si="8"/>
        <v>75.223850822082269</v>
      </c>
      <c r="J199" s="47">
        <f t="shared" si="8"/>
        <v>81.878302638074203</v>
      </c>
      <c r="K199" s="47">
        <f t="shared" si="8"/>
        <v>37.297282367365433</v>
      </c>
    </row>
    <row r="200" spans="3:11" x14ac:dyDescent="0.2">
      <c r="C200" s="88" t="s">
        <v>161</v>
      </c>
      <c r="D200" s="116">
        <f t="shared" si="8"/>
        <v>85.610130166903119</v>
      </c>
      <c r="E200" s="116">
        <f t="shared" si="8"/>
        <v>88.848935679876689</v>
      </c>
      <c r="F200" s="116">
        <f t="shared" si="8"/>
        <v>75.330491199255661</v>
      </c>
      <c r="G200" s="116">
        <f t="shared" si="8"/>
        <v>78.59948572388133</v>
      </c>
      <c r="H200" s="116">
        <f t="shared" si="8"/>
        <v>76.054035156249284</v>
      </c>
      <c r="I200" s="116">
        <f t="shared" si="8"/>
        <v>84.385127767276998</v>
      </c>
      <c r="J200" s="116">
        <f t="shared" si="8"/>
        <v>88.61795090241921</v>
      </c>
      <c r="K200" s="116">
        <f t="shared" si="8"/>
        <v>36.711931700986803</v>
      </c>
    </row>
    <row r="201" spans="3:11" x14ac:dyDescent="0.2">
      <c r="C201" s="87" t="s">
        <v>140</v>
      </c>
      <c r="D201" s="47">
        <f t="shared" si="8"/>
        <v>90.137513163211295</v>
      </c>
      <c r="E201" s="47">
        <f t="shared" si="8"/>
        <v>92.754932035555399</v>
      </c>
      <c r="F201" s="47">
        <f t="shared" si="8"/>
        <v>90.713773364794662</v>
      </c>
      <c r="G201" s="47">
        <f t="shared" si="8"/>
        <v>90.710712700233017</v>
      </c>
      <c r="H201" s="47">
        <f t="shared" si="8"/>
        <v>95.329254267489944</v>
      </c>
      <c r="I201" s="47">
        <f t="shared" si="8"/>
        <v>98.087283746266976</v>
      </c>
      <c r="J201" s="47">
        <f t="shared" si="8"/>
        <v>97.293620989876416</v>
      </c>
      <c r="K201" s="47">
        <f t="shared" si="8"/>
        <v>58.603169417719116</v>
      </c>
    </row>
    <row r="202" spans="3:11" x14ac:dyDescent="0.2">
      <c r="C202" s="88" t="s">
        <v>141</v>
      </c>
      <c r="D202" s="116">
        <f t="shared" si="8"/>
        <v>92.195798887946637</v>
      </c>
      <c r="E202" s="116">
        <f t="shared" si="8"/>
        <v>83.136738617310243</v>
      </c>
      <c r="F202" s="116">
        <f t="shared" si="8"/>
        <v>87.415157463861092</v>
      </c>
      <c r="G202" s="116">
        <f t="shared" si="8"/>
        <v>91.799391737764907</v>
      </c>
      <c r="H202" s="116">
        <f t="shared" si="8"/>
        <v>86.165382003404773</v>
      </c>
      <c r="I202" s="116">
        <f t="shared" si="8"/>
        <v>90.094140711935125</v>
      </c>
      <c r="J202" s="116">
        <f t="shared" si="8"/>
        <v>93.542512616200483</v>
      </c>
      <c r="K202" s="116">
        <f t="shared" si="8"/>
        <v>43.91845275793186</v>
      </c>
    </row>
    <row r="203" spans="3:11" x14ac:dyDescent="0.2">
      <c r="C203" s="87" t="s">
        <v>142</v>
      </c>
      <c r="D203" s="47">
        <f t="shared" ref="D203:K212" si="9">+IFERROR(IF(D161&gt;0,+((D161/D35)*100)," "),"")</f>
        <v>94.570673062323976</v>
      </c>
      <c r="E203" s="47">
        <f t="shared" si="9"/>
        <v>89.864523541697508</v>
      </c>
      <c r="F203" s="47">
        <f t="shared" si="9"/>
        <v>50.542846852616783</v>
      </c>
      <c r="G203" s="47">
        <f t="shared" si="9"/>
        <v>82.290666850880072</v>
      </c>
      <c r="H203" s="47">
        <f t="shared" si="9"/>
        <v>90.927499849848445</v>
      </c>
      <c r="I203" s="47">
        <f t="shared" si="9"/>
        <v>89.943609599400745</v>
      </c>
      <c r="J203" s="47">
        <f t="shared" si="9"/>
        <v>89.315650816496444</v>
      </c>
      <c r="K203" s="47">
        <f t="shared" si="9"/>
        <v>62.267652049460139</v>
      </c>
    </row>
    <row r="204" spans="3:11" x14ac:dyDescent="0.2">
      <c r="C204" s="88" t="s">
        <v>143</v>
      </c>
      <c r="D204" s="116">
        <f t="shared" si="9"/>
        <v>43.312205967694254</v>
      </c>
      <c r="E204" s="116">
        <f t="shared" si="9"/>
        <v>37.48554878268834</v>
      </c>
      <c r="F204" s="116">
        <f t="shared" si="9"/>
        <v>56.352603725664011</v>
      </c>
      <c r="G204" s="116">
        <f t="shared" si="9"/>
        <v>19.369423027084785</v>
      </c>
      <c r="H204" s="116">
        <f t="shared" si="9"/>
        <v>22.314070867560591</v>
      </c>
      <c r="I204" s="116">
        <f t="shared" si="9"/>
        <v>33.774696654023202</v>
      </c>
      <c r="J204" s="116">
        <f t="shared" si="9"/>
        <v>37.086238859915937</v>
      </c>
      <c r="K204" s="116">
        <f t="shared" si="9"/>
        <v>4.1579915173727162</v>
      </c>
    </row>
    <row r="205" spans="3:11" x14ac:dyDescent="0.2">
      <c r="C205" s="87" t="s">
        <v>144</v>
      </c>
      <c r="D205" s="47">
        <f t="shared" si="9"/>
        <v>95.68540732532017</v>
      </c>
      <c r="E205" s="47">
        <f t="shared" si="9"/>
        <v>93.808135668950868</v>
      </c>
      <c r="F205" s="47">
        <f t="shared" si="9"/>
        <v>94.312895963805843</v>
      </c>
      <c r="G205" s="47">
        <f t="shared" si="9"/>
        <v>94.936697701785846</v>
      </c>
      <c r="H205" s="47">
        <f t="shared" si="9"/>
        <v>87.317600501419591</v>
      </c>
      <c r="I205" s="47">
        <f t="shared" si="9"/>
        <v>93.526775975854491</v>
      </c>
      <c r="J205" s="47">
        <f t="shared" si="9"/>
        <v>92.649004564731229</v>
      </c>
      <c r="K205" s="47">
        <f t="shared" si="9"/>
        <v>42.367533193442306</v>
      </c>
    </row>
    <row r="206" spans="3:11" x14ac:dyDescent="0.2">
      <c r="C206" s="88" t="s">
        <v>145</v>
      </c>
      <c r="D206" s="116">
        <f t="shared" si="9"/>
        <v>92.349106444667569</v>
      </c>
      <c r="E206" s="116">
        <f t="shared" si="9"/>
        <v>93.124446907041843</v>
      </c>
      <c r="F206" s="116">
        <f t="shared" si="9"/>
        <v>85.559305990725846</v>
      </c>
      <c r="G206" s="116">
        <f t="shared" si="9"/>
        <v>92.983435877775008</v>
      </c>
      <c r="H206" s="116">
        <f t="shared" si="9"/>
        <v>79.485424570367613</v>
      </c>
      <c r="I206" s="116">
        <f t="shared" si="9"/>
        <v>58.649237372345638</v>
      </c>
      <c r="J206" s="116">
        <f t="shared" si="9"/>
        <v>72.840969602838911</v>
      </c>
      <c r="K206" s="116">
        <f t="shared" si="9"/>
        <v>30.126968920727908</v>
      </c>
    </row>
    <row r="207" spans="3:11" x14ac:dyDescent="0.2">
      <c r="C207" s="87" t="s">
        <v>146</v>
      </c>
      <c r="D207" s="47">
        <f t="shared" si="9"/>
        <v>94.881983624217483</v>
      </c>
      <c r="E207" s="47">
        <f t="shared" si="9"/>
        <v>85.03152692021402</v>
      </c>
      <c r="F207" s="47">
        <f t="shared" si="9"/>
        <v>91.887179788108611</v>
      </c>
      <c r="G207" s="47">
        <f t="shared" si="9"/>
        <v>95.038005784532658</v>
      </c>
      <c r="H207" s="47">
        <f t="shared" si="9"/>
        <v>93.113936739470077</v>
      </c>
      <c r="I207" s="47">
        <f t="shared" si="9"/>
        <v>92.229239203772835</v>
      </c>
      <c r="J207" s="47">
        <f t="shared" si="9"/>
        <v>92.209636201997171</v>
      </c>
      <c r="K207" s="47">
        <f t="shared" si="9"/>
        <v>44.380034879459735</v>
      </c>
    </row>
    <row r="208" spans="3:11" x14ac:dyDescent="0.2">
      <c r="C208" s="88" t="s">
        <v>162</v>
      </c>
      <c r="D208" s="116">
        <f t="shared" si="9"/>
        <v>99.461866238539983</v>
      </c>
      <c r="E208" s="116">
        <f t="shared" si="9"/>
        <v>97.366651153343369</v>
      </c>
      <c r="F208" s="116">
        <f t="shared" si="9"/>
        <v>99.288434268220399</v>
      </c>
      <c r="G208" s="116">
        <f t="shared" si="9"/>
        <v>99.713202593140323</v>
      </c>
      <c r="H208" s="116">
        <f t="shared" si="9"/>
        <v>93.978523467309458</v>
      </c>
      <c r="I208" s="116">
        <f t="shared" si="9"/>
        <v>95.707069402531729</v>
      </c>
      <c r="J208" s="116">
        <f t="shared" si="9"/>
        <v>97.815494977078316</v>
      </c>
      <c r="K208" s="116">
        <f t="shared" si="9"/>
        <v>46.66400619907121</v>
      </c>
    </row>
    <row r="209" spans="1:12" x14ac:dyDescent="0.2">
      <c r="C209" s="87" t="s">
        <v>148</v>
      </c>
      <c r="D209" s="47">
        <f t="shared" si="9"/>
        <v>93.532884578094311</v>
      </c>
      <c r="E209" s="47">
        <f t="shared" si="9"/>
        <v>96.250713518023375</v>
      </c>
      <c r="F209" s="47">
        <f t="shared" si="9"/>
        <v>96.946058776895228</v>
      </c>
      <c r="G209" s="47">
        <f t="shared" si="9"/>
        <v>98.138786431149157</v>
      </c>
      <c r="H209" s="47">
        <f t="shared" si="9"/>
        <v>89.563425353192017</v>
      </c>
      <c r="I209" s="47">
        <f t="shared" si="9"/>
        <v>95.883189940933946</v>
      </c>
      <c r="J209" s="47">
        <f t="shared" si="9"/>
        <v>91.337649622033013</v>
      </c>
      <c r="K209" s="47">
        <f t="shared" si="9"/>
        <v>48.190880302031616</v>
      </c>
    </row>
    <row r="210" spans="1:12" x14ac:dyDescent="0.2">
      <c r="C210" s="88" t="s">
        <v>149</v>
      </c>
      <c r="D210" s="116">
        <f t="shared" si="9"/>
        <v>93.516921897124334</v>
      </c>
      <c r="E210" s="116">
        <f t="shared" si="9"/>
        <v>96.270065448082619</v>
      </c>
      <c r="F210" s="116">
        <f t="shared" si="9"/>
        <v>82.470647590702072</v>
      </c>
      <c r="G210" s="116">
        <f t="shared" si="9"/>
        <v>84.051994864798459</v>
      </c>
      <c r="H210" s="116">
        <f t="shared" si="9"/>
        <v>94.975375203629937</v>
      </c>
      <c r="I210" s="116">
        <f t="shared" si="9"/>
        <v>94.201310503618402</v>
      </c>
      <c r="J210" s="116">
        <f t="shared" si="9"/>
        <v>80.891045629743019</v>
      </c>
      <c r="K210" s="116">
        <f t="shared" si="9"/>
        <v>66.304016277803882</v>
      </c>
    </row>
    <row r="211" spans="1:12" x14ac:dyDescent="0.2">
      <c r="C211" s="87" t="s">
        <v>163</v>
      </c>
      <c r="D211" s="47">
        <f t="shared" si="9"/>
        <v>79.806128836459365</v>
      </c>
      <c r="E211" s="47">
        <f t="shared" si="9"/>
        <v>86.240887971782058</v>
      </c>
      <c r="F211" s="47">
        <f t="shared" si="9"/>
        <v>94.018582470478776</v>
      </c>
      <c r="G211" s="47">
        <f t="shared" si="9"/>
        <v>60.796814545316522</v>
      </c>
      <c r="H211" s="47">
        <f t="shared" si="9"/>
        <v>75.383695362668547</v>
      </c>
      <c r="I211" s="47">
        <f t="shared" si="9"/>
        <v>80.134855210650684</v>
      </c>
      <c r="J211" s="47">
        <f t="shared" si="9"/>
        <v>85.84161618759309</v>
      </c>
      <c r="K211" s="47">
        <f t="shared" si="9"/>
        <v>35.347343873461909</v>
      </c>
    </row>
    <row r="212" spans="1:12" x14ac:dyDescent="0.2">
      <c r="C212" s="88" t="s">
        <v>150</v>
      </c>
      <c r="D212" s="116">
        <f t="shared" si="9"/>
        <v>92.032341522744858</v>
      </c>
      <c r="E212" s="116">
        <f t="shared" si="9"/>
        <v>91.144756398755419</v>
      </c>
      <c r="F212" s="116">
        <f t="shared" si="9"/>
        <v>84.250722317047817</v>
      </c>
      <c r="G212" s="116">
        <f t="shared" si="9"/>
        <v>85.460756364955714</v>
      </c>
      <c r="H212" s="116">
        <f t="shared" si="9"/>
        <v>86.21824682463064</v>
      </c>
      <c r="I212" s="116">
        <f t="shared" si="9"/>
        <v>81.767328283335189</v>
      </c>
      <c r="J212" s="116">
        <f t="shared" si="9"/>
        <v>92.726110562471519</v>
      </c>
      <c r="K212" s="116">
        <f t="shared" si="9"/>
        <v>44.116084550424908</v>
      </c>
    </row>
    <row r="213" spans="1:12" x14ac:dyDescent="0.2">
      <c r="C213" s="87" t="s">
        <v>151</v>
      </c>
      <c r="D213" s="47">
        <f t="shared" ref="D213:K214" si="10">+IFERROR(IF(D171&gt;0,+((D171/D45)*100)," "),"")</f>
        <v>99.56793011914543</v>
      </c>
      <c r="E213" s="47">
        <f t="shared" si="10"/>
        <v>98.639315522602161</v>
      </c>
      <c r="F213" s="47">
        <f t="shared" si="10"/>
        <v>99.258780807990917</v>
      </c>
      <c r="G213" s="47">
        <f t="shared" si="10"/>
        <v>99.698220975307194</v>
      </c>
      <c r="H213" s="47">
        <f t="shared" si="10"/>
        <v>99.404395731704881</v>
      </c>
      <c r="I213" s="47">
        <f t="shared" si="10"/>
        <v>99.522863946330318</v>
      </c>
      <c r="J213" s="47">
        <f t="shared" si="10"/>
        <v>99.76784442537766</v>
      </c>
      <c r="K213" s="47">
        <f t="shared" si="10"/>
        <v>46.570999770974076</v>
      </c>
    </row>
    <row r="214" spans="1:12" x14ac:dyDescent="0.2">
      <c r="C214" s="91" t="s">
        <v>179</v>
      </c>
      <c r="D214" s="64">
        <f t="shared" si="10"/>
        <v>94.298409362867247</v>
      </c>
      <c r="E214" s="64">
        <f t="shared" si="10"/>
        <v>84.368334150482141</v>
      </c>
      <c r="F214" s="64">
        <f t="shared" si="10"/>
        <v>93.430412339415554</v>
      </c>
      <c r="G214" s="64">
        <f t="shared" si="10"/>
        <v>89.018520366539434</v>
      </c>
      <c r="H214" s="64">
        <f t="shared" si="10"/>
        <v>90.369362550806827</v>
      </c>
      <c r="I214" s="64">
        <f t="shared" si="10"/>
        <v>89.722654158756072</v>
      </c>
      <c r="J214" s="64">
        <f t="shared" si="10"/>
        <v>91.883546064464895</v>
      </c>
      <c r="K214" s="64">
        <f t="shared" si="10"/>
        <v>41.829965454928512</v>
      </c>
    </row>
    <row r="215" spans="1:12" s="31" customFormat="1" x14ac:dyDescent="0.2">
      <c r="A215" s="5"/>
      <c r="B215" s="5"/>
      <c r="C215" s="72" t="str">
        <f>+'C1 Aprop Resumen 2000-2026'!B20</f>
        <v>* Información con corte a 30 de Junio</v>
      </c>
      <c r="D215" s="47"/>
      <c r="E215" s="47"/>
      <c r="F215" s="47"/>
      <c r="G215" s="47"/>
      <c r="H215" s="47"/>
      <c r="I215" s="47"/>
    </row>
    <row r="216" spans="1:12" x14ac:dyDescent="0.2">
      <c r="C216" s="1" t="s">
        <v>52</v>
      </c>
      <c r="D216" s="11"/>
      <c r="E216" s="11"/>
      <c r="F216" s="11"/>
    </row>
    <row r="217" spans="1:12" x14ac:dyDescent="0.2">
      <c r="E217" s="3"/>
      <c r="F217" s="3"/>
    </row>
    <row r="218" spans="1:12" x14ac:dyDescent="0.2">
      <c r="E218" s="3"/>
      <c r="F218" s="3"/>
    </row>
    <row r="219" spans="1:12" x14ac:dyDescent="0.2">
      <c r="E219" s="3"/>
      <c r="F219" s="3"/>
    </row>
    <row r="220" spans="1:12" ht="18" customHeight="1" x14ac:dyDescent="0.2">
      <c r="D220" s="164" t="s">
        <v>184</v>
      </c>
      <c r="E220" s="182"/>
      <c r="F220" s="182"/>
      <c r="G220" s="182"/>
      <c r="H220" s="182"/>
      <c r="I220" s="182"/>
      <c r="J220" s="182"/>
      <c r="K220" s="182"/>
      <c r="L220" s="182"/>
    </row>
    <row r="221" spans="1:12" ht="15.75" customHeight="1" x14ac:dyDescent="0.2">
      <c r="C221" s="2"/>
      <c r="D221" s="2"/>
      <c r="E221" s="2"/>
      <c r="F221" s="2"/>
      <c r="G221" s="2"/>
      <c r="H221" s="2"/>
      <c r="I221" s="2"/>
    </row>
    <row r="222" spans="1:12" x14ac:dyDescent="0.2">
      <c r="C222" s="181" t="s">
        <v>120</v>
      </c>
      <c r="D222" s="155">
        <v>2019</v>
      </c>
      <c r="E222" s="155">
        <v>2020</v>
      </c>
      <c r="F222" s="155">
        <v>2021</v>
      </c>
      <c r="G222" s="155">
        <v>2022</v>
      </c>
      <c r="H222" s="155">
        <v>2023</v>
      </c>
      <c r="I222" s="155">
        <v>2024</v>
      </c>
      <c r="J222" s="155" t="s">
        <v>187</v>
      </c>
      <c r="K222" s="155" t="s">
        <v>36</v>
      </c>
    </row>
    <row r="223" spans="1:12" ht="12" customHeight="1" thickBot="1" x14ac:dyDescent="0.25">
      <c r="C223" s="162"/>
      <c r="D223" s="156"/>
      <c r="E223" s="156"/>
      <c r="F223" s="156"/>
      <c r="G223" s="156"/>
      <c r="H223" s="156"/>
      <c r="I223" s="156"/>
      <c r="J223" s="156"/>
      <c r="K223" s="156"/>
    </row>
    <row r="224" spans="1:12" x14ac:dyDescent="0.2">
      <c r="C224" s="87" t="s">
        <v>123</v>
      </c>
      <c r="D224" s="42">
        <f>550.66712649648*Deflactores!$T$5</f>
        <v>856.47718580153537</v>
      </c>
      <c r="E224" s="42">
        <f>582.83199641832*Deflactores!$U$5</f>
        <v>892.14117225310201</v>
      </c>
      <c r="F224" s="42">
        <f>591.21613086241*Deflactores!$V$5</f>
        <v>856.82140715017204</v>
      </c>
      <c r="G224" s="42">
        <f>699.708013949029*Deflactores!$W$5</f>
        <v>896.44053309344679</v>
      </c>
      <c r="H224" s="42">
        <f>709.416547443719*Deflactores!$X$5</f>
        <v>831.69724939080584</v>
      </c>
      <c r="I224" s="42">
        <f>813.34995926858*Deflactores!$Y$5</f>
        <v>906.41202866245089</v>
      </c>
      <c r="J224" s="42">
        <f>784.50911376031*Deflactores!$Z$5</f>
        <v>831.83899060700435</v>
      </c>
      <c r="K224" s="42">
        <f>502.893346190399*Deflactores!$AA$5</f>
        <v>502.89334619039897</v>
      </c>
      <c r="L224" s="14"/>
    </row>
    <row r="225" spans="3:12" x14ac:dyDescent="0.2">
      <c r="C225" s="88" t="s">
        <v>124</v>
      </c>
      <c r="D225" s="50">
        <f>302.00651647512*Deflactores!$T$5</f>
        <v>469.7242288095606</v>
      </c>
      <c r="E225" s="50">
        <f>334.524774583969*Deflactores!$U$5</f>
        <v>512.05720752990885</v>
      </c>
      <c r="F225" s="50">
        <f>385.9339369024*Deflactores!$V$5</f>
        <v>559.31569120308109</v>
      </c>
      <c r="G225" s="50">
        <f>410.66203359347*Deflactores!$W$5</f>
        <v>526.12530509417081</v>
      </c>
      <c r="H225" s="50">
        <f>487.78865783487*Deflactores!$X$5</f>
        <v>571.86780667458231</v>
      </c>
      <c r="I225" s="50">
        <f>578.00278915885*Deflactores!$Y$5</f>
        <v>644.1368499792668</v>
      </c>
      <c r="J225" s="50">
        <f>767.11884690793*Deflactores!$Z$5</f>
        <v>813.39955915727626</v>
      </c>
      <c r="K225" s="50">
        <f>380.28301718079*Deflactores!$AA$5</f>
        <v>380.28301718079001</v>
      </c>
      <c r="L225" s="14"/>
    </row>
    <row r="226" spans="3:12" x14ac:dyDescent="0.2">
      <c r="C226" s="87" t="s">
        <v>125</v>
      </c>
      <c r="D226" s="42">
        <f>22.25149053408*Deflactores!$T$5</f>
        <v>34.608737430488624</v>
      </c>
      <c r="E226" s="42">
        <f>21.95107669705*Deflactores!$U$5</f>
        <v>33.600521963567978</v>
      </c>
      <c r="F226" s="42">
        <f>24.25307473745*Deflactores!$V$5</f>
        <v>35.148827204608743</v>
      </c>
      <c r="G226" s="42">
        <f>23.96039671316*Deflactores!$W$5</f>
        <v>30.697191363368162</v>
      </c>
      <c r="H226" s="42">
        <f>25.56892056175*Deflactores!$X$5</f>
        <v>29.976183918639965</v>
      </c>
      <c r="I226" s="42">
        <f>25.32357174979*Deflactores!$Y$5</f>
        <v>28.221050214778057</v>
      </c>
      <c r="J226" s="42">
        <f>23.99464129079*Deflactores!$Z$5</f>
        <v>25.442251519089623</v>
      </c>
      <c r="K226" s="42">
        <f>9.63141430279*Deflactores!$AA$5</f>
        <v>9.6314143027900005</v>
      </c>
      <c r="L226" s="14"/>
    </row>
    <row r="227" spans="3:12" x14ac:dyDescent="0.2">
      <c r="C227" s="88" t="s">
        <v>126</v>
      </c>
      <c r="D227" s="50">
        <f>598.31926147892*Deflactores!$T$5</f>
        <v>930.5926804504719</v>
      </c>
      <c r="E227" s="50">
        <f>674.56375690688*Deflactores!$U$5</f>
        <v>1032.55501507234</v>
      </c>
      <c r="F227" s="50">
        <f>623.683508732549*Deflactores!$V$5</f>
        <v>903.874833031143</v>
      </c>
      <c r="G227" s="50">
        <f>639.24594569026*Deflactores!$W$5</f>
        <v>818.97872385115397</v>
      </c>
      <c r="H227" s="50">
        <f>735.5223724059*Deflactores!$X$5</f>
        <v>862.3028828403784</v>
      </c>
      <c r="I227" s="50">
        <f>843.75795774866*Deflactores!$Y$5</f>
        <v>940.29925675634524</v>
      </c>
      <c r="J227" s="50">
        <f>938.28302413873*Deflactores!$Z$5</f>
        <v>994.89016763891141</v>
      </c>
      <c r="K227" s="50">
        <f>474.30192283852*Deflactores!$AA$5</f>
        <v>474.30192283852</v>
      </c>
      <c r="L227" s="14"/>
    </row>
    <row r="228" spans="3:12" x14ac:dyDescent="0.2">
      <c r="C228" s="87" t="s">
        <v>127</v>
      </c>
      <c r="D228" s="42">
        <f>534.54812548138*Deflactores!$T$5</f>
        <v>831.40658332126691</v>
      </c>
      <c r="E228" s="42">
        <f>574.04592685615*Deflactores!$U$5</f>
        <v>878.69233202665407</v>
      </c>
      <c r="F228" s="42">
        <f>619.06556045522*Deflactores!$V$5</f>
        <v>897.18226032451537</v>
      </c>
      <c r="G228" s="42">
        <f>722.313306968599*Deflactores!$W$5</f>
        <v>925.40161474639058</v>
      </c>
      <c r="H228" s="42">
        <f>853.21862736429*Deflactores!$X$5</f>
        <v>1000.2862042968853</v>
      </c>
      <c r="I228" s="42">
        <f>956.774522803159*Deflactores!$Y$5</f>
        <v>1066.2469780737852</v>
      </c>
      <c r="J228" s="42">
        <f>1096.79041804132*Deflactores!$Z$5</f>
        <v>1162.9604019229737</v>
      </c>
      <c r="K228" s="42">
        <f>610.96041131263*Deflactores!$AA$5</f>
        <v>610.96041131262996</v>
      </c>
      <c r="L228" s="14"/>
    </row>
    <row r="229" spans="3:12" x14ac:dyDescent="0.2">
      <c r="C229" s="88" t="s">
        <v>128</v>
      </c>
      <c r="D229" s="50">
        <f>229.974579602719*Deflactores!$T$5</f>
        <v>357.68973898478578</v>
      </c>
      <c r="E229" s="50">
        <f>228.951644979519*Deflactores!$U$5</f>
        <v>350.45637541611762</v>
      </c>
      <c r="F229" s="50">
        <f>200.84353147442*Deflactores!$V$5</f>
        <v>291.07297360763511</v>
      </c>
      <c r="G229" s="50">
        <f>182.57472450534*Deflactores!$W$5</f>
        <v>233.90811610295304</v>
      </c>
      <c r="H229" s="50">
        <f>273.8755099897*Deflactores!$X$5</f>
        <v>321.08288022701998</v>
      </c>
      <c r="I229" s="50">
        <f>302.89218979829*Deflactores!$Y$5</f>
        <v>337.54858052488248</v>
      </c>
      <c r="J229" s="50">
        <f>310.13891886897*Deflactores!$Z$5</f>
        <v>328.84977458494336</v>
      </c>
      <c r="K229" s="50">
        <f>188.79097541004*Deflactores!$AA$5</f>
        <v>188.79097541004001</v>
      </c>
      <c r="L229" s="14"/>
    </row>
    <row r="230" spans="3:12" x14ac:dyDescent="0.2">
      <c r="C230" s="87" t="s">
        <v>129</v>
      </c>
      <c r="D230" s="42">
        <f>31303.726877375*Deflactores!$T$5</f>
        <v>48688.085071672438</v>
      </c>
      <c r="E230" s="42">
        <f>33064.3119085846*Deflactores!$U$5</f>
        <v>50611.555589159922</v>
      </c>
      <c r="F230" s="42">
        <f>34908.722829742*Deflactores!$V$5</f>
        <v>50591.550966588511</v>
      </c>
      <c r="G230" s="42">
        <f>38674.0689622985*Deflactores!$W$5</f>
        <v>49547.814668849991</v>
      </c>
      <c r="H230" s="42">
        <f>43636.233539055*Deflactores!$X$5</f>
        <v>51157.72325720395</v>
      </c>
      <c r="I230" s="42">
        <f>48719.9393392468*Deflactores!$Y$5</f>
        <v>54294.388964511956</v>
      </c>
      <c r="J230" s="42">
        <f>54290.5060244459*Deflactores!$Z$5</f>
        <v>57565.882841632018</v>
      </c>
      <c r="K230" s="42">
        <f>27027.8054712599*Deflactores!$AA$5</f>
        <v>27027.805471259901</v>
      </c>
      <c r="L230" s="14"/>
    </row>
    <row r="231" spans="3:12" x14ac:dyDescent="0.2">
      <c r="C231" s="88" t="s">
        <v>130</v>
      </c>
      <c r="D231" s="50">
        <f>35.19635672401*Deflactores!$T$5</f>
        <v>54.74246619593648</v>
      </c>
      <c r="E231" s="50">
        <f>37.52763321301*Deflactores!$U$5</f>
        <v>57.443563312041277</v>
      </c>
      <c r="F231" s="50">
        <f>35.65260900663*Deflactores!$V$5</f>
        <v>51.669629807081229</v>
      </c>
      <c r="G231" s="50">
        <f>48.6718256948099*Deflactores!$W$5</f>
        <v>62.356578033512534</v>
      </c>
      <c r="H231" s="50">
        <f>47.58309044185*Deflactores!$X$5</f>
        <v>55.784891937751446</v>
      </c>
      <c r="I231" s="50">
        <f>60.11913009778*Deflactores!$Y$5</f>
        <v>66.997855046742913</v>
      </c>
      <c r="J231" s="50">
        <f>44.59167876021*Deflactores!$Z$5</f>
        <v>47.281919863964625</v>
      </c>
      <c r="K231" s="50">
        <f>23.0729912438099*Deflactores!$AA$5</f>
        <v>23.072991243809899</v>
      </c>
      <c r="L231" s="14"/>
    </row>
    <row r="232" spans="3:12" x14ac:dyDescent="0.2">
      <c r="C232" s="87" t="s">
        <v>131</v>
      </c>
      <c r="D232" s="42">
        <f>37374.6389102855*Deflactores!$T$5</f>
        <v>58130.445806509408</v>
      </c>
      <c r="E232" s="42">
        <f>40601.9440362689*Deflactores!$U$5</f>
        <v>62149.412130547193</v>
      </c>
      <c r="F232" s="42">
        <f>43204.3925396314*Deflactores!$V$5</f>
        <v>62614.070351694179</v>
      </c>
      <c r="G232" s="42">
        <f>44173.5040483049*Deflactores!$W$5</f>
        <v>56593.491468217777</v>
      </c>
      <c r="H232" s="42">
        <f>51123.1574022098*Deflactores!$X$5</f>
        <v>59935.153112515065</v>
      </c>
      <c r="I232" s="42">
        <f>61827.2106177621*Deflactores!$Y$5</f>
        <v>68901.371130555184</v>
      </c>
      <c r="J232" s="42">
        <f>71901.5484214835*Deflactores!$Z$5</f>
        <v>76239.409349017849</v>
      </c>
      <c r="K232" s="42">
        <f>39511.4150416286*Deflactores!$AA$5</f>
        <v>39511.415041628599</v>
      </c>
      <c r="L232" s="14"/>
    </row>
    <row r="233" spans="3:12" x14ac:dyDescent="0.2">
      <c r="C233" s="88" t="s">
        <v>132</v>
      </c>
      <c r="D233" s="50">
        <f>77.32665713347*Deflactores!$T$5</f>
        <v>120.26960481640073</v>
      </c>
      <c r="E233" s="50">
        <f>76.7354875896*Deflactores!$U$5</f>
        <v>117.45904183761324</v>
      </c>
      <c r="F233" s="50">
        <f>91.5847407433399*Deflactores!$V$5</f>
        <v>132.72940696446327</v>
      </c>
      <c r="G233" s="50">
        <f>136.89238026433*Deflactores!$W$5</f>
        <v>175.38155329678159</v>
      </c>
      <c r="H233" s="50">
        <f>160.018942383669*Deflactores!$X$5</f>
        <v>187.60108530099058</v>
      </c>
      <c r="I233" s="50">
        <f>177.04966258538*Deflactores!$Y$5</f>
        <v>197.30737305542041</v>
      </c>
      <c r="J233" s="50">
        <f>195.275979377269*Deflactores!$Z$5</f>
        <v>207.05708923683858</v>
      </c>
      <c r="K233" s="50">
        <f>88.50071087779*Deflactores!$AA$5</f>
        <v>88.500710877789999</v>
      </c>
      <c r="L233" s="14"/>
    </row>
    <row r="234" spans="3:12" x14ac:dyDescent="0.2">
      <c r="C234" s="87" t="s">
        <v>133</v>
      </c>
      <c r="D234" s="42">
        <f>3529.18318391437*Deflactores!$T$5</f>
        <v>5489.0962908358824</v>
      </c>
      <c r="E234" s="42">
        <f>3649.9688496191*Deflactores!$U$5</f>
        <v>5587.00879189435</v>
      </c>
      <c r="F234" s="42">
        <f>3970.85956631971*Deflactores!$V$5</f>
        <v>5754.7778276056133</v>
      </c>
      <c r="G234" s="42">
        <f>4349.09429101342*Deflactores!$W$5</f>
        <v>5571.9018890553134</v>
      </c>
      <c r="H234" s="42">
        <f>4981.16824919831*Deflactores!$X$5</f>
        <v>5839.7621912529721</v>
      </c>
      <c r="I234" s="42">
        <f>5404.48892685839*Deflactores!$Y$5</f>
        <v>6022.8610283360767</v>
      </c>
      <c r="J234" s="42">
        <f>6108.36931515902*Deflactores!$Z$5</f>
        <v>6476.8906775621263</v>
      </c>
      <c r="K234" s="42">
        <f>2865.81688634853*Deflactores!$AA$5</f>
        <v>2865.8168863485298</v>
      </c>
      <c r="L234" s="14"/>
    </row>
    <row r="235" spans="3:12" x14ac:dyDescent="0.2">
      <c r="C235" s="88" t="s">
        <v>134</v>
      </c>
      <c r="D235" s="50">
        <f>7947.52274427015*Deflactores!$T$5</f>
        <v>12361.137221707213</v>
      </c>
      <c r="E235" s="50">
        <f>16337.5069694785*Deflactores!$U$5</f>
        <v>25007.828514930221</v>
      </c>
      <c r="F235" s="50">
        <f>17882.5317187254*Deflactores!$V$5</f>
        <v>25916.302331425573</v>
      </c>
      <c r="G235" s="50">
        <f>13086.6686943021*Deflactores!$W$5</f>
        <v>16766.165353069806</v>
      </c>
      <c r="H235" s="50">
        <f>32963.6199437911*Deflactores!$X$5</f>
        <v>38645.492744712123</v>
      </c>
      <c r="I235" s="50">
        <f>21875.9784449936*Deflactores!$Y$5</f>
        <v>24378.989357956048</v>
      </c>
      <c r="J235" s="50">
        <f>16532.4570809773*Deflactores!$Z$5</f>
        <v>17529.869531503638</v>
      </c>
      <c r="K235" s="50">
        <f>7679.45115762548*Deflactores!$AA$5</f>
        <v>7679.4511576254799</v>
      </c>
      <c r="L235" s="14"/>
    </row>
    <row r="236" spans="3:12" x14ac:dyDescent="0.2">
      <c r="C236" s="87" t="s">
        <v>135</v>
      </c>
      <c r="D236" s="42">
        <f>0*Deflactores!$T$5</f>
        <v>0</v>
      </c>
      <c r="E236" s="42">
        <f>0*Deflactores!$U$5</f>
        <v>0</v>
      </c>
      <c r="F236" s="42">
        <f>0*Deflactores!$V$5</f>
        <v>0</v>
      </c>
      <c r="G236" s="42">
        <f>0*Deflactores!$W$5</f>
        <v>0</v>
      </c>
      <c r="H236" s="42">
        <f>2.127776892*Deflactores!$X$5</f>
        <v>2.4945375108185122</v>
      </c>
      <c r="I236" s="42">
        <f>939.076347601489*Deflactores!$Y$5</f>
        <v>1046.5238088458736</v>
      </c>
      <c r="J236" s="42">
        <f>1202.6834153551*Deflactores!$Z$5</f>
        <v>1275.2419834276566</v>
      </c>
      <c r="K236" s="42">
        <f>548.15460383858*Deflactores!$AA$5</f>
        <v>548.15460383857999</v>
      </c>
      <c r="L236" s="14"/>
    </row>
    <row r="237" spans="3:12" x14ac:dyDescent="0.2">
      <c r="C237" s="88" t="s">
        <v>136</v>
      </c>
      <c r="D237" s="50">
        <f>1388.02835020398*Deflactores!$T$5</f>
        <v>2158.8625105679916</v>
      </c>
      <c r="E237" s="50">
        <f>7369.59242845061*Deflactores!$U$5</f>
        <v>11280.638105919283</v>
      </c>
      <c r="F237" s="50">
        <f>9176.99087415286*Deflactores!$V$5</f>
        <v>13299.776213355479</v>
      </c>
      <c r="G237" s="50">
        <f>1562.55292323179*Deflactores!$W$5</f>
        <v>2001.8861404532486</v>
      </c>
      <c r="H237" s="50">
        <f>1855.10332746871*Deflactores!$X$5</f>
        <v>2174.863752968577</v>
      </c>
      <c r="I237" s="50">
        <f>1089.4495620064*Deflactores!$Y$5</f>
        <v>1214.1024615181125</v>
      </c>
      <c r="J237" s="50">
        <f>1140.5491932095*Deflactores!$Z$5</f>
        <v>1209.3591686519208</v>
      </c>
      <c r="K237" s="50">
        <f>329.46159474962*Deflactores!$AA$5</f>
        <v>329.46159474962002</v>
      </c>
      <c r="L237" s="14"/>
    </row>
    <row r="238" spans="3:12" x14ac:dyDescent="0.2">
      <c r="C238" s="87" t="s">
        <v>137</v>
      </c>
      <c r="D238" s="42">
        <f>142.2682397831*Deflactores!$T$5</f>
        <v>221.27614991948573</v>
      </c>
      <c r="E238" s="42">
        <f>147.29471016858*Deflactores!$U$5</f>
        <v>225.46407232962159</v>
      </c>
      <c r="F238" s="42">
        <f>151.88497884683*Deflactores!$V$5</f>
        <v>220.11967283551886</v>
      </c>
      <c r="G238" s="42">
        <f>172.50483227118*Deflactores!$W$5</f>
        <v>221.00693534951733</v>
      </c>
      <c r="H238" s="42">
        <f>204.96641317379*Deflactores!$X$5</f>
        <v>240.29606113418811</v>
      </c>
      <c r="I238" s="42">
        <f>233.55035319239*Deflactores!$Y$5</f>
        <v>260.27277313976242</v>
      </c>
      <c r="J238" s="42">
        <f>256.002497180859*Deflactores!$Z$5</f>
        <v>271.44727207447255</v>
      </c>
      <c r="K238" s="42">
        <f>133.356805196829*Deflactores!$AA$5</f>
        <v>133.35680519682899</v>
      </c>
      <c r="L238" s="14"/>
    </row>
    <row r="239" spans="3:12" x14ac:dyDescent="0.2">
      <c r="C239" s="88" t="s">
        <v>138</v>
      </c>
      <c r="D239" s="50">
        <f>86.1550347765099*Deflactores!$T$5</f>
        <v>134.0007750190083</v>
      </c>
      <c r="E239" s="50">
        <f>90.77501368117*Deflactores!$U$5</f>
        <v>138.94935009485147</v>
      </c>
      <c r="F239" s="50">
        <f>103.43565574278*Deflactores!$V$5</f>
        <v>149.90437418165587</v>
      </c>
      <c r="G239" s="50">
        <f>97.92361061966*Deflactores!$W$5</f>
        <v>125.45617880077295</v>
      </c>
      <c r="H239" s="50">
        <f>101.14452172284*Deflactores!$X$5</f>
        <v>118.57859928832342</v>
      </c>
      <c r="I239" s="50">
        <f>121.15914611053*Deflactores!$Y$5</f>
        <v>135.02196215244612</v>
      </c>
      <c r="J239" s="50">
        <f>135.22252019535*Deflactores!$Z$5</f>
        <v>143.38057102674028</v>
      </c>
      <c r="K239" s="50">
        <f>59.72010359831*Deflactores!$AA$5</f>
        <v>59.720103598309997</v>
      </c>
      <c r="L239" s="14"/>
    </row>
    <row r="240" spans="3:12" x14ac:dyDescent="0.2">
      <c r="C240" s="87" t="s">
        <v>160</v>
      </c>
      <c r="D240" s="42">
        <f>1122.0618064631*Deflactores!$T$5</f>
        <v>1745.1928616280784</v>
      </c>
      <c r="E240" s="42">
        <f>1313.12609290395*Deflactores!$U$5</f>
        <v>2010.0026406213999</v>
      </c>
      <c r="F240" s="42">
        <f>1520.99906983797*Deflactores!$V$5</f>
        <v>2204.3115795769168</v>
      </c>
      <c r="G240" s="42">
        <f>1681.42012023929*Deflactores!$W$5</f>
        <v>2154.1744826309177</v>
      </c>
      <c r="H240" s="42">
        <f>2093.91197580753*Deflactores!$X$5</f>
        <v>2454.8353672054018</v>
      </c>
      <c r="I240" s="42">
        <f>2669.07114421047*Deflactores!$Y$5</f>
        <v>2974.4615622084762</v>
      </c>
      <c r="J240" s="42">
        <f>3247.75416769551*Deflactores!$Z$5</f>
        <v>3443.6930065046299</v>
      </c>
      <c r="K240" s="42">
        <f>1541.54943649516*Deflactores!$AA$5</f>
        <v>1541.5494364951601</v>
      </c>
      <c r="L240" s="14"/>
    </row>
    <row r="241" spans="1:12" x14ac:dyDescent="0.2">
      <c r="C241" s="88" t="s">
        <v>161</v>
      </c>
      <c r="D241" s="50">
        <f>2022.7450143203*Deflactores!$T$5</f>
        <v>3146.0656975865636</v>
      </c>
      <c r="E241" s="50">
        <f>2244.58470187636*Deflactores!$U$5</f>
        <v>3435.7867094793078</v>
      </c>
      <c r="F241" s="50">
        <f>2243.56615114411*Deflactores!$V$5</f>
        <v>3251.4936692503147</v>
      </c>
      <c r="G241" s="50">
        <f>2528.83674847668*Deflactores!$W$5</f>
        <v>3239.853935810248</v>
      </c>
      <c r="H241" s="50">
        <f>2954.12009791699*Deflactores!$X$5</f>
        <v>3463.3158313840677</v>
      </c>
      <c r="I241" s="50">
        <f>3524.34347524794*Deflactores!$Y$5</f>
        <v>3927.5926465595176</v>
      </c>
      <c r="J241" s="50">
        <f>3851.92619342908*Deflactores!$Z$5</f>
        <v>4084.3150709574752</v>
      </c>
      <c r="K241" s="50">
        <f>1770.88218009958*Deflactores!$AA$5</f>
        <v>1770.88218009958</v>
      </c>
      <c r="L241" s="14"/>
    </row>
    <row r="242" spans="1:12" x14ac:dyDescent="0.2">
      <c r="C242" s="87" t="s">
        <v>140</v>
      </c>
      <c r="D242" s="42">
        <f>611.13921542121*Deflactores!$T$5</f>
        <v>950.53212761605096</v>
      </c>
      <c r="E242" s="42">
        <f>1113.06667943966*Deflactores!$U$5</f>
        <v>1703.7716156517326</v>
      </c>
      <c r="F242" s="42">
        <f>1145.32869003176*Deflactores!$V$5</f>
        <v>1659.8703733116806</v>
      </c>
      <c r="G242" s="42">
        <f>902.20661466711*Deflactores!$W$5</f>
        <v>1155.8743968759718</v>
      </c>
      <c r="H242" s="42">
        <f>1686.08437847115*Deflactores!$X$5</f>
        <v>1976.7113480342286</v>
      </c>
      <c r="I242" s="42">
        <f>4402.49664406245*Deflactores!$Y$5</f>
        <v>4906.2225538349903</v>
      </c>
      <c r="J242" s="42">
        <f>3635.0857275211*Deflactores!$Z$5</f>
        <v>3854.3924975675163</v>
      </c>
      <c r="K242" s="42">
        <f>1896.65535247416*Deflactores!$AA$5</f>
        <v>1896.6553524741601</v>
      </c>
      <c r="L242" s="14"/>
    </row>
    <row r="243" spans="1:12" x14ac:dyDescent="0.2">
      <c r="C243" s="88" t="s">
        <v>141</v>
      </c>
      <c r="D243" s="50">
        <f>1600.45947890501*Deflactores!$T$5</f>
        <v>2489.266136519077</v>
      </c>
      <c r="E243" s="50">
        <f>1761.23543356335*Deflactores!$U$5</f>
        <v>2695.923789306084</v>
      </c>
      <c r="F243" s="50">
        <f>2166.7765067092*Deflactores!$V$5</f>
        <v>3140.2060913838159</v>
      </c>
      <c r="G243" s="50">
        <f>2498.21293593999*Deflactores!$W$5</f>
        <v>3200.6198177374717</v>
      </c>
      <c r="H243" s="50">
        <f>2962.30505250405*Deflactores!$X$5</f>
        <v>3472.911610113752</v>
      </c>
      <c r="I243" s="50">
        <f>3387.97152926469*Deflactores!$Y$5</f>
        <v>3775.6172627745577</v>
      </c>
      <c r="J243" s="50">
        <f>3615.83488970978*Deflactores!$Z$5</f>
        <v>3833.9802458645995</v>
      </c>
      <c r="K243" s="50">
        <f>1817.60610125619*Deflactores!$AA$5</f>
        <v>1817.60610125619</v>
      </c>
      <c r="L243" s="14"/>
    </row>
    <row r="244" spans="1:12" x14ac:dyDescent="0.2">
      <c r="C244" s="87" t="s">
        <v>142</v>
      </c>
      <c r="D244" s="42">
        <f>188.98482964045*Deflactores!$T$5</f>
        <v>293.93654943495136</v>
      </c>
      <c r="E244" s="42">
        <f>350.83018750299*Deflactores!$U$5</f>
        <v>537.01590966884487</v>
      </c>
      <c r="F244" s="42">
        <f>492.59271124277*Deflactores!$V$5</f>
        <v>713.8911778054528</v>
      </c>
      <c r="G244" s="42">
        <f>577.02835983284*Deflactores!$W$5</f>
        <v>739.26780912397771</v>
      </c>
      <c r="H244" s="42">
        <f>492.59168764182*Deflactores!$X$5</f>
        <v>577.49872505895962</v>
      </c>
      <c r="I244" s="42">
        <f>478.22869665993*Deflactores!$Y$5</f>
        <v>532.94678159686009</v>
      </c>
      <c r="J244" s="42">
        <f>444.86133175793*Deflactores!$Z$5</f>
        <v>471.70006654972519</v>
      </c>
      <c r="K244" s="42">
        <f>496.40355518238*Deflactores!$AA$5</f>
        <v>496.40355518237999</v>
      </c>
      <c r="L244" s="14"/>
    </row>
    <row r="245" spans="1:12" x14ac:dyDescent="0.2">
      <c r="C245" s="88" t="s">
        <v>143</v>
      </c>
      <c r="D245" s="50">
        <f>568.046921213329*Deflactores!$T$5</f>
        <v>883.50875705875001</v>
      </c>
      <c r="E245" s="50">
        <f>1729.4800182068*Deflactores!$U$5</f>
        <v>2647.3157621976288</v>
      </c>
      <c r="F245" s="50">
        <f>3585.53548047188*Deflactores!$V$5</f>
        <v>5196.3459645179228</v>
      </c>
      <c r="G245" s="50">
        <f>914.48165824006*Deflactores!$W$5</f>
        <v>1171.6007375565321</v>
      </c>
      <c r="H245" s="50">
        <f>726.77095557776*Deflactores!$X$5</f>
        <v>852.04300191363154</v>
      </c>
      <c r="I245" s="50">
        <f>712.29303404206*Deflactores!$Y$5</f>
        <v>793.79234809182424</v>
      </c>
      <c r="J245" s="50">
        <f>1328.96235205607*Deflactores!$Z$5</f>
        <v>1409.1393995287456</v>
      </c>
      <c r="K245" s="50">
        <f>383.513804599959*Deflactores!$AA$5</f>
        <v>383.51380459995897</v>
      </c>
      <c r="L245" s="14"/>
    </row>
    <row r="246" spans="1:12" x14ac:dyDescent="0.2">
      <c r="C246" s="87" t="s">
        <v>144</v>
      </c>
      <c r="D246" s="42">
        <f>4146.96161893015*Deflactores!$T$5</f>
        <v>6449.9546933295596</v>
      </c>
      <c r="E246" s="42">
        <f>4303.76763789497*Deflactores!$U$5</f>
        <v>6587.7788610987345</v>
      </c>
      <c r="F246" s="42">
        <f>4651.07505393403*Deflactores!$V$5</f>
        <v>6740.5817677194846</v>
      </c>
      <c r="G246" s="42">
        <f>5148.81283218463*Deflactores!$W$5</f>
        <v>6596.4722828202421</v>
      </c>
      <c r="H246" s="42">
        <f>6254.43319146432*Deflactores!$X$5</f>
        <v>7332.497248032003</v>
      </c>
      <c r="I246" s="42">
        <f>7643.24711338602*Deflactores!$Y$5</f>
        <v>8517.7739823614356</v>
      </c>
      <c r="J246" s="42">
        <f>8727.96979723988*Deflactores!$Z$5</f>
        <v>9254.5331326802934</v>
      </c>
      <c r="K246" s="42">
        <f>4006.28855013111*Deflactores!$AA$5</f>
        <v>4006.2885501311098</v>
      </c>
      <c r="L246" s="14"/>
    </row>
    <row r="247" spans="1:12" x14ac:dyDescent="0.2">
      <c r="C247" s="88" t="s">
        <v>145</v>
      </c>
      <c r="D247" s="50">
        <f>1330.36334044576*Deflactores!$T$5</f>
        <v>2069.1735444022333</v>
      </c>
      <c r="E247" s="50">
        <f>528.194697707019*Deflactores!$U$5</f>
        <v>808.50783705429546</v>
      </c>
      <c r="F247" s="50">
        <f>1142.9755845837*Deflactores!$V$5</f>
        <v>1656.4601295515206</v>
      </c>
      <c r="G247" s="50">
        <f>2919.22849633598*Deflactores!$W$5</f>
        <v>3740.0096859082691</v>
      </c>
      <c r="H247" s="50">
        <f>2470.33673072893*Deflactores!$X$5</f>
        <v>2896.1436992408535</v>
      </c>
      <c r="I247" s="50">
        <f>784.57408582461*Deflactores!$Y$5</f>
        <v>874.34367047584919</v>
      </c>
      <c r="J247" s="50">
        <f>2057.17551693507*Deflactores!$Z$5</f>
        <v>2181.2860749397787</v>
      </c>
      <c r="K247" s="50">
        <f>1910.66799250146*Deflactores!$AA$5</f>
        <v>1910.66799250146</v>
      </c>
      <c r="L247" s="14"/>
    </row>
    <row r="248" spans="1:12" x14ac:dyDescent="0.2">
      <c r="C248" s="87" t="s">
        <v>146</v>
      </c>
      <c r="D248" s="42">
        <f>843.826416613937*Deflactores!$T$5</f>
        <v>1312.4409281604692</v>
      </c>
      <c r="E248" s="42">
        <f>812.6721861162*Deflactores!$U$5</f>
        <v>1243.9576434283908</v>
      </c>
      <c r="F248" s="42">
        <f>1009.89527711684*Deflactores!$V$5</f>
        <v>1463.5931721811216</v>
      </c>
      <c r="G248" s="42">
        <f>1260.19409086284*Deflactores!$W$5</f>
        <v>1614.5149692348518</v>
      </c>
      <c r="H248" s="42">
        <f>1297.37593716779*Deflactores!$X$5</f>
        <v>1521.0020153270718</v>
      </c>
      <c r="I248" s="42">
        <f>1401.03355553227*Deflactores!$Y$5</f>
        <v>1561.3373466400178</v>
      </c>
      <c r="J248" s="42">
        <f>1579.01758937052*Deflactores!$Z$5</f>
        <v>1674.2806101982226</v>
      </c>
      <c r="K248" s="42">
        <f>768.183137696409*Deflactores!$AA$5</f>
        <v>768.18313769640895</v>
      </c>
      <c r="L248" s="14"/>
    </row>
    <row r="249" spans="1:12" x14ac:dyDescent="0.2">
      <c r="C249" s="88" t="s">
        <v>162</v>
      </c>
      <c r="D249" s="50">
        <f>28791.5371825324*Deflactores!$T$5</f>
        <v>44780.764193944022</v>
      </c>
      <c r="E249" s="50">
        <f>33766.7886293309*Deflactores!$U$5</f>
        <v>51686.836989251948</v>
      </c>
      <c r="F249" s="50">
        <f>42567.154144801*Deflactores!$V$5</f>
        <v>61690.551067211454</v>
      </c>
      <c r="G249" s="50">
        <f>41174.9199566663*Deflactores!$W$5</f>
        <v>52751.814271377996</v>
      </c>
      <c r="H249" s="50">
        <f>48655.7360299608*Deflactores!$X$5</f>
        <v>57042.427286225553</v>
      </c>
      <c r="I249" s="50">
        <f>56874.5182216903*Deflactores!$Y$5</f>
        <v>63382.00039609112</v>
      </c>
      <c r="J249" s="50">
        <f>63410.7738352664*Deflactores!$Z$5</f>
        <v>67236.381548083504</v>
      </c>
      <c r="K249" s="50">
        <f>35397.7548198107*Deflactores!$AA$5</f>
        <v>35397.754819810703</v>
      </c>
      <c r="L249" s="14"/>
    </row>
    <row r="250" spans="1:12" x14ac:dyDescent="0.2">
      <c r="C250" s="87" t="s">
        <v>148</v>
      </c>
      <c r="D250" s="42">
        <f>259.78888794685*Deflactores!$T$5</f>
        <v>404.06126486406635</v>
      </c>
      <c r="E250" s="42">
        <f>312.25130553392*Deflactores!$U$5</f>
        <v>477.96319946142989</v>
      </c>
      <c r="F250" s="42">
        <f>356.32473052329*Deflactores!$V$5</f>
        <v>516.40447726623904</v>
      </c>
      <c r="G250" s="42">
        <f>357.949919800099*Deflactores!$W$5</f>
        <v>458.59245646675157</v>
      </c>
      <c r="H250" s="42">
        <f>437.92387793794*Deflactores!$X$5</f>
        <v>513.40793506432101</v>
      </c>
      <c r="I250" s="42">
        <f>573.84912724069*Deflactores!$Y$5</f>
        <v>639.50793338227936</v>
      </c>
      <c r="J250" s="42">
        <f>640.88192650466*Deflactores!$Z$5</f>
        <v>679.54669422080065</v>
      </c>
      <c r="K250" s="42">
        <f>325.336719020979*Deflactores!$AA$5</f>
        <v>325.33671902097899</v>
      </c>
      <c r="L250" s="14"/>
    </row>
    <row r="251" spans="1:12" x14ac:dyDescent="0.2">
      <c r="C251" s="88" t="s">
        <v>149</v>
      </c>
      <c r="D251" s="50">
        <f>449.09408081736*Deflactores!$T$5</f>
        <v>698.49608954464884</v>
      </c>
      <c r="E251" s="50">
        <f>293.19843298268*Deflactores!$U$5</f>
        <v>448.79895975408857</v>
      </c>
      <c r="F251" s="50">
        <f>701.15731856198*Deflactores!$V$5</f>
        <v>1016.1539392498913</v>
      </c>
      <c r="G251" s="50">
        <f>771.4861883724*Deflactores!$W$5</f>
        <v>988.4001271838589</v>
      </c>
      <c r="H251" s="50">
        <f>966.37252394161*Deflactores!$X$5</f>
        <v>1132.9442102037392</v>
      </c>
      <c r="I251" s="50">
        <f>742.95118709403*Deflactores!$Y$5</f>
        <v>827.95835300300644</v>
      </c>
      <c r="J251" s="50">
        <f>656.91224446385*Deflactores!$Z$5</f>
        <v>696.54413029438092</v>
      </c>
      <c r="K251" s="50">
        <f>377.59727858164*Deflactores!$AA$5</f>
        <v>377.59727858164001</v>
      </c>
      <c r="L251" s="14"/>
    </row>
    <row r="252" spans="1:12" x14ac:dyDescent="0.2">
      <c r="C252" s="87" t="s">
        <v>163</v>
      </c>
      <c r="D252" s="42">
        <f>18245.8119319509*Deflactores!$T$5</f>
        <v>28378.526525754525</v>
      </c>
      <c r="E252" s="42">
        <f>22972.5315302363*Deflactores!$U$5</f>
        <v>35164.063289168713</v>
      </c>
      <c r="F252" s="42">
        <f>22320.5115860576*Deflactores!$V$5</f>
        <v>32348.055384720821</v>
      </c>
      <c r="G252" s="42">
        <f>18394.2872316495*Deflactores!$W$5</f>
        <v>23566.093746376682</v>
      </c>
      <c r="H252" s="42">
        <f>22302.5985519811*Deflactores!$X$5</f>
        <v>26146.852560443866</v>
      </c>
      <c r="I252" s="42">
        <f>27653.4859092775*Deflactores!$Y$5</f>
        <v>30817.549047592369</v>
      </c>
      <c r="J252" s="42">
        <f>38783.8562966318*Deflactores!$Z$5</f>
        <v>41123.708198875363</v>
      </c>
      <c r="K252" s="42">
        <f>17670.9878346995*Deflactores!$AA$5</f>
        <v>17670.987834699499</v>
      </c>
      <c r="L252" s="14"/>
    </row>
    <row r="253" spans="1:12" x14ac:dyDescent="0.2">
      <c r="C253" s="88" t="s">
        <v>150</v>
      </c>
      <c r="D253" s="50">
        <f>891.68141859344*Deflactores!$T$5</f>
        <v>1386.8719509140919</v>
      </c>
      <c r="E253" s="50">
        <f>819.90809351197*Deflactores!$U$5</f>
        <v>1255.0336498008066</v>
      </c>
      <c r="F253" s="50">
        <f>905.40723841583*Deflactores!$V$5</f>
        <v>1312.1636294527007</v>
      </c>
      <c r="G253" s="50">
        <f>1021.23143321411*Deflactores!$W$5</f>
        <v>1308.3646780540234</v>
      </c>
      <c r="H253" s="50">
        <f>1375.01315591173*Deflactores!$X$5</f>
        <v>1612.0214051515106</v>
      </c>
      <c r="I253" s="50">
        <f>1245.22793527831*Deflactores!$Y$5</f>
        <v>1387.7047218121988</v>
      </c>
      <c r="J253" s="50">
        <f>1397.78485356464*Deflactores!$Z$5</f>
        <v>1482.1140013297759</v>
      </c>
      <c r="K253" s="50">
        <f>966.995944112939*Deflactores!$AA$5</f>
        <v>966.99594411293901</v>
      </c>
      <c r="L253" s="14"/>
    </row>
    <row r="254" spans="1:12" x14ac:dyDescent="0.2">
      <c r="C254" s="87" t="s">
        <v>151</v>
      </c>
      <c r="D254" s="42">
        <f>2184.34873721739*Deflactores!$T$5</f>
        <v>3397.4151883080431</v>
      </c>
      <c r="E254" s="42">
        <f>2334.07401490468*Deflactores!$U$5</f>
        <v>3572.7680370657017</v>
      </c>
      <c r="F254" s="42">
        <f>2718.89761447776*Deflactores!$V$5</f>
        <v>3940.3689417876108</v>
      </c>
      <c r="G254" s="42">
        <f>2645.99908813304*Deflactores!$W$5</f>
        <v>3389.9580765749897</v>
      </c>
      <c r="H254" s="42">
        <f>2922.82673025365*Deflactores!$X$5</f>
        <v>3426.6284889425106</v>
      </c>
      <c r="I254" s="42">
        <f>3756.1458252721*Deflactores!$Y$5</f>
        <v>4185.917413088142</v>
      </c>
      <c r="J254" s="42">
        <f>4331.82240967672*Deflactores!$Z$5</f>
        <v>4593.1636963177707</v>
      </c>
      <c r="K254" s="42">
        <f>2188.19263373984*Deflactores!$AA$5</f>
        <v>2188.1926337398399</v>
      </c>
      <c r="L254" s="14"/>
    </row>
    <row r="255" spans="1:12" x14ac:dyDescent="0.2">
      <c r="C255" s="79" t="s">
        <v>179</v>
      </c>
      <c r="D255" s="44">
        <f t="shared" ref="D255:K255" si="11">+SUM(D224:D254)</f>
        <v>229224.62156110705</v>
      </c>
      <c r="E255" s="44">
        <f t="shared" si="11"/>
        <v>273150.78667729592</v>
      </c>
      <c r="F255" s="44">
        <f t="shared" si="11"/>
        <v>289124.76813196624</v>
      </c>
      <c r="G255" s="44">
        <f t="shared" si="11"/>
        <v>240572.62372311097</v>
      </c>
      <c r="H255" s="44">
        <f t="shared" si="11"/>
        <v>276396.20417351456</v>
      </c>
      <c r="I255" s="44">
        <f t="shared" si="11"/>
        <v>289545.42747884174</v>
      </c>
      <c r="J255" s="44">
        <f t="shared" si="11"/>
        <v>311141.97992333991</v>
      </c>
      <c r="K255" s="44">
        <f t="shared" si="11"/>
        <v>151952.23179400465</v>
      </c>
      <c r="L255" s="14"/>
    </row>
    <row r="256" spans="1:12" s="31" customFormat="1" x14ac:dyDescent="0.2">
      <c r="A256" s="5"/>
      <c r="B256" s="5"/>
      <c r="C256" s="72" t="str">
        <f>+'C1 Aprop Resumen 2000-2026'!B20</f>
        <v>* Información con corte a 30 de Junio</v>
      </c>
      <c r="D256" s="121">
        <f>+D255-'C5 Ejecución PGN 2019-2026'!D112</f>
        <v>3.4924596548080444E-10</v>
      </c>
      <c r="E256" s="121">
        <f>+E255-'C5 Ejecución PGN 2019-2026'!E112</f>
        <v>1.1641532182693481E-9</v>
      </c>
      <c r="F256" s="121">
        <f>+F255-'C5 Ejecución PGN 2019-2026'!F112</f>
        <v>0</v>
      </c>
      <c r="G256" s="121">
        <f>+G255-'C5 Ejecución PGN 2019-2026'!G112</f>
        <v>0</v>
      </c>
      <c r="H256" s="121">
        <f>+H255-'C5 Ejecución PGN 2019-2026'!H112</f>
        <v>8.7311491370201111E-10</v>
      </c>
      <c r="I256" s="121">
        <f>+I255-'C5 Ejecución PGN 2019-2026'!I112</f>
        <v>0</v>
      </c>
      <c r="J256" s="121">
        <f>+J255-'C5 Ejecución PGN 2019-2026'!J112</f>
        <v>-4.6566128730773926E-10</v>
      </c>
      <c r="K256" s="121">
        <f>+K255-'C5 Ejecución PGN 2019-2026'!K112</f>
        <v>0</v>
      </c>
      <c r="L256" s="6"/>
    </row>
    <row r="257" spans="2:12" x14ac:dyDescent="0.2">
      <c r="C257" s="1" t="s">
        <v>52</v>
      </c>
      <c r="E257" s="3"/>
      <c r="F257" s="3"/>
      <c r="L257" s="14"/>
    </row>
    <row r="258" spans="2:12" x14ac:dyDescent="0.2">
      <c r="B258" s="9"/>
      <c r="E258" s="3"/>
      <c r="F258" s="3"/>
    </row>
    <row r="259" spans="2:12" x14ac:dyDescent="0.2">
      <c r="E259" s="3"/>
      <c r="F259" s="3"/>
    </row>
    <row r="260" spans="2:12" x14ac:dyDescent="0.2">
      <c r="E260" s="3"/>
      <c r="F260" s="3"/>
    </row>
    <row r="261" spans="2:12" ht="18" customHeight="1" x14ac:dyDescent="0.2">
      <c r="D261" s="164" t="s">
        <v>185</v>
      </c>
      <c r="E261" s="182"/>
      <c r="F261" s="182"/>
      <c r="G261" s="182"/>
      <c r="H261" s="182"/>
      <c r="I261" s="182"/>
      <c r="J261" s="182"/>
      <c r="K261" s="182"/>
      <c r="L261" s="182"/>
    </row>
    <row r="262" spans="2:12" ht="6" customHeight="1" x14ac:dyDescent="0.2">
      <c r="D262" s="28"/>
      <c r="E262" s="28"/>
      <c r="F262" s="28"/>
    </row>
    <row r="263" spans="2:12" x14ac:dyDescent="0.2">
      <c r="D263" s="29"/>
      <c r="E263" s="29"/>
      <c r="F263" s="29"/>
    </row>
    <row r="264" spans="2:12" ht="13.5" customHeight="1" x14ac:dyDescent="0.2">
      <c r="C264" s="181" t="s">
        <v>120</v>
      </c>
      <c r="D264" s="155">
        <v>2019</v>
      </c>
      <c r="E264" s="155">
        <v>2020</v>
      </c>
      <c r="F264" s="155">
        <v>2021</v>
      </c>
      <c r="G264" s="155">
        <v>2022</v>
      </c>
      <c r="H264" s="155">
        <v>2023</v>
      </c>
      <c r="I264" s="155">
        <v>2024</v>
      </c>
      <c r="J264" s="155" t="s">
        <v>187</v>
      </c>
      <c r="K264" s="155" t="s">
        <v>36</v>
      </c>
    </row>
    <row r="265" spans="2:12" ht="12" customHeight="1" thickBot="1" x14ac:dyDescent="0.25">
      <c r="C265" s="162"/>
      <c r="D265" s="156"/>
      <c r="E265" s="156"/>
      <c r="F265" s="156"/>
      <c r="G265" s="156"/>
      <c r="H265" s="156"/>
      <c r="I265" s="156"/>
      <c r="J265" s="156"/>
      <c r="K265" s="156"/>
    </row>
    <row r="266" spans="2:12" x14ac:dyDescent="0.2">
      <c r="C266" s="87" t="s">
        <v>123</v>
      </c>
      <c r="D266" s="47">
        <f t="shared" ref="D266:K275" si="12">+IFERROR(IF(D224&gt;0,+((D224/D15)*100)," "),"")</f>
        <v>74.723228769944583</v>
      </c>
      <c r="E266" s="47">
        <f t="shared" si="12"/>
        <v>80.29535675725748</v>
      </c>
      <c r="F266" s="47">
        <f t="shared" si="12"/>
        <v>92.682482598360451</v>
      </c>
      <c r="G266" s="47">
        <f t="shared" si="12"/>
        <v>91.697368741342615</v>
      </c>
      <c r="H266" s="47">
        <f t="shared" si="12"/>
        <v>75.783059719447664</v>
      </c>
      <c r="I266" s="47">
        <f t="shared" si="12"/>
        <v>76.627372049917824</v>
      </c>
      <c r="J266" s="47">
        <f t="shared" si="12"/>
        <v>91.347238804922853</v>
      </c>
      <c r="K266" s="47">
        <f t="shared" si="12"/>
        <v>55.231866563386752</v>
      </c>
    </row>
    <row r="267" spans="2:12" x14ac:dyDescent="0.2">
      <c r="C267" s="88" t="s">
        <v>124</v>
      </c>
      <c r="D267" s="116">
        <f t="shared" si="12"/>
        <v>94.545003275917111</v>
      </c>
      <c r="E267" s="116">
        <f t="shared" si="12"/>
        <v>95.530152171221545</v>
      </c>
      <c r="F267" s="116">
        <f t="shared" si="12"/>
        <v>93.400737963717219</v>
      </c>
      <c r="G267" s="116">
        <f t="shared" si="12"/>
        <v>92.170282513394156</v>
      </c>
      <c r="H267" s="116">
        <f t="shared" si="12"/>
        <v>94.196310644318871</v>
      </c>
      <c r="I267" s="116">
        <f t="shared" si="12"/>
        <v>95.690913124464544</v>
      </c>
      <c r="J267" s="116">
        <f t="shared" si="12"/>
        <v>97.400866171949446</v>
      </c>
      <c r="K267" s="116">
        <f t="shared" si="12"/>
        <v>55.581020076525888</v>
      </c>
    </row>
    <row r="268" spans="2:12" x14ac:dyDescent="0.2">
      <c r="C268" s="87" t="s">
        <v>125</v>
      </c>
      <c r="D268" s="47">
        <f t="shared" si="12"/>
        <v>94.812715484948853</v>
      </c>
      <c r="E268" s="47">
        <f t="shared" si="12"/>
        <v>90.810079500649678</v>
      </c>
      <c r="F268" s="47">
        <f t="shared" si="12"/>
        <v>94.850061437409806</v>
      </c>
      <c r="G268" s="47">
        <f t="shared" si="12"/>
        <v>86.804687626077111</v>
      </c>
      <c r="H268" s="47">
        <f t="shared" si="12"/>
        <v>93.917073936684019</v>
      </c>
      <c r="I268" s="47">
        <f t="shared" si="12"/>
        <v>91.046179967840629</v>
      </c>
      <c r="J268" s="47">
        <f t="shared" si="12"/>
        <v>88.784844663570624</v>
      </c>
      <c r="K268" s="47">
        <f t="shared" si="12"/>
        <v>30.782434792145718</v>
      </c>
    </row>
    <row r="269" spans="2:12" x14ac:dyDescent="0.2">
      <c r="C269" s="88" t="s">
        <v>126</v>
      </c>
      <c r="D269" s="116">
        <f t="shared" si="12"/>
        <v>91.24452521802958</v>
      </c>
      <c r="E269" s="116">
        <f t="shared" si="12"/>
        <v>93.660519652112583</v>
      </c>
      <c r="F269" s="116">
        <f t="shared" si="12"/>
        <v>91.347378195650592</v>
      </c>
      <c r="G269" s="116">
        <f t="shared" si="12"/>
        <v>95.16925677155146</v>
      </c>
      <c r="H269" s="116">
        <f t="shared" si="12"/>
        <v>92.314940085382219</v>
      </c>
      <c r="I269" s="116">
        <f t="shared" si="12"/>
        <v>74.906177757137684</v>
      </c>
      <c r="J269" s="116">
        <f t="shared" si="12"/>
        <v>88.017267581281885</v>
      </c>
      <c r="K269" s="116">
        <f t="shared" si="12"/>
        <v>32.968578045279166</v>
      </c>
    </row>
    <row r="270" spans="2:12" x14ac:dyDescent="0.2">
      <c r="C270" s="87" t="s">
        <v>127</v>
      </c>
      <c r="D270" s="47">
        <f t="shared" si="12"/>
        <v>95.905951640728631</v>
      </c>
      <c r="E270" s="47">
        <f t="shared" si="12"/>
        <v>94.521209645619933</v>
      </c>
      <c r="F270" s="47">
        <f t="shared" si="12"/>
        <v>93.707735036540626</v>
      </c>
      <c r="G270" s="47">
        <f t="shared" si="12"/>
        <v>94.716716560699567</v>
      </c>
      <c r="H270" s="47">
        <f t="shared" si="12"/>
        <v>94.054959809721439</v>
      </c>
      <c r="I270" s="47">
        <f t="shared" si="12"/>
        <v>86.304133003113719</v>
      </c>
      <c r="J270" s="47">
        <f t="shared" si="12"/>
        <v>80.252742544090793</v>
      </c>
      <c r="K270" s="47">
        <f t="shared" si="12"/>
        <v>53.934985267346825</v>
      </c>
    </row>
    <row r="271" spans="2:12" x14ac:dyDescent="0.2">
      <c r="C271" s="88" t="s">
        <v>128</v>
      </c>
      <c r="D271" s="116">
        <f t="shared" si="12"/>
        <v>97.253013974412696</v>
      </c>
      <c r="E271" s="116">
        <f t="shared" si="12"/>
        <v>96.296648282073036</v>
      </c>
      <c r="F271" s="116">
        <f t="shared" si="12"/>
        <v>82.702512090009364</v>
      </c>
      <c r="G271" s="116">
        <f t="shared" si="12"/>
        <v>93.236529102560922</v>
      </c>
      <c r="H271" s="116">
        <f t="shared" si="12"/>
        <v>91.431078949341099</v>
      </c>
      <c r="I271" s="116">
        <f t="shared" si="12"/>
        <v>89.469479980981419</v>
      </c>
      <c r="J271" s="116">
        <f t="shared" si="12"/>
        <v>90.753239429251622</v>
      </c>
      <c r="K271" s="116">
        <f t="shared" si="12"/>
        <v>45.258292072218325</v>
      </c>
    </row>
    <row r="272" spans="2:12" x14ac:dyDescent="0.2">
      <c r="C272" s="87" t="s">
        <v>129</v>
      </c>
      <c r="D272" s="47">
        <f t="shared" si="12"/>
        <v>96.524828964459999</v>
      </c>
      <c r="E272" s="47">
        <f t="shared" si="12"/>
        <v>97.210698632124377</v>
      </c>
      <c r="F272" s="47">
        <f t="shared" si="12"/>
        <v>95.06985843026321</v>
      </c>
      <c r="G272" s="47">
        <f t="shared" si="12"/>
        <v>95.946746808086573</v>
      </c>
      <c r="H272" s="47">
        <f t="shared" si="12"/>
        <v>94.922478331916764</v>
      </c>
      <c r="I272" s="47">
        <f t="shared" si="12"/>
        <v>92.279946588519465</v>
      </c>
      <c r="J272" s="47">
        <f t="shared" si="12"/>
        <v>94.017537177611459</v>
      </c>
      <c r="K272" s="47">
        <f t="shared" si="12"/>
        <v>43.4848943005791</v>
      </c>
    </row>
    <row r="273" spans="3:11" x14ac:dyDescent="0.2">
      <c r="C273" s="88" t="s">
        <v>130</v>
      </c>
      <c r="D273" s="116">
        <f t="shared" si="12"/>
        <v>93.531782249009311</v>
      </c>
      <c r="E273" s="116">
        <f t="shared" si="12"/>
        <v>94.781225347129151</v>
      </c>
      <c r="F273" s="116">
        <f t="shared" si="12"/>
        <v>89.394584068622109</v>
      </c>
      <c r="G273" s="116">
        <f t="shared" si="12"/>
        <v>92.117205415162957</v>
      </c>
      <c r="H273" s="116">
        <f t="shared" si="12"/>
        <v>83.374166406582518</v>
      </c>
      <c r="I273" s="116">
        <f t="shared" si="12"/>
        <v>93.023513732877689</v>
      </c>
      <c r="J273" s="116">
        <f t="shared" si="12"/>
        <v>89.901315579483807</v>
      </c>
      <c r="K273" s="116">
        <f t="shared" si="12"/>
        <v>42.574250827948198</v>
      </c>
    </row>
    <row r="274" spans="3:11" x14ac:dyDescent="0.2">
      <c r="C274" s="87" t="s">
        <v>131</v>
      </c>
      <c r="D274" s="47">
        <f t="shared" si="12"/>
        <v>99.936978649452854</v>
      </c>
      <c r="E274" s="47">
        <f t="shared" si="12"/>
        <v>99.963906763841408</v>
      </c>
      <c r="F274" s="47">
        <f t="shared" si="12"/>
        <v>99.932635888612765</v>
      </c>
      <c r="G274" s="47">
        <f t="shared" si="12"/>
        <v>99.893634149476412</v>
      </c>
      <c r="H274" s="47">
        <f t="shared" si="12"/>
        <v>98.984525786013307</v>
      </c>
      <c r="I274" s="47">
        <f t="shared" si="12"/>
        <v>99.650259047785795</v>
      </c>
      <c r="J274" s="47">
        <f t="shared" si="12"/>
        <v>97.904917972601453</v>
      </c>
      <c r="K274" s="47">
        <f t="shared" si="12"/>
        <v>48.528946197647294</v>
      </c>
    </row>
    <row r="275" spans="3:11" x14ac:dyDescent="0.2">
      <c r="C275" s="88" t="s">
        <v>132</v>
      </c>
      <c r="D275" s="116">
        <f t="shared" si="12"/>
        <v>88.39696896689442</v>
      </c>
      <c r="E275" s="116">
        <f t="shared" si="12"/>
        <v>85.553586394419597</v>
      </c>
      <c r="F275" s="116">
        <f t="shared" si="12"/>
        <v>54.969690125497728</v>
      </c>
      <c r="G275" s="116">
        <f t="shared" si="12"/>
        <v>78.415457595220786</v>
      </c>
      <c r="H275" s="116">
        <f t="shared" si="12"/>
        <v>87.458845754180544</v>
      </c>
      <c r="I275" s="116">
        <f t="shared" si="12"/>
        <v>84.742760784428199</v>
      </c>
      <c r="J275" s="116">
        <f t="shared" si="12"/>
        <v>88.054193774380963</v>
      </c>
      <c r="K275" s="116">
        <f t="shared" si="12"/>
        <v>35.451041543061876</v>
      </c>
    </row>
    <row r="276" spans="3:11" x14ac:dyDescent="0.2">
      <c r="C276" s="87" t="s">
        <v>133</v>
      </c>
      <c r="D276" s="47">
        <f t="shared" ref="D276:K285" si="13">+IFERROR(IF(D234&gt;0,+((D234/D25)*100)," "),"")</f>
        <v>95.435814166482245</v>
      </c>
      <c r="E276" s="47">
        <f t="shared" si="13"/>
        <v>95.374690999137769</v>
      </c>
      <c r="F276" s="47">
        <f t="shared" si="13"/>
        <v>92.314223895395102</v>
      </c>
      <c r="G276" s="47">
        <f t="shared" si="13"/>
        <v>95.08300334511371</v>
      </c>
      <c r="H276" s="47">
        <f t="shared" si="13"/>
        <v>95.358547402754454</v>
      </c>
      <c r="I276" s="47">
        <f t="shared" si="13"/>
        <v>93.718180419162167</v>
      </c>
      <c r="J276" s="47">
        <f t="shared" si="13"/>
        <v>93.725126551608028</v>
      </c>
      <c r="K276" s="47">
        <f t="shared" si="13"/>
        <v>42.186888847818253</v>
      </c>
    </row>
    <row r="277" spans="3:11" x14ac:dyDescent="0.2">
      <c r="C277" s="88" t="s">
        <v>134</v>
      </c>
      <c r="D277" s="116">
        <f t="shared" si="13"/>
        <v>91.303648231017462</v>
      </c>
      <c r="E277" s="116">
        <f t="shared" si="13"/>
        <v>41.925370709674816</v>
      </c>
      <c r="F277" s="116">
        <f t="shared" si="13"/>
        <v>81.692373413910275</v>
      </c>
      <c r="G277" s="116">
        <f t="shared" si="13"/>
        <v>83.624685034131318</v>
      </c>
      <c r="H277" s="116">
        <f t="shared" si="13"/>
        <v>89.463001009042785</v>
      </c>
      <c r="I277" s="116">
        <f t="shared" si="13"/>
        <v>74.109696072199284</v>
      </c>
      <c r="J277" s="116">
        <f t="shared" si="13"/>
        <v>74.640140814787188</v>
      </c>
      <c r="K277" s="116">
        <f t="shared" si="13"/>
        <v>27.35456978940093</v>
      </c>
    </row>
    <row r="278" spans="3:11" x14ac:dyDescent="0.2">
      <c r="C278" s="87" t="s">
        <v>135</v>
      </c>
      <c r="D278" s="47" t="str">
        <f t="shared" si="13"/>
        <v xml:space="preserve"> </v>
      </c>
      <c r="E278" s="47" t="str">
        <f t="shared" si="13"/>
        <v xml:space="preserve"> </v>
      </c>
      <c r="F278" s="47" t="str">
        <f t="shared" si="13"/>
        <v xml:space="preserve"> </v>
      </c>
      <c r="G278" s="47" t="str">
        <f t="shared" si="13"/>
        <v xml:space="preserve"> </v>
      </c>
      <c r="H278" s="47">
        <f t="shared" si="13"/>
        <v>0.42555537840000002</v>
      </c>
      <c r="I278" s="47">
        <f t="shared" si="13"/>
        <v>38.355376656699271</v>
      </c>
      <c r="J278" s="47">
        <f t="shared" si="13"/>
        <v>95.653898908120667</v>
      </c>
      <c r="K278" s="47">
        <f t="shared" si="13"/>
        <v>33.792412758211483</v>
      </c>
    </row>
    <row r="279" spans="3:11" x14ac:dyDescent="0.2">
      <c r="C279" s="88" t="s">
        <v>136</v>
      </c>
      <c r="D279" s="116">
        <f t="shared" si="13"/>
        <v>93.936068865208426</v>
      </c>
      <c r="E279" s="116">
        <f t="shared" si="13"/>
        <v>98.175772939697353</v>
      </c>
      <c r="F279" s="116">
        <f t="shared" si="13"/>
        <v>96.753141626896593</v>
      </c>
      <c r="G279" s="116">
        <f t="shared" si="13"/>
        <v>93.264212997837376</v>
      </c>
      <c r="H279" s="116">
        <f t="shared" si="13"/>
        <v>88.852934507555346</v>
      </c>
      <c r="I279" s="116">
        <f t="shared" si="13"/>
        <v>48.030152880055248</v>
      </c>
      <c r="J279" s="116">
        <f t="shared" si="13"/>
        <v>55.061783086914851</v>
      </c>
      <c r="K279" s="116">
        <f t="shared" si="13"/>
        <v>16.520652164237081</v>
      </c>
    </row>
    <row r="280" spans="3:11" x14ac:dyDescent="0.2">
      <c r="C280" s="87" t="s">
        <v>137</v>
      </c>
      <c r="D280" s="47">
        <f t="shared" si="13"/>
        <v>89.768355745535743</v>
      </c>
      <c r="E280" s="47">
        <f t="shared" si="13"/>
        <v>87.820221536522595</v>
      </c>
      <c r="F280" s="47">
        <f t="shared" si="13"/>
        <v>79.671407318582695</v>
      </c>
      <c r="G280" s="47">
        <f t="shared" si="13"/>
        <v>86.590986894346898</v>
      </c>
      <c r="H280" s="47">
        <f t="shared" si="13"/>
        <v>90.93089147895158</v>
      </c>
      <c r="I280" s="47">
        <f t="shared" si="13"/>
        <v>93.784180997859551</v>
      </c>
      <c r="J280" s="47">
        <f t="shared" si="13"/>
        <v>93.5001542214371</v>
      </c>
      <c r="K280" s="47">
        <f t="shared" si="13"/>
        <v>43.138911848910674</v>
      </c>
    </row>
    <row r="281" spans="3:11" x14ac:dyDescent="0.2">
      <c r="C281" s="88" t="s">
        <v>138</v>
      </c>
      <c r="D281" s="116">
        <f t="shared" si="13"/>
        <v>95.317949236626816</v>
      </c>
      <c r="E281" s="116">
        <f t="shared" si="13"/>
        <v>98.028113822928489</v>
      </c>
      <c r="F281" s="116">
        <f t="shared" si="13"/>
        <v>94.611263222058597</v>
      </c>
      <c r="G281" s="116">
        <f t="shared" si="13"/>
        <v>94.335103290489769</v>
      </c>
      <c r="H281" s="116">
        <f t="shared" si="13"/>
        <v>88.109589109918645</v>
      </c>
      <c r="I281" s="116">
        <f t="shared" si="13"/>
        <v>94.620839309417647</v>
      </c>
      <c r="J281" s="116">
        <f t="shared" si="13"/>
        <v>96.140341651529297</v>
      </c>
      <c r="K281" s="116">
        <f t="shared" si="13"/>
        <v>38.652918656318917</v>
      </c>
    </row>
    <row r="282" spans="3:11" x14ac:dyDescent="0.2">
      <c r="C282" s="87" t="s">
        <v>160</v>
      </c>
      <c r="D282" s="47">
        <f t="shared" si="13"/>
        <v>86.803237363186611</v>
      </c>
      <c r="E282" s="47">
        <f t="shared" si="13"/>
        <v>83.282410366945271</v>
      </c>
      <c r="F282" s="47">
        <f t="shared" si="13"/>
        <v>80.74165748222903</v>
      </c>
      <c r="G282" s="47">
        <f t="shared" si="13"/>
        <v>70.23290235266505</v>
      </c>
      <c r="H282" s="47">
        <f t="shared" si="13"/>
        <v>72.451793180410334</v>
      </c>
      <c r="I282" s="47">
        <f t="shared" si="13"/>
        <v>75.047484445495456</v>
      </c>
      <c r="J282" s="47">
        <f t="shared" si="13"/>
        <v>81.027123382063806</v>
      </c>
      <c r="K282" s="47">
        <f t="shared" si="13"/>
        <v>37.182301132681701</v>
      </c>
    </row>
    <row r="283" spans="3:11" x14ac:dyDescent="0.2">
      <c r="C283" s="88" t="s">
        <v>161</v>
      </c>
      <c r="D283" s="116">
        <f t="shared" si="13"/>
        <v>85.568461315888541</v>
      </c>
      <c r="E283" s="116">
        <f t="shared" si="13"/>
        <v>88.773939725990914</v>
      </c>
      <c r="F283" s="116">
        <f t="shared" si="13"/>
        <v>75.2240532537853</v>
      </c>
      <c r="G283" s="116">
        <f t="shared" si="13"/>
        <v>78.138844790873947</v>
      </c>
      <c r="H283" s="116">
        <f t="shared" si="13"/>
        <v>75.877343300046249</v>
      </c>
      <c r="I283" s="116">
        <f t="shared" si="13"/>
        <v>84.164831502824683</v>
      </c>
      <c r="J283" s="116">
        <f t="shared" si="13"/>
        <v>88.509723528293023</v>
      </c>
      <c r="K283" s="116">
        <f t="shared" si="13"/>
        <v>35.802933998512813</v>
      </c>
    </row>
    <row r="284" spans="3:11" x14ac:dyDescent="0.2">
      <c r="C284" s="87" t="s">
        <v>140</v>
      </c>
      <c r="D284" s="47">
        <f t="shared" si="13"/>
        <v>88.869183979449986</v>
      </c>
      <c r="E284" s="47">
        <f t="shared" si="13"/>
        <v>92.641795169377488</v>
      </c>
      <c r="F284" s="47">
        <f t="shared" si="13"/>
        <v>90.466310539051946</v>
      </c>
      <c r="G284" s="47">
        <f t="shared" si="13"/>
        <v>90.61889827310398</v>
      </c>
      <c r="H284" s="47">
        <f t="shared" si="13"/>
        <v>95.049236974218786</v>
      </c>
      <c r="I284" s="47">
        <f t="shared" si="13"/>
        <v>97.902687943964878</v>
      </c>
      <c r="J284" s="47">
        <f t="shared" si="13"/>
        <v>97.09983059079498</v>
      </c>
      <c r="K284" s="47">
        <f t="shared" si="13"/>
        <v>58.479886389178759</v>
      </c>
    </row>
    <row r="285" spans="3:11" x14ac:dyDescent="0.2">
      <c r="C285" s="88" t="s">
        <v>141</v>
      </c>
      <c r="D285" s="116">
        <f t="shared" si="13"/>
        <v>92.050339652791038</v>
      </c>
      <c r="E285" s="116">
        <f t="shared" si="13"/>
        <v>82.19018394005117</v>
      </c>
      <c r="F285" s="116">
        <f t="shared" si="13"/>
        <v>86.326712459135194</v>
      </c>
      <c r="G285" s="116">
        <f t="shared" si="13"/>
        <v>90.620650315940239</v>
      </c>
      <c r="H285" s="116">
        <f t="shared" si="13"/>
        <v>85.749284044128231</v>
      </c>
      <c r="I285" s="116">
        <f t="shared" si="13"/>
        <v>89.882956053919202</v>
      </c>
      <c r="J285" s="116">
        <f t="shared" si="13"/>
        <v>93.210561619411962</v>
      </c>
      <c r="K285" s="116">
        <f t="shared" si="13"/>
        <v>43.794947599831325</v>
      </c>
    </row>
    <row r="286" spans="3:11" x14ac:dyDescent="0.2">
      <c r="C286" s="87" t="s">
        <v>142</v>
      </c>
      <c r="D286" s="47">
        <f t="shared" ref="D286:K295" si="14">+IFERROR(IF(D244&gt;0,+((D244/D35)*100)," "),"")</f>
        <v>93.642101791151163</v>
      </c>
      <c r="E286" s="47">
        <f t="shared" si="14"/>
        <v>86.38130153959959</v>
      </c>
      <c r="F286" s="47">
        <f t="shared" si="14"/>
        <v>50.196940159479887</v>
      </c>
      <c r="G286" s="47">
        <f t="shared" si="14"/>
        <v>81.547836489161654</v>
      </c>
      <c r="H286" s="47">
        <f t="shared" si="14"/>
        <v>90.269224469519145</v>
      </c>
      <c r="I286" s="47">
        <f t="shared" si="14"/>
        <v>88.90684036462342</v>
      </c>
      <c r="J286" s="47">
        <f t="shared" si="14"/>
        <v>88.897042753040679</v>
      </c>
      <c r="K286" s="47">
        <f t="shared" si="14"/>
        <v>61.96357658749978</v>
      </c>
    </row>
    <row r="287" spans="3:11" x14ac:dyDescent="0.2">
      <c r="C287" s="88" t="s">
        <v>143</v>
      </c>
      <c r="D287" s="116">
        <f t="shared" si="14"/>
        <v>43.056586832752366</v>
      </c>
      <c r="E287" s="116">
        <f t="shared" si="14"/>
        <v>37.420560118649867</v>
      </c>
      <c r="F287" s="116">
        <f t="shared" si="14"/>
        <v>56.324941764336856</v>
      </c>
      <c r="G287" s="116">
        <f t="shared" si="14"/>
        <v>19.269233910247181</v>
      </c>
      <c r="H287" s="116">
        <f t="shared" si="14"/>
        <v>22.108931829028304</v>
      </c>
      <c r="I287" s="116">
        <f t="shared" si="14"/>
        <v>33.708188772173706</v>
      </c>
      <c r="J287" s="116">
        <f t="shared" si="14"/>
        <v>37.044056959243363</v>
      </c>
      <c r="K287" s="116">
        <f t="shared" si="14"/>
        <v>4.1483177184448845</v>
      </c>
    </row>
    <row r="288" spans="3:11" x14ac:dyDescent="0.2">
      <c r="C288" s="87" t="s">
        <v>144</v>
      </c>
      <c r="D288" s="47">
        <f t="shared" si="14"/>
        <v>95.677073021213744</v>
      </c>
      <c r="E288" s="47">
        <f t="shared" si="14"/>
        <v>93.569722459338479</v>
      </c>
      <c r="F288" s="47">
        <f t="shared" si="14"/>
        <v>93.819417833232151</v>
      </c>
      <c r="G288" s="47">
        <f t="shared" si="14"/>
        <v>94.383416720015617</v>
      </c>
      <c r="H288" s="47">
        <f t="shared" si="14"/>
        <v>87.154865817269638</v>
      </c>
      <c r="I288" s="47">
        <f t="shared" si="14"/>
        <v>93.29475087185989</v>
      </c>
      <c r="J288" s="47">
        <f t="shared" si="14"/>
        <v>92.602783651711377</v>
      </c>
      <c r="K288" s="47">
        <f t="shared" si="14"/>
        <v>42.352087697469891</v>
      </c>
    </row>
    <row r="289" spans="1:11" x14ac:dyDescent="0.2">
      <c r="C289" s="88" t="s">
        <v>145</v>
      </c>
      <c r="D289" s="116">
        <f t="shared" si="14"/>
        <v>91.765866466732476</v>
      </c>
      <c r="E289" s="116">
        <f t="shared" si="14"/>
        <v>92.106580251007713</v>
      </c>
      <c r="F289" s="116">
        <f t="shared" si="14"/>
        <v>85.15853345476836</v>
      </c>
      <c r="G289" s="116">
        <f t="shared" si="14"/>
        <v>92.944235242074683</v>
      </c>
      <c r="H289" s="116">
        <f t="shared" si="14"/>
        <v>79.051668989690853</v>
      </c>
      <c r="I289" s="116">
        <f t="shared" si="14"/>
        <v>58.37795019598925</v>
      </c>
      <c r="J289" s="116">
        <f t="shared" si="14"/>
        <v>72.776916543453652</v>
      </c>
      <c r="K289" s="116">
        <f t="shared" si="14"/>
        <v>28.556423115843728</v>
      </c>
    </row>
    <row r="290" spans="1:11" x14ac:dyDescent="0.2">
      <c r="C290" s="87" t="s">
        <v>146</v>
      </c>
      <c r="D290" s="47">
        <f t="shared" si="14"/>
        <v>92.764988480538065</v>
      </c>
      <c r="E290" s="47">
        <f t="shared" si="14"/>
        <v>84.900047341173703</v>
      </c>
      <c r="F290" s="47">
        <f t="shared" si="14"/>
        <v>91.569232359634512</v>
      </c>
      <c r="G290" s="47">
        <f t="shared" si="14"/>
        <v>94.987799529664869</v>
      </c>
      <c r="H290" s="47">
        <f t="shared" si="14"/>
        <v>92.76990129109366</v>
      </c>
      <c r="I290" s="47">
        <f t="shared" si="14"/>
        <v>91.060808309506186</v>
      </c>
      <c r="J290" s="47">
        <f t="shared" si="14"/>
        <v>91.997380951586081</v>
      </c>
      <c r="K290" s="47">
        <f t="shared" si="14"/>
        <v>44.279276527852645</v>
      </c>
    </row>
    <row r="291" spans="1:11" x14ac:dyDescent="0.2">
      <c r="C291" s="88" t="s">
        <v>162</v>
      </c>
      <c r="D291" s="116">
        <f t="shared" si="14"/>
        <v>99.449404216551855</v>
      </c>
      <c r="E291" s="116">
        <f t="shared" si="14"/>
        <v>97.362016828621876</v>
      </c>
      <c r="F291" s="116">
        <f t="shared" si="14"/>
        <v>99.249543469521342</v>
      </c>
      <c r="G291" s="116">
        <f t="shared" si="14"/>
        <v>99.707667041067367</v>
      </c>
      <c r="H291" s="116">
        <f t="shared" si="14"/>
        <v>93.969457620241982</v>
      </c>
      <c r="I291" s="116">
        <f t="shared" si="14"/>
        <v>95.699374176904087</v>
      </c>
      <c r="J291" s="116">
        <f t="shared" si="14"/>
        <v>97.811098596769696</v>
      </c>
      <c r="K291" s="116">
        <f t="shared" si="14"/>
        <v>46.661459783400417</v>
      </c>
    </row>
    <row r="292" spans="1:11" x14ac:dyDescent="0.2">
      <c r="C292" s="87" t="s">
        <v>148</v>
      </c>
      <c r="D292" s="47">
        <f t="shared" si="14"/>
        <v>93.050883274572556</v>
      </c>
      <c r="E292" s="47">
        <f t="shared" si="14"/>
        <v>96.062097566914474</v>
      </c>
      <c r="F292" s="47">
        <f t="shared" si="14"/>
        <v>96.773095340898479</v>
      </c>
      <c r="G292" s="47">
        <f t="shared" si="14"/>
        <v>98.069737810301817</v>
      </c>
      <c r="H292" s="47">
        <f t="shared" si="14"/>
        <v>89.330663989037788</v>
      </c>
      <c r="I292" s="47">
        <f t="shared" si="14"/>
        <v>95.450350427727912</v>
      </c>
      <c r="J292" s="47">
        <f t="shared" si="14"/>
        <v>91.116606064679175</v>
      </c>
      <c r="K292" s="47">
        <f t="shared" si="14"/>
        <v>48.186867979354609</v>
      </c>
    </row>
    <row r="293" spans="1:11" x14ac:dyDescent="0.2">
      <c r="C293" s="88" t="s">
        <v>149</v>
      </c>
      <c r="D293" s="116">
        <f t="shared" si="14"/>
        <v>89.001837716179793</v>
      </c>
      <c r="E293" s="116">
        <f t="shared" si="14"/>
        <v>92.377570839648286</v>
      </c>
      <c r="F293" s="116">
        <f t="shared" si="14"/>
        <v>81.977419886343455</v>
      </c>
      <c r="G293" s="116">
        <f t="shared" si="14"/>
        <v>82.862741189670842</v>
      </c>
      <c r="H293" s="116">
        <f t="shared" si="14"/>
        <v>93.927235774912305</v>
      </c>
      <c r="I293" s="116">
        <f t="shared" si="14"/>
        <v>93.678783700271666</v>
      </c>
      <c r="J293" s="116">
        <f t="shared" si="14"/>
        <v>80.222725801500275</v>
      </c>
      <c r="K293" s="116">
        <f t="shared" si="14"/>
        <v>65.667074912215213</v>
      </c>
    </row>
    <row r="294" spans="1:11" x14ac:dyDescent="0.2">
      <c r="C294" s="87" t="s">
        <v>163</v>
      </c>
      <c r="D294" s="47">
        <f t="shared" si="14"/>
        <v>79.805561759283549</v>
      </c>
      <c r="E294" s="47">
        <f t="shared" si="14"/>
        <v>86.240601975885284</v>
      </c>
      <c r="F294" s="47">
        <f t="shared" si="14"/>
        <v>94.018476923006844</v>
      </c>
      <c r="G294" s="47">
        <f t="shared" si="14"/>
        <v>60.788601820883216</v>
      </c>
      <c r="H294" s="47">
        <f t="shared" si="14"/>
        <v>75.369424184316145</v>
      </c>
      <c r="I294" s="47">
        <f t="shared" si="14"/>
        <v>80.128087479170702</v>
      </c>
      <c r="J294" s="47">
        <f t="shared" si="14"/>
        <v>85.840743681189409</v>
      </c>
      <c r="K294" s="47">
        <f t="shared" si="14"/>
        <v>35.346696355635423</v>
      </c>
    </row>
    <row r="295" spans="1:11" x14ac:dyDescent="0.2">
      <c r="C295" s="88" t="s">
        <v>150</v>
      </c>
      <c r="D295" s="116">
        <f t="shared" si="14"/>
        <v>91.267463221545427</v>
      </c>
      <c r="E295" s="116">
        <f t="shared" si="14"/>
        <v>89.585257500553169</v>
      </c>
      <c r="F295" s="116">
        <f t="shared" si="14"/>
        <v>82.466346364759815</v>
      </c>
      <c r="G295" s="116">
        <f t="shared" si="14"/>
        <v>83.790394312645006</v>
      </c>
      <c r="H295" s="116">
        <f t="shared" si="14"/>
        <v>84.847079204015543</v>
      </c>
      <c r="I295" s="116">
        <f t="shared" si="14"/>
        <v>80.082385003453865</v>
      </c>
      <c r="J295" s="116">
        <f t="shared" si="14"/>
        <v>91.663593646489048</v>
      </c>
      <c r="K295" s="116">
        <f t="shared" si="14"/>
        <v>43.196108464755831</v>
      </c>
    </row>
    <row r="296" spans="1:11" x14ac:dyDescent="0.2">
      <c r="C296" s="87" t="s">
        <v>151</v>
      </c>
      <c r="D296" s="47">
        <f t="shared" ref="D296:K297" si="15">+IFERROR(IF(D254&gt;0,+((D254/D45)*100)," "),"")</f>
        <v>99.566539464255442</v>
      </c>
      <c r="E296" s="47">
        <f t="shared" si="15"/>
        <v>98.413423970951371</v>
      </c>
      <c r="F296" s="47">
        <f t="shared" si="15"/>
        <v>99.111409054763044</v>
      </c>
      <c r="G296" s="47">
        <f t="shared" si="15"/>
        <v>99.505596274293595</v>
      </c>
      <c r="H296" s="47">
        <f t="shared" si="15"/>
        <v>99.349479125513312</v>
      </c>
      <c r="I296" s="47">
        <f t="shared" si="15"/>
        <v>99.520669243819157</v>
      </c>
      <c r="J296" s="47">
        <f t="shared" si="15"/>
        <v>99.760475221886779</v>
      </c>
      <c r="K296" s="47">
        <f t="shared" si="15"/>
        <v>46.570949182924004</v>
      </c>
    </row>
    <row r="297" spans="1:11" x14ac:dyDescent="0.2">
      <c r="C297" s="91" t="s">
        <v>179</v>
      </c>
      <c r="D297" s="64">
        <f t="shared" si="15"/>
        <v>94.064335759928554</v>
      </c>
      <c r="E297" s="64">
        <f t="shared" si="15"/>
        <v>84.236202038953138</v>
      </c>
      <c r="F297" s="64">
        <f t="shared" si="15"/>
        <v>93.274233169091886</v>
      </c>
      <c r="G297" s="64">
        <f t="shared" si="15"/>
        <v>88.862345232757946</v>
      </c>
      <c r="H297" s="64">
        <f t="shared" si="15"/>
        <v>90.213011281874984</v>
      </c>
      <c r="I297" s="64">
        <f t="shared" si="15"/>
        <v>89.542591915978974</v>
      </c>
      <c r="J297" s="64">
        <f t="shared" si="15"/>
        <v>91.770080926884162</v>
      </c>
      <c r="K297" s="64">
        <f t="shared" si="15"/>
        <v>41.528743696945043</v>
      </c>
    </row>
    <row r="298" spans="1:11" s="31" customFormat="1" x14ac:dyDescent="0.2">
      <c r="A298" s="5"/>
      <c r="B298" s="5"/>
      <c r="C298" s="72" t="str">
        <f>+'C1 Aprop Resumen 2000-2026'!B20</f>
        <v>* Información con corte a 30 de Junio</v>
      </c>
      <c r="D298" s="47"/>
      <c r="E298" s="47"/>
      <c r="F298" s="47"/>
      <c r="G298" s="47"/>
      <c r="H298" s="47"/>
      <c r="I298" s="47"/>
      <c r="K298" s="60"/>
    </row>
    <row r="299" spans="1:11" x14ac:dyDescent="0.2">
      <c r="C299" s="1" t="s">
        <v>52</v>
      </c>
      <c r="D299" s="11"/>
      <c r="K299" s="60" t="str">
        <f>+IFERROR(IF(K257&gt;0,+((K257/K48)*100)," "),"")</f>
        <v xml:space="preserve"> </v>
      </c>
    </row>
  </sheetData>
  <mergeCells count="82">
    <mergeCell ref="D2:K4"/>
    <mergeCell ref="J139:J140"/>
    <mergeCell ref="D6:K6"/>
    <mergeCell ref="J97:J98"/>
    <mergeCell ref="E8:E9"/>
    <mergeCell ref="G8:G9"/>
    <mergeCell ref="F55:F56"/>
    <mergeCell ref="H55:H56"/>
    <mergeCell ref="G97:G98"/>
    <mergeCell ref="A7:C8"/>
    <mergeCell ref="F13:F14"/>
    <mergeCell ref="H13:H14"/>
    <mergeCell ref="C222:C223"/>
    <mergeCell ref="E222:E223"/>
    <mergeCell ref="G222:G223"/>
    <mergeCell ref="H139:H140"/>
    <mergeCell ref="D8:D9"/>
    <mergeCell ref="D52:L52"/>
    <mergeCell ref="K181:K182"/>
    <mergeCell ref="F8:F9"/>
    <mergeCell ref="I8:I9"/>
    <mergeCell ref="K8:K9"/>
    <mergeCell ref="E139:E140"/>
    <mergeCell ref="K97:K98"/>
    <mergeCell ref="D222:D223"/>
    <mergeCell ref="C264:C265"/>
    <mergeCell ref="E264:E265"/>
    <mergeCell ref="D261:L261"/>
    <mergeCell ref="K222:K223"/>
    <mergeCell ref="H8:H9"/>
    <mergeCell ref="J8:J9"/>
    <mergeCell ref="K55:K56"/>
    <mergeCell ref="D11:L11"/>
    <mergeCell ref="E55:E56"/>
    <mergeCell ref="E13:E14"/>
    <mergeCell ref="G13:G14"/>
    <mergeCell ref="C97:C98"/>
    <mergeCell ref="D139:D140"/>
    <mergeCell ref="H222:H223"/>
    <mergeCell ref="C139:C140"/>
    <mergeCell ref="J222:J223"/>
    <mergeCell ref="D220:L220"/>
    <mergeCell ref="G55:G56"/>
    <mergeCell ref="D181:D182"/>
    <mergeCell ref="D264:D265"/>
    <mergeCell ref="F181:F182"/>
    <mergeCell ref="F264:F265"/>
    <mergeCell ref="D94:L94"/>
    <mergeCell ref="I97:I98"/>
    <mergeCell ref="J55:J56"/>
    <mergeCell ref="G139:G140"/>
    <mergeCell ref="E181:E182"/>
    <mergeCell ref="G181:G182"/>
    <mergeCell ref="F222:F223"/>
    <mergeCell ref="K139:K140"/>
    <mergeCell ref="J13:J14"/>
    <mergeCell ref="I222:I223"/>
    <mergeCell ref="G264:G265"/>
    <mergeCell ref="I264:I265"/>
    <mergeCell ref="K264:K265"/>
    <mergeCell ref="D137:L137"/>
    <mergeCell ref="K13:K14"/>
    <mergeCell ref="H264:H265"/>
    <mergeCell ref="J264:J265"/>
    <mergeCell ref="D55:D56"/>
    <mergeCell ref="E97:E98"/>
    <mergeCell ref="H97:H98"/>
    <mergeCell ref="I139:I140"/>
    <mergeCell ref="F139:F140"/>
    <mergeCell ref="A9:C9"/>
    <mergeCell ref="D178:L178"/>
    <mergeCell ref="C13:C14"/>
    <mergeCell ref="H181:H182"/>
    <mergeCell ref="J181:J182"/>
    <mergeCell ref="C55:C56"/>
    <mergeCell ref="D97:D98"/>
    <mergeCell ref="F97:F98"/>
    <mergeCell ref="I55:I56"/>
    <mergeCell ref="I13:I14"/>
    <mergeCell ref="C181:C182"/>
    <mergeCell ref="I181:I182"/>
    <mergeCell ref="D13:D14"/>
  </mergeCells>
  <pageMargins left="0.7" right="0.7" top="0.75" bottom="0.75" header="0.3" footer="0.3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V277"/>
  <sheetViews>
    <sheetView showGridLines="0" zoomScale="106" zoomScaleNormal="106" workbookViewId="0">
      <pane xSplit="3" ySplit="7" topLeftCell="D44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50.855468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8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2" customFormat="1" ht="15" customHeight="1" x14ac:dyDescent="0.25">
      <c r="A3" s="120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5" customHeight="1" x14ac:dyDescent="0.25">
      <c r="A4" s="120"/>
      <c r="B4" s="98"/>
      <c r="C4" s="98"/>
      <c r="D4" s="165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2" s="102" customFormat="1" ht="20.25" customHeight="1" x14ac:dyDescent="0.25">
      <c r="A5" s="169" t="s">
        <v>16</v>
      </c>
      <c r="B5" s="180"/>
      <c r="C5" s="18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20.2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5" customHeight="1" x14ac:dyDescent="0.25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10" spans="1:22" ht="18" customHeight="1" x14ac:dyDescent="0.2">
      <c r="D10" s="164" t="s">
        <v>164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2" ht="15.7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9.9499999999999993" customHeight="1" x14ac:dyDescent="0.2">
      <c r="C12" s="181" t="s">
        <v>120</v>
      </c>
      <c r="D12" s="155" t="s">
        <v>27</v>
      </c>
      <c r="E12" s="155" t="s">
        <v>28</v>
      </c>
      <c r="F12" s="155" t="s">
        <v>29</v>
      </c>
      <c r="G12" s="155" t="s">
        <v>30</v>
      </c>
      <c r="H12" s="155" t="s">
        <v>121</v>
      </c>
      <c r="I12" s="155" t="s">
        <v>31</v>
      </c>
      <c r="J12" s="155" t="s">
        <v>32</v>
      </c>
      <c r="K12" s="155" t="s">
        <v>33</v>
      </c>
      <c r="L12" s="155" t="s">
        <v>34</v>
      </c>
      <c r="M12" s="155" t="s">
        <v>122</v>
      </c>
      <c r="N12" s="155">
        <v>2010</v>
      </c>
      <c r="O12" s="155">
        <v>2011</v>
      </c>
      <c r="P12" s="155">
        <v>2012</v>
      </c>
      <c r="Q12" s="155">
        <v>2013</v>
      </c>
      <c r="R12" s="155">
        <v>2014</v>
      </c>
      <c r="S12" s="155">
        <v>2015</v>
      </c>
      <c r="T12" s="155">
        <v>2016</v>
      </c>
      <c r="U12" s="155">
        <v>2017</v>
      </c>
      <c r="V12" s="155">
        <v>2018</v>
      </c>
    </row>
    <row r="13" spans="1:22" ht="9.9499999999999993" customHeight="1" thickBot="1" x14ac:dyDescent="0.25"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</row>
    <row r="14" spans="1:22" x14ac:dyDescent="0.2">
      <c r="C14" s="87" t="s">
        <v>123</v>
      </c>
      <c r="D14" s="56">
        <f>226.147478655*Deflactores!$A$5</f>
        <v>843.9632973506491</v>
      </c>
      <c r="E14" s="56">
        <f>229.324387711*Deflactores!$B$5</f>
        <v>795.01415428953885</v>
      </c>
      <c r="F14" s="56">
        <f>233.160262339*Deflactores!$C$5</f>
        <v>755.48960902138936</v>
      </c>
      <c r="G14" s="56">
        <f>276.164926097*Deflactores!$D$5</f>
        <v>840.28788143890665</v>
      </c>
      <c r="H14" s="56">
        <f>265.073613227*Deflactores!$E$5</f>
        <v>764.51504829258727</v>
      </c>
      <c r="I14" s="56">
        <f>284.29359958*Deflactores!$F$5</f>
        <v>781.98206567608804</v>
      </c>
      <c r="J14" s="56">
        <f>392.9501*Deflactores!$G$5</f>
        <v>1034.528545202935</v>
      </c>
      <c r="K14" s="56">
        <f>430.651948*Deflactores!$H$5</f>
        <v>1072.7024228302512</v>
      </c>
      <c r="L14" s="56">
        <f>736.4319*Deflactores!$I$5</f>
        <v>1703.6214246179786</v>
      </c>
      <c r="M14" s="56">
        <f>337.2967*Deflactores!$J$5</f>
        <v>764.97056242856013</v>
      </c>
      <c r="N14" s="56">
        <f>407.8586*Deflactores!$K$5</f>
        <v>896.56891938771264</v>
      </c>
      <c r="O14" s="56">
        <f>280.7302*Deflactores!$L$5</f>
        <v>594.9393451696875</v>
      </c>
      <c r="P14" s="56">
        <f>433.7912118*Deflactores!$M$5</f>
        <v>897.41791619807645</v>
      </c>
      <c r="Q14" s="56">
        <f>1399.788201392*Deflactores!$N$5</f>
        <v>2840.7413018596972</v>
      </c>
      <c r="R14" s="56">
        <f>403.162426402*Deflactores!$O$5</f>
        <v>789.2929120213945</v>
      </c>
      <c r="S14" s="56">
        <f>519.077663936*Deflactores!$P$5</f>
        <v>951.79024908853671</v>
      </c>
      <c r="T14" s="56">
        <f>517.399056735*Deflactores!$Q$5</f>
        <v>897.12749350630872</v>
      </c>
      <c r="U14" s="56">
        <f>584.735675535*Deflactores!$R$5</f>
        <v>974.04521390810919</v>
      </c>
      <c r="V14" s="56">
        <f>675.337306883*Deflactores!$S$5</f>
        <v>1090.2968145861948</v>
      </c>
    </row>
    <row r="15" spans="1:22" x14ac:dyDescent="0.2">
      <c r="C15" s="88" t="s">
        <v>124</v>
      </c>
      <c r="D15" s="57">
        <f>93.775796859*Deflactores!$A$5</f>
        <v>349.96335665339717</v>
      </c>
      <c r="E15" s="57">
        <f>97.251305587*Deflactores!$B$5</f>
        <v>337.1475892142704</v>
      </c>
      <c r="F15" s="57">
        <f>102.819736516*Deflactores!$C$5</f>
        <v>333.15815379901443</v>
      </c>
      <c r="G15" s="57">
        <f>110.4942676*Deflactores!$D$5</f>
        <v>336.20125243614797</v>
      </c>
      <c r="H15" s="57">
        <f>111.317485167*Deflactores!$E$5</f>
        <v>321.05757910870705</v>
      </c>
      <c r="I15" s="57">
        <f>118.847202884*Deflactores!$F$5</f>
        <v>326.90282633289894</v>
      </c>
      <c r="J15" s="57">
        <f>124.194613801*Deflactores!$G$5</f>
        <v>326.9699464069073</v>
      </c>
      <c r="K15" s="57">
        <f>134.082646611*Deflactores!$H$5</f>
        <v>333.98381348808402</v>
      </c>
      <c r="L15" s="57">
        <f>1053.453945815*Deflactores!$I$5</f>
        <v>2437.0029488657146</v>
      </c>
      <c r="M15" s="57">
        <f>1263.270433444*Deflactores!$J$5</f>
        <v>2865.0286052932852</v>
      </c>
      <c r="N15" s="57">
        <f>1397.872596732*Deflactores!$K$5</f>
        <v>3072.8520214939808</v>
      </c>
      <c r="O15" s="57">
        <f>1107.068853688*Deflactores!$L$5</f>
        <v>2346.163037930708</v>
      </c>
      <c r="P15" s="57">
        <f>230.425748668*Deflactores!$M$5</f>
        <v>476.69982605216597</v>
      </c>
      <c r="Q15" s="57">
        <f>251.178179*Deflactores!$N$5</f>
        <v>509.74299290538795</v>
      </c>
      <c r="R15" s="57">
        <f>252.920629344*Deflactores!$O$5</f>
        <v>495.1564108460758</v>
      </c>
      <c r="S15" s="57">
        <f>254.100826172*Deflactores!$P$5</f>
        <v>465.92389817349175</v>
      </c>
      <c r="T15" s="57">
        <f>263.118971981*Deflactores!$Q$5</f>
        <v>456.22669920747705</v>
      </c>
      <c r="U15" s="57">
        <f>278.83379775*Deflactores!$R$5</f>
        <v>464.47777609210101</v>
      </c>
      <c r="V15" s="57">
        <f>292.088027472*Deflactores!$S$5</f>
        <v>471.5608669708206</v>
      </c>
    </row>
    <row r="16" spans="1:22" x14ac:dyDescent="0.2">
      <c r="C16" s="87" t="s">
        <v>125</v>
      </c>
      <c r="D16" s="56">
        <f>6.559897136*Deflactores!$A$5</f>
        <v>24.480982278053954</v>
      </c>
      <c r="E16" s="56">
        <f>3.732766761*Deflactores!$B$5</f>
        <v>12.940631562467567</v>
      </c>
      <c r="F16" s="56">
        <f>4.127397104*Deflactores!$C$5</f>
        <v>13.373658071474051</v>
      </c>
      <c r="G16" s="56">
        <f>4.541631518*Deflactores!$D$5</f>
        <v>13.818836376042768</v>
      </c>
      <c r="H16" s="56">
        <f>4.792757016*Deflactores!$E$5</f>
        <v>13.823084149850994</v>
      </c>
      <c r="I16" s="56">
        <f>4.803558529*Deflactores!$F$5</f>
        <v>13.212737207776611</v>
      </c>
      <c r="J16" s="56">
        <f>5.048685536*Deflactores!$G$5</f>
        <v>13.291787691987301</v>
      </c>
      <c r="K16" s="56">
        <f>5.491990493*Deflactores!$H$5</f>
        <v>13.679890536572717</v>
      </c>
      <c r="L16" s="56">
        <f>5.285664815*Deflactores!$I$5</f>
        <v>12.22756893364264</v>
      </c>
      <c r="M16" s="56">
        <f>25.837213018*Deflactores!$J$5</f>
        <v>58.597393256340716</v>
      </c>
      <c r="N16" s="56">
        <f>26.312060741*Deflactores!$K$5</f>
        <v>57.840084444516378</v>
      </c>
      <c r="O16" s="56">
        <f>10.479912615*Deflactores!$L$5</f>
        <v>22.209624574070215</v>
      </c>
      <c r="P16" s="56">
        <f>16.938482499*Deflactores!$M$5</f>
        <v>35.041967781538553</v>
      </c>
      <c r="Q16" s="56">
        <f>17.628*Deflactores!$N$5</f>
        <v>35.774403312861736</v>
      </c>
      <c r="R16" s="56">
        <f>22.785*Deflactores!$O$5</f>
        <v>44.607428229125915</v>
      </c>
      <c r="S16" s="56">
        <f>21.30448316*Deflactores!$P$5</f>
        <v>39.06428795221489</v>
      </c>
      <c r="T16" s="56">
        <f>21.872865769*Deflactores!$Q$5</f>
        <v>37.925753802046906</v>
      </c>
      <c r="U16" s="56">
        <f>23.431825456*Deflactores!$R$5</f>
        <v>39.032435326722016</v>
      </c>
      <c r="V16" s="56">
        <f>23.7000418*Deflactores!$S$5</f>
        <v>38.262479825620503</v>
      </c>
    </row>
    <row r="17" spans="3:22" x14ac:dyDescent="0.2">
      <c r="C17" s="88" t="s">
        <v>126</v>
      </c>
      <c r="D17" s="57">
        <f>119.401607607*Deflactores!$A$5</f>
        <v>445.59671885045839</v>
      </c>
      <c r="E17" s="57">
        <f>118.7445314*Deflactores!$B$5</f>
        <v>411.65958906406502</v>
      </c>
      <c r="F17" s="57">
        <f>117.558142188899*Deflactores!$C$5</f>
        <v>380.91377144893767</v>
      </c>
      <c r="G17" s="57">
        <f>121.92927106*Deflactores!$D$5</f>
        <v>370.9945731066918</v>
      </c>
      <c r="H17" s="57">
        <f>116.773985026*Deflactores!$E$5</f>
        <v>336.79500465788641</v>
      </c>
      <c r="I17" s="57">
        <f>130.088374508*Deflactores!$F$5</f>
        <v>357.82295474993469</v>
      </c>
      <c r="J17" s="57">
        <f>208.048776922*Deflactores!$G$5</f>
        <v>547.73468315790376</v>
      </c>
      <c r="K17" s="57">
        <f>192.846158052*Deflactores!$H$5</f>
        <v>480.35668231990888</v>
      </c>
      <c r="L17" s="57">
        <f>169.030876788*Deflactores!$I$5</f>
        <v>391.02681879749986</v>
      </c>
      <c r="M17" s="57">
        <f>207.19752*Deflactores!$J$5</f>
        <v>469.91270121588161</v>
      </c>
      <c r="N17" s="57">
        <f>145.269*Deflactores!$K$5</f>
        <v>319.33535384697939</v>
      </c>
      <c r="O17" s="57">
        <f>272.9286*Deflactores!$L$5</f>
        <v>578.40575243447108</v>
      </c>
      <c r="P17" s="57">
        <f>372.836020731*Deflactores!$M$5</f>
        <v>771.31512973633016</v>
      </c>
      <c r="Q17" s="57">
        <f>549.345123692*Deflactores!$N$5</f>
        <v>1114.8453603875384</v>
      </c>
      <c r="R17" s="57">
        <f>450.301311412*Deflactores!$O$5</f>
        <v>881.5792596134329</v>
      </c>
      <c r="S17" s="57">
        <f>406.16963459*Deflactores!$P$5</f>
        <v>744.76003214478646</v>
      </c>
      <c r="T17" s="57">
        <f>376.69049176*Deflactores!$Q$5</f>
        <v>653.15039194861242</v>
      </c>
      <c r="U17" s="57">
        <f>441.265262397*Deflactores!$R$5</f>
        <v>735.05403361689855</v>
      </c>
      <c r="V17" s="57">
        <f>390.246565032*Deflactores!$S$5</f>
        <v>630.03269983914538</v>
      </c>
    </row>
    <row r="18" spans="3:22" x14ac:dyDescent="0.2">
      <c r="C18" s="87" t="s">
        <v>127</v>
      </c>
      <c r="D18" s="56">
        <f>194.10744778*Deflactores!$A$5</f>
        <v>724.39260717402556</v>
      </c>
      <c r="E18" s="56">
        <f>198.518820268*Deflactores!$B$5</f>
        <v>688.21843843671832</v>
      </c>
      <c r="F18" s="56">
        <f>194.468797251*Deflactores!$C$5</f>
        <v>630.12090537283257</v>
      </c>
      <c r="G18" s="56">
        <f>213.374907985*Deflactores!$D$5</f>
        <v>649.23649761360855</v>
      </c>
      <c r="H18" s="56">
        <f>230.193360479*Deflactores!$E$5</f>
        <v>663.91477431790611</v>
      </c>
      <c r="I18" s="56">
        <f>243.807433626*Deflactores!$F$5</f>
        <v>670.62023505174125</v>
      </c>
      <c r="J18" s="56">
        <f>259.254682913*Deflactores!$G$5</f>
        <v>682.54562080791959</v>
      </c>
      <c r="K18" s="56">
        <f>276.467705615*Deflactores!$H$5</f>
        <v>688.64794185844744</v>
      </c>
      <c r="L18" s="56">
        <f>302.109*Deflactores!$I$5</f>
        <v>698.88249676570615</v>
      </c>
      <c r="M18" s="56">
        <f>328.419350642*Deflactores!$J$5</f>
        <v>744.83721712377633</v>
      </c>
      <c r="N18" s="56">
        <f>339.682733535*Deflactores!$K$5</f>
        <v>746.70236532989441</v>
      </c>
      <c r="O18" s="56">
        <f>353.797018673*Deflactores!$L$5</f>
        <v>749.78668704792824</v>
      </c>
      <c r="P18" s="56">
        <f>382.936160401*Deflactores!$M$5</f>
        <v>792.21008115397183</v>
      </c>
      <c r="Q18" s="56">
        <f>405.385*Deflactores!$N$5</f>
        <v>822.69154112686954</v>
      </c>
      <c r="R18" s="56">
        <f>411.6535*Deflactores!$O$5</f>
        <v>805.91634656653434</v>
      </c>
      <c r="S18" s="56">
        <f>420.938028437*Deflactores!$P$5</f>
        <v>771.83962781008336</v>
      </c>
      <c r="T18" s="56">
        <f>448.293177029*Deflactores!$Q$5</f>
        <v>777.30357067502757</v>
      </c>
      <c r="U18" s="56">
        <f>486.381577794*Deflactores!$R$5</f>
        <v>810.2082151048146</v>
      </c>
      <c r="V18" s="56">
        <f>515.535488892*Deflactores!$S$5</f>
        <v>832.30512458933936</v>
      </c>
    </row>
    <row r="19" spans="3:22" x14ac:dyDescent="0.2">
      <c r="C19" s="88" t="s">
        <v>128</v>
      </c>
      <c r="D19" s="57">
        <f>39.907327219*Deflactores!$A$5</f>
        <v>148.93077591892887</v>
      </c>
      <c r="E19" s="57">
        <f>42.814156713*Deflactores!$B$5</f>
        <v>148.42669343001054</v>
      </c>
      <c r="F19" s="57">
        <f>49.465568195*Deflactores!$C$5</f>
        <v>160.27912475637379</v>
      </c>
      <c r="G19" s="57">
        <f>53.926091843*Deflactores!$D$5</f>
        <v>164.08108773783431</v>
      </c>
      <c r="H19" s="57">
        <f>59.641121198*Deflactores!$E$5</f>
        <v>172.01461170661941</v>
      </c>
      <c r="I19" s="57">
        <f>71.563549296*Deflactores!$F$5</f>
        <v>196.8437284141219</v>
      </c>
      <c r="J19" s="57">
        <f>73.690468468*Deflactores!$G$5</f>
        <v>194.00654978716838</v>
      </c>
      <c r="K19" s="57">
        <f>84.186701502*Deflactores!$H$5</f>
        <v>209.6989903115045</v>
      </c>
      <c r="L19" s="57">
        <f>105.96497785*Deflactores!$I$5</f>
        <v>245.1336050548999</v>
      </c>
      <c r="M19" s="57">
        <f>104.662230912*Deflactores!$J$5</f>
        <v>237.36824477019928</v>
      </c>
      <c r="N19" s="57">
        <f>115.408069204*Deflactores!$K$5</f>
        <v>253.69402016986436</v>
      </c>
      <c r="O19" s="57">
        <f>121.526855763*Deflactores!$L$5</f>
        <v>257.54659807947371</v>
      </c>
      <c r="P19" s="57">
        <f>153.143769183*Deflactores!$M$5</f>
        <v>316.82053135343637</v>
      </c>
      <c r="Q19" s="57">
        <f>213.904187454*Deflactores!$N$5</f>
        <v>434.09885819658365</v>
      </c>
      <c r="R19" s="57">
        <f>198.124438357*Deflactores!$O$5</f>
        <v>387.87894072616893</v>
      </c>
      <c r="S19" s="57">
        <f>218.294458603*Deflactores!$P$5</f>
        <v>400.26869111057306</v>
      </c>
      <c r="T19" s="57">
        <f>205.981609702*Deflactores!$Q$5</f>
        <v>357.15520315491437</v>
      </c>
      <c r="U19" s="57">
        <f>213.104884948*Deflactores!$R$5</f>
        <v>354.9873933279672</v>
      </c>
      <c r="V19" s="57">
        <f>257.852744855*Deflactores!$S$5</f>
        <v>416.28979101612003</v>
      </c>
    </row>
    <row r="20" spans="3:22" x14ac:dyDescent="0.2">
      <c r="C20" s="87" t="s">
        <v>129</v>
      </c>
      <c r="D20" s="56">
        <f>5510.544482964*Deflactores!$A$5</f>
        <v>20564.88677079001</v>
      </c>
      <c r="E20" s="56">
        <f>6197.875402664*Deflactores!$B$5</f>
        <v>21486.588150626518</v>
      </c>
      <c r="F20" s="56">
        <f>6953.92735701*Deflactores!$C$5</f>
        <v>22532.226578439011</v>
      </c>
      <c r="G20" s="56">
        <f>8021.8827487978*Deflactores!$D$5</f>
        <v>24408.20764390269</v>
      </c>
      <c r="H20" s="56">
        <f>9298.91988716411*Deflactores!$E$5</f>
        <v>26819.584567688082</v>
      </c>
      <c r="I20" s="56">
        <f>10157.060573865*Deflactores!$F$5</f>
        <v>27938.156963372126</v>
      </c>
      <c r="J20" s="56">
        <f>11090.89353162*Deflactores!$G$5</f>
        <v>29199.244255867296</v>
      </c>
      <c r="K20" s="56">
        <f>12533.9760557938*Deflactores!$H$5</f>
        <v>31220.633147458477</v>
      </c>
      <c r="L20" s="56">
        <f>14010.480768*Deflactores!$I$5</f>
        <v>32411.082688790299</v>
      </c>
      <c r="M20" s="56">
        <f>15926.4378829999*Deflactores!$J$5</f>
        <v>36120.294520645955</v>
      </c>
      <c r="N20" s="56">
        <f>17218.875126911*Deflactores!$K$5</f>
        <v>37851.128468558854</v>
      </c>
      <c r="O20" s="56">
        <f>18609.220561601*Deflactores!$L$5</f>
        <v>39437.714556671075</v>
      </c>
      <c r="P20" s="56">
        <f>20034.690008723*Deflactores!$M$5</f>
        <v>41447.335193116094</v>
      </c>
      <c r="Q20" s="56">
        <f>21482.654541711*Deflactores!$N$5</f>
        <v>43597.069877810885</v>
      </c>
      <c r="R20" s="56">
        <f>22731.1872424103*Deflactores!$O$5</f>
        <v>44502.076079817423</v>
      </c>
      <c r="S20" s="56">
        <f>23720.0366432213*Deflactores!$P$5</f>
        <v>43493.490769474534</v>
      </c>
      <c r="T20" s="56">
        <f>25696.6810217855*Deflactores!$Q$5</f>
        <v>44555.935571241062</v>
      </c>
      <c r="U20" s="56">
        <f>26855.9983896214*Deflactores!$R$5</f>
        <v>44736.378829974157</v>
      </c>
      <c r="V20" s="56">
        <f>28602.870050772*Deflactores!$S$5</f>
        <v>46177.840001636978</v>
      </c>
    </row>
    <row r="21" spans="3:22" x14ac:dyDescent="0.2">
      <c r="C21" s="88" t="s">
        <v>130</v>
      </c>
      <c r="D21" s="57">
        <f>5.923347078*Deflactores!$A$5</f>
        <v>22.105431203712804</v>
      </c>
      <c r="E21" s="57">
        <f>5.954537301*Deflactores!$B$5</f>
        <v>20.642991719249032</v>
      </c>
      <c r="F21" s="57">
        <f>5.289202718*Deflactores!$C$5</f>
        <v>17.138159193039737</v>
      </c>
      <c r="G21" s="57">
        <f>5.563113582*Deflactores!$D$5</f>
        <v>16.926903036125875</v>
      </c>
      <c r="H21" s="57">
        <f>6.757895187*Deflactores!$E$5</f>
        <v>19.490859547838596</v>
      </c>
      <c r="I21" s="57">
        <f>6.780885363*Deflactores!$F$5</f>
        <v>18.651600848929284</v>
      </c>
      <c r="J21" s="57">
        <f>5.960290708*Deflactores!$G$5</f>
        <v>15.691791082719689</v>
      </c>
      <c r="K21" s="57">
        <f>6.338986194*Deflactores!$H$5</f>
        <v>15.789655382195816</v>
      </c>
      <c r="L21" s="57">
        <f>6.690682211*Deflactores!$I$5</f>
        <v>15.47785960924559</v>
      </c>
      <c r="M21" s="57">
        <f>7.22001589*Deflactores!$J$5</f>
        <v>16.374603179089632</v>
      </c>
      <c r="N21" s="57">
        <f>10.763630097*Deflactores!$K$5</f>
        <v>23.66098497066471</v>
      </c>
      <c r="O21" s="57">
        <f>9.144921184*Deflactores!$L$5</f>
        <v>19.380435096891471</v>
      </c>
      <c r="P21" s="57">
        <f>20.479986817*Deflactores!$M$5</f>
        <v>42.368555639504123</v>
      </c>
      <c r="Q21" s="57">
        <f>24.652914916*Deflactores!$N$5</f>
        <v>50.030821479614758</v>
      </c>
      <c r="R21" s="57">
        <f>25.257295687*Deflactores!$O$5</f>
        <v>49.44757536184612</v>
      </c>
      <c r="S21" s="57">
        <f>28.6916633*Deflactores!$P$5</f>
        <v>52.609555864916651</v>
      </c>
      <c r="T21" s="57">
        <f>63.544100396*Deflactores!$Q$5</f>
        <v>110.1802540482297</v>
      </c>
      <c r="U21" s="57">
        <f>56.405723673*Deflactores!$R$5</f>
        <v>93.95993348693905</v>
      </c>
      <c r="V21" s="57">
        <f>38.074689811*Deflactores!$S$5</f>
        <v>61.469598368393846</v>
      </c>
    </row>
    <row r="22" spans="3:22" x14ac:dyDescent="0.2">
      <c r="C22" s="87" t="s">
        <v>131</v>
      </c>
      <c r="D22" s="56">
        <f>4969.312547057*Deflactores!$A$5</f>
        <v>18545.054880661406</v>
      </c>
      <c r="E22" s="56">
        <f>7461.1087733525*Deflactores!$B$5</f>
        <v>25865.923553601056</v>
      </c>
      <c r="F22" s="56">
        <f>8406.121610193*Deflactores!$C$5</f>
        <v>27237.649610452907</v>
      </c>
      <c r="G22" s="56">
        <f>9833.333853676*Deflactores!$D$5</f>
        <v>29919.915566992222</v>
      </c>
      <c r="H22" s="56">
        <f>11085.442595314*Deflactores!$E$5</f>
        <v>31972.204165955576</v>
      </c>
      <c r="I22" s="56">
        <f>11942.237262346*Deflactores!$F$5</f>
        <v>32848.489649431576</v>
      </c>
      <c r="J22" s="56">
        <f>12829.694502589*Deflactores!$G$5</f>
        <v>33777.024586993335</v>
      </c>
      <c r="K22" s="56">
        <f>13687.060361613*Deflactores!$H$5</f>
        <v>34092.828047131363</v>
      </c>
      <c r="L22" s="56">
        <f>15390.279790921*Deflactores!$I$5</f>
        <v>35603.034554421283</v>
      </c>
      <c r="M22" s="56">
        <f>17837.278249677*Deflactores!$J$5</f>
        <v>40453.976498584598</v>
      </c>
      <c r="N22" s="56">
        <f>19814.811063631*Deflactores!$K$5</f>
        <v>43557.604873824748</v>
      </c>
      <c r="O22" s="56">
        <f>20817.357216028*Deflactores!$L$5</f>
        <v>44117.322861121334</v>
      </c>
      <c r="P22" s="56">
        <f>22150.36265358*Deflactores!$M$5</f>
        <v>45824.193194518426</v>
      </c>
      <c r="Q22" s="56">
        <f>23694.570333369*Deflactores!$N$5</f>
        <v>48085.949366400695</v>
      </c>
      <c r="R22" s="56">
        <f>25015.108437232*Deflactores!$O$5</f>
        <v>48973.432269371449</v>
      </c>
      <c r="S22" s="56">
        <f>26588.391744854*Deflactores!$P$5</f>
        <v>48752.958872871808</v>
      </c>
      <c r="T22" s="56">
        <f>29000.868104154*Deflactores!$Q$5</f>
        <v>50285.124746781839</v>
      </c>
      <c r="U22" s="56">
        <f>32306.446969791*Deflactores!$R$5</f>
        <v>53815.666404328207</v>
      </c>
      <c r="V22" s="56">
        <f>34803.608247751*Deflactores!$S$5</f>
        <v>56188.608006521397</v>
      </c>
    </row>
    <row r="23" spans="3:22" x14ac:dyDescent="0.2">
      <c r="C23" s="88" t="s">
        <v>132</v>
      </c>
      <c r="D23" s="57">
        <f>7.672202772*Deflactores!$A$5</f>
        <v>28.632013002797859</v>
      </c>
      <c r="E23" s="57">
        <f>7.746850265*Deflactores!$B$5</f>
        <v>26.856522645983031</v>
      </c>
      <c r="F23" s="57">
        <f>7.252446*Deflactores!$C$5</f>
        <v>23.499491457178117</v>
      </c>
      <c r="G23" s="57">
        <f>7.789121*Deflactores!$D$5</f>
        <v>23.699982745319367</v>
      </c>
      <c r="H23" s="57">
        <f>7.3371408*Deflactores!$E$5</f>
        <v>21.161497309194079</v>
      </c>
      <c r="I23" s="57">
        <f>8.735347233*Deflactores!$F$5</f>
        <v>24.027571791101948</v>
      </c>
      <c r="J23" s="57">
        <f>9.285931*Deflactores!$G$5</f>
        <v>24.447278899495977</v>
      </c>
      <c r="K23" s="57">
        <f>9.811049*Deflactores!$H$5</f>
        <v>24.438147979319748</v>
      </c>
      <c r="L23" s="57">
        <f>10.617459135*Deflactores!$I$5</f>
        <v>24.561851350263169</v>
      </c>
      <c r="M23" s="57">
        <f>12.18410932*Deflactores!$J$5</f>
        <v>27.632896969378773</v>
      </c>
      <c r="N23" s="57">
        <f>13.9738678*Deflactores!$K$5</f>
        <v>30.717840823051798</v>
      </c>
      <c r="O23" s="57">
        <f>14.3252*Deflactores!$L$5</f>
        <v>30.358775462792412</v>
      </c>
      <c r="P23" s="57">
        <f>16.841026908*Deflactores!$M$5</f>
        <v>34.840353753826541</v>
      </c>
      <c r="Q23" s="57">
        <f>18.369671*Deflactores!$N$5</f>
        <v>37.279556335294998</v>
      </c>
      <c r="R23" s="57">
        <f>20.645985*Deflactores!$O$5</f>
        <v>40.419762743344748</v>
      </c>
      <c r="S23" s="57">
        <f>20.43087342*Deflactores!$P$5</f>
        <v>37.462421237828025</v>
      </c>
      <c r="T23" s="57">
        <f>21.830620029*Deflactores!$Q$5</f>
        <v>37.852503156642399</v>
      </c>
      <c r="U23" s="57">
        <f>23.8898015*Deflactores!$R$5</f>
        <v>39.795325966727219</v>
      </c>
      <c r="V23" s="57">
        <f>25.521609595*Deflactores!$S$5</f>
        <v>41.203305904973135</v>
      </c>
    </row>
    <row r="24" spans="3:22" x14ac:dyDescent="0.2">
      <c r="C24" s="87" t="s">
        <v>133</v>
      </c>
      <c r="D24" s="56">
        <f>618.32578742*Deflactores!$A$5</f>
        <v>2307.5396351600316</v>
      </c>
      <c r="E24" s="56">
        <f>633.68234715926*Deflactores!$B$5</f>
        <v>2196.8288691123098</v>
      </c>
      <c r="F24" s="56">
        <f>675.431874403*Deflactores!$C$5</f>
        <v>2188.5451559982798</v>
      </c>
      <c r="G24" s="56">
        <f>706.925544521*Deflactores!$D$5</f>
        <v>2150.9645577945444</v>
      </c>
      <c r="H24" s="56">
        <f>750.967402665*Deflactores!$E$5</f>
        <v>2165.9110958846345</v>
      </c>
      <c r="I24" s="56">
        <f>827.83500259784*Deflactores!$F$5</f>
        <v>2277.0548697782565</v>
      </c>
      <c r="J24" s="56">
        <f>910.818427626839*Deflactores!$G$5</f>
        <v>2397.9321111683603</v>
      </c>
      <c r="K24" s="56">
        <f>1030.23611795732*Deflactores!$H$5</f>
        <v>2566.1947773658962</v>
      </c>
      <c r="L24" s="56">
        <f>1191.789836764*Deflactores!$I$5</f>
        <v>2757.0216601876068</v>
      </c>
      <c r="M24" s="56">
        <f>1378.233764643*Deflactores!$J$5</f>
        <v>3125.7591850053309</v>
      </c>
      <c r="N24" s="56">
        <f>1508.498868617*Deflactores!$K$5</f>
        <v>3316.0345289606025</v>
      </c>
      <c r="O24" s="56">
        <f>1596.275298757*Deflactores!$L$5</f>
        <v>3382.9170532883059</v>
      </c>
      <c r="P24" s="56">
        <f>1908.581144413*Deflactores!$M$5</f>
        <v>3948.4315655148425</v>
      </c>
      <c r="Q24" s="56">
        <f>2132.026411004*Deflactores!$N$5</f>
        <v>4326.7513445047771</v>
      </c>
      <c r="R24" s="56">
        <f>2542.165565243*Deflactores!$O$5</f>
        <v>4976.9351765693409</v>
      </c>
      <c r="S24" s="56">
        <f>2853.361122613*Deflactores!$P$5</f>
        <v>5231.9748706548471</v>
      </c>
      <c r="T24" s="56">
        <f>3063.832208959*Deflactores!$Q$5</f>
        <v>5312.4335546577531</v>
      </c>
      <c r="U24" s="56">
        <f>3268.330361503*Deflactores!$R$5</f>
        <v>5444.342938678803</v>
      </c>
      <c r="V24" s="56">
        <f>3601.358133438*Deflactores!$S$5</f>
        <v>5814.2046367827834</v>
      </c>
    </row>
    <row r="25" spans="3:22" x14ac:dyDescent="0.2">
      <c r="C25" s="88" t="s">
        <v>134</v>
      </c>
      <c r="D25" s="57">
        <f>6361.97876887899*Deflactores!$A$5</f>
        <v>23742.367641644385</v>
      </c>
      <c r="E25" s="57">
        <f>5335.141461615*Deflactores!$B$5</f>
        <v>18495.690839764313</v>
      </c>
      <c r="F25" s="57">
        <f>5222.34703074399*Deflactores!$C$5</f>
        <v>16921.532326526511</v>
      </c>
      <c r="G25" s="57">
        <f>3939.20444557*Deflactores!$D$5</f>
        <v>11985.829645000296</v>
      </c>
      <c r="H25" s="57">
        <f>4826.168245256*Deflactores!$E$5</f>
        <v>13919.447523169072</v>
      </c>
      <c r="I25" s="57">
        <f>5500.643192605*Deflactores!$F$5</f>
        <v>15130.148313767992</v>
      </c>
      <c r="J25" s="57">
        <f>5514.334187092*Deflactores!$G$5</f>
        <v>14517.711343845174</v>
      </c>
      <c r="K25" s="57">
        <f>6676.61375060918*Deflactores!$H$5</f>
        <v>16630.645187700946</v>
      </c>
      <c r="L25" s="57">
        <f>7150.074943548*Deflactores!$I$5</f>
        <v>16540.593721500325</v>
      </c>
      <c r="M25" s="57">
        <f>7541.975338759*Deflactores!$J$5</f>
        <v>17104.789690242458</v>
      </c>
      <c r="N25" s="57">
        <f>8506.892849585*Deflactores!$K$5</f>
        <v>18700.146887915278</v>
      </c>
      <c r="O25" s="57">
        <f>6973.360240521*Deflactores!$L$5</f>
        <v>14778.340111352101</v>
      </c>
      <c r="P25" s="57">
        <f>7558.129009619*Deflactores!$M$5</f>
        <v>15636.094511973961</v>
      </c>
      <c r="Q25" s="57">
        <f>11558.067679764*Deflactores!$N$5</f>
        <v>23456.034416452771</v>
      </c>
      <c r="R25" s="57">
        <f>14352.031101597*Deflactores!$O$5</f>
        <v>28097.748400556116</v>
      </c>
      <c r="S25" s="57">
        <f>14870.4862115278*Deflactores!$P$5</f>
        <v>27266.794082441524</v>
      </c>
      <c r="T25" s="57">
        <f>16438.0262664571*Deflactores!$Q$5</f>
        <v>28502.188225230184</v>
      </c>
      <c r="U25" s="57">
        <f>19466.424603165*Deflactores!$R$5</f>
        <v>32426.921273902994</v>
      </c>
      <c r="V25" s="57">
        <f>11209.40004445*Deflactores!$S$5</f>
        <v>18096.990995943208</v>
      </c>
    </row>
    <row r="26" spans="3:22" x14ac:dyDescent="0.2">
      <c r="C26" s="87" t="s">
        <v>135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3:22" x14ac:dyDescent="0.2">
      <c r="C27" s="88" t="s">
        <v>136</v>
      </c>
      <c r="D27" s="57">
        <f>22.80573771*Deflactores!$A$5</f>
        <v>85.109087710008367</v>
      </c>
      <c r="E27" s="57">
        <f>18.649474847*Deflactores!$B$5</f>
        <v>64.653378654679145</v>
      </c>
      <c r="F27" s="57">
        <f>20.481876663*Deflactores!$C$5</f>
        <v>66.365704159554497</v>
      </c>
      <c r="G27" s="57">
        <f>18.617895865*Deflactores!$D$5</f>
        <v>56.648729780247713</v>
      </c>
      <c r="H27" s="57">
        <f>16.469342181*Deflactores!$E$5</f>
        <v>47.500238818836351</v>
      </c>
      <c r="I27" s="57">
        <f>17.9578920512*Deflactores!$F$5</f>
        <v>49.395236270290923</v>
      </c>
      <c r="J27" s="57">
        <f>149.485817887*Deflactores!$G$5</f>
        <v>393.5546668829171</v>
      </c>
      <c r="K27" s="57">
        <f>57.393933512*Deflactores!$H$5</f>
        <v>142.96141424647809</v>
      </c>
      <c r="L27" s="57">
        <f>100.369*Deflactores!$I$5</f>
        <v>232.18817485701243</v>
      </c>
      <c r="M27" s="57">
        <f>254.187534637*Deflactores!$J$5</f>
        <v>576.48349756637117</v>
      </c>
      <c r="N27" s="57">
        <f>367.379268967*Deflactores!$K$5</f>
        <v>807.58585005487441</v>
      </c>
      <c r="O27" s="57">
        <f>572.335924916*Deflactores!$L$5</f>
        <v>1212.9267189159284</v>
      </c>
      <c r="P27" s="57">
        <f>1124.694198676*Deflactores!$M$5</f>
        <v>2326.7431351311702</v>
      </c>
      <c r="Q27" s="57">
        <f>866.594*Deflactores!$N$5</f>
        <v>1758.6727515603645</v>
      </c>
      <c r="R27" s="57">
        <f>863.762*Deflactores!$O$5</f>
        <v>1691.0336371317205</v>
      </c>
      <c r="S27" s="57">
        <f>816.232606457*Deflactores!$P$5</f>
        <v>1496.6589583590321</v>
      </c>
      <c r="T27" s="57">
        <f>873.900029501*Deflactores!$Q$5</f>
        <v>1515.270916782649</v>
      </c>
      <c r="U27" s="57">
        <f>834.31091384*Deflactores!$R$5</f>
        <v>1389.7844556749819</v>
      </c>
      <c r="V27" s="57">
        <f>823.913825744*Deflactores!$S$5</f>
        <v>1330.1658453437665</v>
      </c>
    </row>
    <row r="28" spans="3:22" x14ac:dyDescent="0.2">
      <c r="C28" s="87" t="s">
        <v>137</v>
      </c>
      <c r="D28" s="56">
        <f>37.441230251*Deflactores!$A$5</f>
        <v>139.72751023992103</v>
      </c>
      <c r="E28" s="56">
        <f>35.110400412*Deflactores!$B$5</f>
        <v>121.71956750404674</v>
      </c>
      <c r="F28" s="56">
        <f>36.853473007*Deflactores!$C$5</f>
        <v>119.41321232799812</v>
      </c>
      <c r="G28" s="56">
        <f>37.562566805*Deflactores!$D$5</f>
        <v>114.29173909975287</v>
      </c>
      <c r="H28" s="56">
        <f>39.760947091*Deflactores!$E$5</f>
        <v>114.67698355702872</v>
      </c>
      <c r="I28" s="56">
        <f>41.289024871*Deflactores!$F$5</f>
        <v>113.57018591370131</v>
      </c>
      <c r="J28" s="56">
        <f>42.458872902*Deflactores!$G$5</f>
        <v>111.78242737248922</v>
      </c>
      <c r="K28" s="56">
        <f>44.038862792*Deflactores!$H$5</f>
        <v>109.69553263385541</v>
      </c>
      <c r="L28" s="56">
        <f>46.289*Deflactores!$I$5</f>
        <v>107.0824500189924</v>
      </c>
      <c r="M28" s="56">
        <f>52.800896*Deflactores!$J$5</f>
        <v>119.74955909693725</v>
      </c>
      <c r="N28" s="56">
        <f>52.212741*Deflactores!$K$5</f>
        <v>114.77585804649091</v>
      </c>
      <c r="O28" s="56">
        <f>53.389813827*Deflactores!$L$5</f>
        <v>113.1467183686219</v>
      </c>
      <c r="P28" s="56">
        <f>107.449204549*Deflactores!$M$5</f>
        <v>222.28860018483311</v>
      </c>
      <c r="Q28" s="56">
        <f>150.036588071*Deflactores!$N$5</f>
        <v>304.48544436905235</v>
      </c>
      <c r="R28" s="56">
        <f>128.552*Deflactores!$O$5</f>
        <v>251.67321104720622</v>
      </c>
      <c r="S28" s="56">
        <f>124.890300444*Deflactores!$P$5</f>
        <v>229.00112724363538</v>
      </c>
      <c r="T28" s="56">
        <f>133.6877955*Deflactores!$Q$5</f>
        <v>231.80366359022361</v>
      </c>
      <c r="U28" s="56">
        <f>144.80719185*Deflactores!$R$5</f>
        <v>241.21796918225357</v>
      </c>
      <c r="V28" s="56">
        <f>150.830727036*Deflactores!$S$5</f>
        <v>243.50833213714515</v>
      </c>
    </row>
    <row r="29" spans="3:22" x14ac:dyDescent="0.2">
      <c r="C29" s="88" t="s">
        <v>138</v>
      </c>
      <c r="D29" s="57">
        <f>142.781385021*Deflactores!$A$5</f>
        <v>532.84807427125168</v>
      </c>
      <c r="E29" s="57">
        <f>155.959276*Deflactores!$B$5</f>
        <v>540.67442695629768</v>
      </c>
      <c r="F29" s="57">
        <f>168.930272999*Deflactores!$C$5</f>
        <v>547.37057086654181</v>
      </c>
      <c r="G29" s="57">
        <f>185.921260278*Deflactores!$D$5</f>
        <v>565.70319816274923</v>
      </c>
      <c r="H29" s="57">
        <f>193.76040943*Deflactores!$E$5</f>
        <v>558.83626804344385</v>
      </c>
      <c r="I29" s="57">
        <f>230.00198296728*Deflactores!$F$5</f>
        <v>632.64676382465757</v>
      </c>
      <c r="J29" s="57">
        <f>245.736133*Deflactores!$G$5</f>
        <v>646.95503112554218</v>
      </c>
      <c r="K29" s="57">
        <f>239.609713421*Deflactores!$H$5</f>
        <v>596.83909782376941</v>
      </c>
      <c r="L29" s="57">
        <f>269.187564*Deflactores!$I$5</f>
        <v>622.72384082102269</v>
      </c>
      <c r="M29" s="57">
        <f>268.490575452*Deflactores!$J$5</f>
        <v>608.92201586995725</v>
      </c>
      <c r="N29" s="57">
        <f>281.909150286*Deflactores!$K$5</f>
        <v>619.70247099712321</v>
      </c>
      <c r="O29" s="57">
        <f>285.181654793*Deflactores!$L$5</f>
        <v>604.37312037306731</v>
      </c>
      <c r="P29" s="57">
        <f>125.18747*Deflactores!$M$5</f>
        <v>258.9851417121522</v>
      </c>
      <c r="Q29" s="57">
        <f>166.47671518*Deflactores!$N$5</f>
        <v>337.84916899533312</v>
      </c>
      <c r="R29" s="57">
        <f>91.421445*Deflactores!$O$5</f>
        <v>178.98071303227923</v>
      </c>
      <c r="S29" s="57">
        <f>65.081073188*Deflactores!$P$5</f>
        <v>119.33383993227105</v>
      </c>
      <c r="T29" s="57">
        <f>83.6825*Deflactores!$Q$5</f>
        <v>145.09858589439369</v>
      </c>
      <c r="U29" s="57">
        <f>84.964*Deflactores!$R$5</f>
        <v>141.53194514558905</v>
      </c>
      <c r="V29" s="57">
        <f>88.922007596*Deflactores!$S$5</f>
        <v>143.55993759030514</v>
      </c>
    </row>
    <row r="30" spans="3:22" x14ac:dyDescent="0.2">
      <c r="C30" s="87" t="s">
        <v>139</v>
      </c>
      <c r="D30" s="56">
        <f>369.35002613*Deflactores!$A$5</f>
        <v>1378.383114342678</v>
      </c>
      <c r="E30" s="56">
        <f>436.204439857*Deflactores!$B$5</f>
        <v>1512.2190330985911</v>
      </c>
      <c r="F30" s="56">
        <f>470.353104091*Deflactores!$C$5</f>
        <v>1524.0456463162445</v>
      </c>
      <c r="G30" s="56">
        <f>527.738888081*Deflactores!$D$5</f>
        <v>1605.7527597213768</v>
      </c>
      <c r="H30" s="56">
        <f>608.4298056552*Deflactores!$E$5</f>
        <v>1754.8096794334367</v>
      </c>
      <c r="I30" s="56">
        <f>727.38217577268*Deflactores!$F$5</f>
        <v>2000.7478789075863</v>
      </c>
      <c r="J30" s="56">
        <f>887.28551747063*Deflactores!$G$5</f>
        <v>2335.9764905735465</v>
      </c>
      <c r="K30" s="56">
        <f>797.96521835616*Deflactores!$H$5</f>
        <v>1987.6357857898815</v>
      </c>
      <c r="L30" s="56">
        <f>840.102948383*Deflactores!$I$5</f>
        <v>1943.4483782546772</v>
      </c>
      <c r="M30" s="56">
        <f>1015.403214734*Deflactores!$J$5</f>
        <v>2302.8792403448833</v>
      </c>
      <c r="N30" s="56">
        <f>2031.57707364917*Deflactores!$K$5</f>
        <v>4465.8831800395719</v>
      </c>
      <c r="O30" s="56">
        <f>1936.84369207999*Deflactores!$L$5</f>
        <v>4104.6688880003248</v>
      </c>
      <c r="P30" s="56">
        <f>1598.20724615689*Deflactores!$M$5</f>
        <v>3306.3367294772443</v>
      </c>
      <c r="Q30" s="56">
        <f>1922.238567204*Deflactores!$N$5</f>
        <v>3901.0062268376091</v>
      </c>
      <c r="R30" s="56">
        <f>2218.8907886704*Deflactores!$O$5</f>
        <v>4344.0426422595328</v>
      </c>
      <c r="S30" s="56">
        <f>2252.415608605*Deflactores!$P$5</f>
        <v>4130.0702421080969</v>
      </c>
      <c r="T30" s="56">
        <f>2281.441010326*Deflactores!$Q$5</f>
        <v>3955.8314390676601</v>
      </c>
      <c r="U30" s="56">
        <f>2575.88600462*Deflactores!$R$5</f>
        <v>4290.8779801700539</v>
      </c>
      <c r="V30" s="56">
        <f>2892.945998648*Deflactores!$S$5</f>
        <v>4670.5102397700693</v>
      </c>
    </row>
    <row r="31" spans="3:22" x14ac:dyDescent="0.2">
      <c r="C31" s="88" t="s">
        <v>140</v>
      </c>
      <c r="D31" s="57">
        <f>99.202090828*Deflactores!$A$5</f>
        <v>370.2138276191053</v>
      </c>
      <c r="E31" s="57">
        <f>99.384307407*Deflactores!$B$5</f>
        <v>344.542208927209</v>
      </c>
      <c r="F31" s="57">
        <f>108.167592583*Deflactores!$C$5</f>
        <v>350.48636251103852</v>
      </c>
      <c r="G31" s="57">
        <f>78.718469011*Deflactores!$D$5</f>
        <v>239.51693102452219</v>
      </c>
      <c r="H31" s="57">
        <f>102.503757511*Deflactores!$E$5</f>
        <v>295.63736718141058</v>
      </c>
      <c r="I31" s="57">
        <f>107.655566925*Deflactores!$F$5</f>
        <v>296.11895142877574</v>
      </c>
      <c r="J31" s="57">
        <f>95.470541096*Deflactores!$G$5</f>
        <v>251.34743569166133</v>
      </c>
      <c r="K31" s="57">
        <f>78.157086*Deflactores!$H$5</f>
        <v>194.67994026942682</v>
      </c>
      <c r="L31" s="57">
        <f>59.8212*Deflactores!$I$5</f>
        <v>138.38710404364207</v>
      </c>
      <c r="M31" s="57">
        <f>56.1496*Deflactores!$J$5</f>
        <v>127.3442375574344</v>
      </c>
      <c r="N31" s="57">
        <f>65.9916*Deflactores!$K$5</f>
        <v>145.06502376231904</v>
      </c>
      <c r="O31" s="57">
        <f>54.0455*Deflactores!$L$5</f>
        <v>114.53628565565208</v>
      </c>
      <c r="P31" s="57">
        <f>72.967205637*Deflactores!$M$5</f>
        <v>150.95298349138451</v>
      </c>
      <c r="Q31" s="57">
        <f>97.2781*Deflactores!$N$5</f>
        <v>197.41694933678778</v>
      </c>
      <c r="R31" s="57">
        <f>123.41191544663*Deflactores!$O$5</f>
        <v>241.61018919923211</v>
      </c>
      <c r="S31" s="57">
        <f>113.96275591*Deflactores!$P$5</f>
        <v>208.96418276200131</v>
      </c>
      <c r="T31" s="57">
        <f>133.266948587*Deflactores!$Q$5</f>
        <v>231.07394958843926</v>
      </c>
      <c r="U31" s="57">
        <f>173.26894931*Deflactores!$R$5</f>
        <v>288.62920094600975</v>
      </c>
      <c r="V31" s="57">
        <f>187.092933987*Deflactores!$S$5</f>
        <v>302.05177157931155</v>
      </c>
    </row>
    <row r="32" spans="3:22" x14ac:dyDescent="0.2">
      <c r="C32" s="87" t="s">
        <v>141</v>
      </c>
      <c r="D32" s="56">
        <f>364.17003704*Deflactores!$A$5</f>
        <v>1359.051832390576</v>
      </c>
      <c r="E32" s="56">
        <f>357.268739369*Deflactores!$B$5</f>
        <v>1238.5673740094367</v>
      </c>
      <c r="F32" s="56">
        <f>383.132300597*Deflactores!$C$5</f>
        <v>1241.4314046389588</v>
      </c>
      <c r="G32" s="56">
        <f>393.697666921*Deflactores!$D$5</f>
        <v>1197.9051182925766</v>
      </c>
      <c r="H32" s="56">
        <f>448.758970934*Deflactores!$E$5</f>
        <v>1294.2932423889895</v>
      </c>
      <c r="I32" s="56">
        <f>464.606626845*Deflactores!$F$5</f>
        <v>1277.9536729767856</v>
      </c>
      <c r="J32" s="56">
        <f>512.479085551*Deflactores!$G$5</f>
        <v>1349.2151874296671</v>
      </c>
      <c r="K32" s="56">
        <f>579.381221961*Deflactores!$H$5</f>
        <v>1443.169230805189</v>
      </c>
      <c r="L32" s="56">
        <f>663.046012058*Deflactores!$I$5</f>
        <v>1533.8545107151378</v>
      </c>
      <c r="M32" s="56">
        <f>754.138252741*Deflactores!$J$5</f>
        <v>1710.3445226359299</v>
      </c>
      <c r="N32" s="56">
        <f>858.982173055*Deflactores!$K$5</f>
        <v>1888.2444030093529</v>
      </c>
      <c r="O32" s="56">
        <f>886.587547802*Deflactores!$L$5</f>
        <v>1878.9065626887341</v>
      </c>
      <c r="P32" s="56">
        <f>1075.21067836*Deflactores!$M$5</f>
        <v>2224.3726940522392</v>
      </c>
      <c r="Q32" s="56">
        <f>1180.627646431*Deflactores!$N$5</f>
        <v>2395.975129665153</v>
      </c>
      <c r="R32" s="56">
        <f>1297.008165225*Deflactores!$O$5</f>
        <v>2539.2231135775501</v>
      </c>
      <c r="S32" s="56">
        <f>1360.65636612468*Deflactores!$P$5</f>
        <v>2494.9242697474024</v>
      </c>
      <c r="T32" s="56">
        <f>1449.97042483*Deflactores!$Q$5</f>
        <v>2514.1296953547785</v>
      </c>
      <c r="U32" s="56">
        <f>1525.774946473*Deflactores!$R$5</f>
        <v>2541.6164025791008</v>
      </c>
      <c r="V32" s="56">
        <f>1640.250255797*Deflactores!$S$5</f>
        <v>2648.0983810501793</v>
      </c>
    </row>
    <row r="33" spans="3:22" x14ac:dyDescent="0.2">
      <c r="C33" s="88" t="s">
        <v>142</v>
      </c>
      <c r="D33" s="57">
        <f>22.505288024*Deflactores!$A$5</f>
        <v>83.987834847970674</v>
      </c>
      <c r="E33" s="57">
        <f>22.99386148*Deflactores!$B$5</f>
        <v>79.714353631722986</v>
      </c>
      <c r="F33" s="57">
        <f>24.607751302*Deflactores!$C$5</f>
        <v>79.73442911559944</v>
      </c>
      <c r="G33" s="57">
        <f>24.602328639*Deflactores!$D$5</f>
        <v>74.857582035120075</v>
      </c>
      <c r="H33" s="57">
        <f>26.084960967*Deflactores!$E$5</f>
        <v>75.233234083991277</v>
      </c>
      <c r="I33" s="57">
        <f>24.780888432*Deflactores!$F$5</f>
        <v>68.162668290711977</v>
      </c>
      <c r="J33" s="57">
        <f>29.50153705*Deflactores!$G$5</f>
        <v>77.669358540911375</v>
      </c>
      <c r="K33" s="57">
        <f>35.28947777*Deflactores!$H$5</f>
        <v>87.901862467119926</v>
      </c>
      <c r="L33" s="57">
        <f>32.866445*Deflactores!$I$5</f>
        <v>76.0314427620917</v>
      </c>
      <c r="M33" s="57">
        <f>38.218*Deflactores!$J$5</f>
        <v>86.676344461403616</v>
      </c>
      <c r="N33" s="57">
        <f>141.708209182*Deflactores!$K$5</f>
        <v>311.50789997973237</v>
      </c>
      <c r="O33" s="57">
        <f>33.589316663*Deflactores!$L$5</f>
        <v>71.184382941993732</v>
      </c>
      <c r="P33" s="57">
        <f>51.836679243*Deflactores!$M$5</f>
        <v>107.23860558597224</v>
      </c>
      <c r="Q33" s="57">
        <f>92.845065183*Deflactores!$N$5</f>
        <v>188.4205132440197</v>
      </c>
      <c r="R33" s="57">
        <f>88.962588457*Deflactores!$O$5</f>
        <v>174.16687643945107</v>
      </c>
      <c r="S33" s="57">
        <f>80.254027642*Deflactores!$P$5</f>
        <v>147.15524528744783</v>
      </c>
      <c r="T33" s="57">
        <f>76.286193582*Deflactores!$Q$5</f>
        <v>132.27399769383288</v>
      </c>
      <c r="U33" s="57">
        <f>77.979810485*Deflactores!$R$5</f>
        <v>129.89777152707561</v>
      </c>
      <c r="V33" s="57">
        <f>80.13284642*Deflactores!$S$5</f>
        <v>129.37029585807718</v>
      </c>
    </row>
    <row r="34" spans="3:22" x14ac:dyDescent="0.2">
      <c r="C34" s="87" t="s">
        <v>143</v>
      </c>
      <c r="D34" s="56">
        <f>47.685443339*Deflactores!$A$5</f>
        <v>177.95804859449933</v>
      </c>
      <c r="E34" s="56">
        <f>51.497351627*Deflactores!$B$5</f>
        <v>178.52930453905921</v>
      </c>
      <c r="F34" s="56">
        <f>50.053656011*Deflactores!$C$5</f>
        <v>162.18465629816845</v>
      </c>
      <c r="G34" s="56">
        <f>47.347336371*Deflactores!$D$5</f>
        <v>144.06388795725886</v>
      </c>
      <c r="H34" s="56">
        <f>75.454549054*Deflactores!$E$5</f>
        <v>217.62308783452451</v>
      </c>
      <c r="I34" s="56">
        <f>91.3059031658*Deflactores!$F$5</f>
        <v>251.1473310390914</v>
      </c>
      <c r="J34" s="56">
        <f>168.998034364*Deflactores!$G$5</f>
        <v>444.92491701298593</v>
      </c>
      <c r="K34" s="56">
        <f>225.011115945*Deflactores!$H$5</f>
        <v>560.47574000046097</v>
      </c>
      <c r="L34" s="56">
        <f>238.34049656*Deflactores!$I$5</f>
        <v>551.36391605755205</v>
      </c>
      <c r="M34" s="56">
        <f>266.924622674*Deflactores!$J$5</f>
        <v>605.37052017692724</v>
      </c>
      <c r="N34" s="56">
        <f>257.543389531*Deflactores!$K$5</f>
        <v>566.14081068109738</v>
      </c>
      <c r="O34" s="56">
        <f>249.617230872*Deflactores!$L$5</f>
        <v>529.00297822627692</v>
      </c>
      <c r="P34" s="56">
        <f>490.917800242*Deflactores!$M$5</f>
        <v>1015.6001720035749</v>
      </c>
      <c r="Q34" s="56">
        <f>507.164294802*Deflactores!$N$5</f>
        <v>1029.2432509717412</v>
      </c>
      <c r="R34" s="56">
        <f>564.832994555*Deflactores!$O$5</f>
        <v>1105.8041371979123</v>
      </c>
      <c r="S34" s="56">
        <f>544.6774584718*Deflactores!$P$5</f>
        <v>998.73049813159446</v>
      </c>
      <c r="T34" s="56">
        <f>719.005515257*Deflactores!$Q$5</f>
        <v>1246.6965436508303</v>
      </c>
      <c r="U34" s="56">
        <f>1775.987384293*Deflactores!$R$5</f>
        <v>2958.4170831530423</v>
      </c>
      <c r="V34" s="56">
        <f>752.990063475*Deflactores!$S$5</f>
        <v>1215.6631349318925</v>
      </c>
    </row>
    <row r="35" spans="3:22" x14ac:dyDescent="0.2">
      <c r="C35" s="88" t="s">
        <v>144</v>
      </c>
      <c r="D35" s="57">
        <f>683.481112568*Deflactores!$A$5</f>
        <v>2550.6938077331774</v>
      </c>
      <c r="E35" s="57">
        <f>760.070378193*Deflactores!$B$5</f>
        <v>2634.9866882939154</v>
      </c>
      <c r="F35" s="57">
        <f>789.963169484*Deflactores!$C$5</f>
        <v>2559.6512890650415</v>
      </c>
      <c r="G35" s="57">
        <f>779.795028311999*Deflactores!$D$5</f>
        <v>2372.6847632589356</v>
      </c>
      <c r="H35" s="57">
        <f>970.428904733*Deflactores!$E$5</f>
        <v>2798.8734598457663</v>
      </c>
      <c r="I35" s="57">
        <f>1005.48043377299*Deflactores!$F$5</f>
        <v>2765.6889488904467</v>
      </c>
      <c r="J35" s="57">
        <f>1138.140955315*Deflactores!$G$5</f>
        <v>2996.4092304287628</v>
      </c>
      <c r="K35" s="57">
        <f>1226.455430559*Deflactores!$H$5</f>
        <v>3054.953583662782</v>
      </c>
      <c r="L35" s="57">
        <f>1366.125711945*Deflactores!$I$5</f>
        <v>3160.3207731644852</v>
      </c>
      <c r="M35" s="57">
        <f>1599.524877745*Deflactores!$J$5</f>
        <v>3627.6353885082972</v>
      </c>
      <c r="N35" s="57">
        <f>1709.532783034*Deflactores!$K$5</f>
        <v>3757.954251651583</v>
      </c>
      <c r="O35" s="57">
        <f>1907.763642385*Deflactores!$L$5</f>
        <v>4043.0407990984568</v>
      </c>
      <c r="P35" s="57">
        <f>2247.591541903*Deflactores!$M$5</f>
        <v>4649.768974409204</v>
      </c>
      <c r="Q35" s="57">
        <f>2500.445921539*Deflactores!$N$5</f>
        <v>5074.4248274980955</v>
      </c>
      <c r="R35" s="57">
        <f>2757.547421931*Deflactores!$O$5</f>
        <v>5398.5998995917607</v>
      </c>
      <c r="S35" s="57">
        <f>2987.891266268*Deflactores!$P$5</f>
        <v>5478.6517898048423</v>
      </c>
      <c r="T35" s="57">
        <f>3332.867664156*Deflactores!$Q$5</f>
        <v>5778.9189501052988</v>
      </c>
      <c r="U35" s="57">
        <f>3578.445731815*Deflactores!$R$5</f>
        <v>5960.9291584872162</v>
      </c>
      <c r="V35" s="57">
        <f>3971.255960177*Deflactores!$S$5</f>
        <v>6411.3853612970261</v>
      </c>
    </row>
    <row r="36" spans="3:22" x14ac:dyDescent="0.2">
      <c r="C36" s="87" t="s">
        <v>145</v>
      </c>
      <c r="D36" s="56">
        <f>177.396037687*Deflactores!$A$5</f>
        <v>662.02703560387624</v>
      </c>
      <c r="E36" s="56">
        <f>181.520900897*Deflactores!$B$5</f>
        <v>629.29061733446599</v>
      </c>
      <c r="F36" s="56">
        <f>226.367109303*Deflactores!$C$5</f>
        <v>733.47832596781188</v>
      </c>
      <c r="G36" s="56">
        <f>318.315558605*Deflactores!$D$5</f>
        <v>968.53974235413671</v>
      </c>
      <c r="H36" s="56">
        <f>135.806088325*Deflactores!$E$5</f>
        <v>391.68665983098765</v>
      </c>
      <c r="I36" s="56">
        <f>140.870351064*Deflactores!$F$5</f>
        <v>387.48001460561909</v>
      </c>
      <c r="J36" s="56">
        <f>452.997152749*Deflactores!$G$5</f>
        <v>1192.6157682985565</v>
      </c>
      <c r="K36" s="56">
        <f>355.103755369*Deflactores!$H$5</f>
        <v>884.52092347309451</v>
      </c>
      <c r="L36" s="56">
        <f>260.371648098*Deflactores!$I$5</f>
        <v>602.329581408472</v>
      </c>
      <c r="M36" s="56">
        <f>304.653617357*Deflactores!$J$5</f>
        <v>690.93782718739806</v>
      </c>
      <c r="N36" s="56">
        <f>662.722881918*Deflactores!$K$5</f>
        <v>1456.8204228002839</v>
      </c>
      <c r="O36" s="56">
        <f>565.949406384*Deflactores!$L$5</f>
        <v>1199.3920470019623</v>
      </c>
      <c r="P36" s="56">
        <f>398.119444406*Deflactores!$M$5</f>
        <v>823.62093209369277</v>
      </c>
      <c r="Q36" s="56">
        <f>555.627975547*Deflactores!$N$5</f>
        <v>1127.5958298801486</v>
      </c>
      <c r="R36" s="56">
        <f>1087.253*Deflactores!$O$5</f>
        <v>2128.5740690981711</v>
      </c>
      <c r="S36" s="56">
        <f>834.159595818*Deflactores!$P$5</f>
        <v>1529.5302122286987</v>
      </c>
      <c r="T36" s="56">
        <f>687.36124523431*Deflactores!$Q$5</f>
        <v>1191.8279769618252</v>
      </c>
      <c r="U36" s="56">
        <f>710.878205396*Deflactores!$R$5</f>
        <v>1184.1718277305854</v>
      </c>
      <c r="V36" s="56">
        <f>1761.113463059*Deflactores!$S$5</f>
        <v>2843.2257174720949</v>
      </c>
    </row>
    <row r="37" spans="3:22" x14ac:dyDescent="0.2">
      <c r="C37" s="88" t="s">
        <v>146</v>
      </c>
      <c r="D37" s="57">
        <f>154.647582934*Deflactores!$A$5</f>
        <v>577.13172305315447</v>
      </c>
      <c r="E37" s="57">
        <f>162.722035704*Deflactores!$B$5</f>
        <v>564.11933720070886</v>
      </c>
      <c r="F37" s="57">
        <f>181.496882144*Deflactores!$C$5</f>
        <v>588.08909869130935</v>
      </c>
      <c r="G37" s="57">
        <f>184.734801701*Deflactores!$D$5</f>
        <v>562.09315695233079</v>
      </c>
      <c r="H37" s="57">
        <f>192.250093345*Deflactores!$E$5</f>
        <v>554.48027288947867</v>
      </c>
      <c r="I37" s="57">
        <f>253.745148707*Deflactores!$F$5</f>
        <v>697.95505714629917</v>
      </c>
      <c r="J37" s="57">
        <f>242.696010406*Deflactores!$G$5</f>
        <v>638.95123215867739</v>
      </c>
      <c r="K37" s="57">
        <f>244.468309894*Deflactores!$H$5</f>
        <v>608.94127971879141</v>
      </c>
      <c r="L37" s="57">
        <f>227.734210031*Deflactores!$I$5</f>
        <v>526.82791080514323</v>
      </c>
      <c r="M37" s="57">
        <f>218.250048499*Deflactores!$J$5</f>
        <v>494.9792344554233</v>
      </c>
      <c r="N37" s="57">
        <f>258.105311646*Deflactores!$K$5</f>
        <v>567.37604736220601</v>
      </c>
      <c r="O37" s="57">
        <f>257.451771092*Deflactores!$L$5</f>
        <v>545.6063797420112</v>
      </c>
      <c r="P37" s="57">
        <f>392.289653966*Deflactores!$M$5</f>
        <v>811.5603871904724</v>
      </c>
      <c r="Q37" s="57">
        <f>400.0033*Deflactores!$N$5</f>
        <v>811.76987637143338</v>
      </c>
      <c r="R37" s="57">
        <f>440.2592*Deflactores!$O$5</f>
        <v>861.91927435647983</v>
      </c>
      <c r="S37" s="57">
        <f>570.776655769*Deflactores!$P$5</f>
        <v>1046.5864611644702</v>
      </c>
      <c r="T37" s="57">
        <f>649.28099391431*Deflactores!$Q$5</f>
        <v>1125.7999470029315</v>
      </c>
      <c r="U37" s="57">
        <f>608.444357987*Deflactores!$R$5</f>
        <v>1013.5388340798365</v>
      </c>
      <c r="V37" s="57">
        <f>597.030274404*Deflactores!$S$5</f>
        <v>963.87419998844564</v>
      </c>
    </row>
    <row r="38" spans="3:22" x14ac:dyDescent="0.2">
      <c r="C38" s="90" t="s">
        <v>147</v>
      </c>
      <c r="D38" s="58">
        <f>4132.182282225*Deflactores!$A$5</f>
        <v>15420.955408840842</v>
      </c>
      <c r="E38" s="58">
        <f>5077.0721681915*Deflactores!$B$5</f>
        <v>17601.024803120446</v>
      </c>
      <c r="F38" s="58">
        <f>6269.87030751317*Deflactores!$C$5</f>
        <v>20315.733992231097</v>
      </c>
      <c r="G38" s="58">
        <f>7189.70893023898*Deflactores!$D$5</f>
        <v>21876.149772295543</v>
      </c>
      <c r="H38" s="58">
        <f>9360.993086819*Deflactores!$E$5</f>
        <v>26998.613685879471</v>
      </c>
      <c r="I38" s="58">
        <f>12387.488195343*Deflactores!$F$5</f>
        <v>34073.20327240297</v>
      </c>
      <c r="J38" s="58">
        <f>13664.781259167*Deflactores!$G$5</f>
        <v>35975.576228539874</v>
      </c>
      <c r="K38" s="58">
        <f>14945.523110397*Deflactores!$H$5</f>
        <v>37227.508026942378</v>
      </c>
      <c r="L38" s="58">
        <f>16982.664560603*Deflactores!$I$5</f>
        <v>39286.770701464367</v>
      </c>
      <c r="M38" s="58">
        <f>19958.385769324*Deflactores!$J$5</f>
        <v>45264.532938288314</v>
      </c>
      <c r="N38" s="58">
        <f>22516.868852978*Deflactores!$K$5</f>
        <v>49497.362015927407</v>
      </c>
      <c r="O38" s="58">
        <f>20597.318133764*Deflactores!$L$5</f>
        <v>43651.003571234171</v>
      </c>
      <c r="P38" s="58">
        <f>23294.372092786*Deflactores!$M$5</f>
        <v>48190.895283256265</v>
      </c>
      <c r="Q38" s="58">
        <f>23325.787036341*Deflactores!$N$5</f>
        <v>47337.537612206994</v>
      </c>
      <c r="R38" s="58">
        <f>28057.263104963*Deflactores!$O$5</f>
        <v>54929.223184566137</v>
      </c>
      <c r="S38" s="58">
        <f>27065.79010634*Deflactores!$P$5</f>
        <v>49628.325194642959</v>
      </c>
      <c r="T38" s="58">
        <f>28398.202375586*Deflactores!$Q$5</f>
        <v>49240.151843459986</v>
      </c>
      <c r="U38" s="58">
        <f>34673.742161663*Deflactores!$R$5</f>
        <v>57759.076474939815</v>
      </c>
      <c r="V38" s="58">
        <f>44871.073328509*Deflactores!$S$5</f>
        <v>72442.00463756203</v>
      </c>
    </row>
    <row r="39" spans="3:22" ht="22.5" customHeight="1" x14ac:dyDescent="0.2">
      <c r="C39" s="89" t="s">
        <v>148</v>
      </c>
      <c r="D39" s="59">
        <f>0*Deflactores!$A$5</f>
        <v>0</v>
      </c>
      <c r="E39" s="59">
        <f>0*Deflactores!$B$5</f>
        <v>0</v>
      </c>
      <c r="F39" s="59">
        <f>0*Deflactores!$C$5</f>
        <v>0</v>
      </c>
      <c r="G39" s="59">
        <f>0*Deflactores!$D$5</f>
        <v>0</v>
      </c>
      <c r="H39" s="59">
        <f>0*Deflactores!$E$5</f>
        <v>0</v>
      </c>
      <c r="I39" s="59">
        <f>0*Deflactores!$F$5</f>
        <v>0</v>
      </c>
      <c r="J39" s="59">
        <f>0*Deflactores!$G$5</f>
        <v>0</v>
      </c>
      <c r="K39" s="59">
        <f>0*Deflactores!$H$5</f>
        <v>0</v>
      </c>
      <c r="L39" s="59">
        <f>0*Deflactores!$I$5</f>
        <v>0</v>
      </c>
      <c r="M39" s="59">
        <f>0*Deflactores!$J$5</f>
        <v>0</v>
      </c>
      <c r="N39" s="59">
        <f>0*Deflactores!$K$5</f>
        <v>0</v>
      </c>
      <c r="O39" s="59">
        <f>0*Deflactores!$L$5</f>
        <v>0</v>
      </c>
      <c r="P39" s="59">
        <f>0*Deflactores!$M$5</f>
        <v>0</v>
      </c>
      <c r="Q39" s="59">
        <f>0*Deflactores!$N$5</f>
        <v>0</v>
      </c>
      <c r="R39" s="59">
        <f>0*Deflactores!$O$5</f>
        <v>0</v>
      </c>
      <c r="S39" s="59">
        <f>0*Deflactores!$P$5</f>
        <v>0</v>
      </c>
      <c r="T39" s="59">
        <f>0*Deflactores!$Q$5</f>
        <v>0</v>
      </c>
      <c r="U39" s="59">
        <f>0.25044*Deflactores!$R$5</f>
        <v>0.4171797507445662</v>
      </c>
      <c r="V39" s="59">
        <f>139.020442846*Deflactores!$S$5</f>
        <v>224.44124506750461</v>
      </c>
    </row>
    <row r="40" spans="3:22" x14ac:dyDescent="0.2">
      <c r="C40" s="87" t="s">
        <v>149</v>
      </c>
      <c r="D40" s="56">
        <f>39.048965517*Deflactores!$A$5</f>
        <v>145.72744251610729</v>
      </c>
      <c r="E40" s="56">
        <f>19.159935484*Deflactores!$B$5</f>
        <v>66.423026600426979</v>
      </c>
      <c r="F40" s="56">
        <f>17.687412517*Deflactores!$C$5</f>
        <v>57.311036765089561</v>
      </c>
      <c r="G40" s="56">
        <f>19.663020958*Deflactores!$D$5</f>
        <v>59.828735158364232</v>
      </c>
      <c r="H40" s="56">
        <f>20.94*Deflactores!$E$5</f>
        <v>60.394336940422896</v>
      </c>
      <c r="I40" s="56">
        <f>42.0393*Deflactores!$F$5</f>
        <v>115.6339034791603</v>
      </c>
      <c r="J40" s="56">
        <f>44.397586389*Deflactores!$G$5</f>
        <v>116.88652187016567</v>
      </c>
      <c r="K40" s="56">
        <f>36.292296*Deflactores!$H$5</f>
        <v>90.399762569453486</v>
      </c>
      <c r="L40" s="56">
        <f>37.922*Deflactores!$I$5</f>
        <v>87.726688189855679</v>
      </c>
      <c r="M40" s="56">
        <f>123.7144*Deflactores!$J$5</f>
        <v>280.57752758479955</v>
      </c>
      <c r="N40" s="56">
        <f>122.422863*Deflactores!$K$5</f>
        <v>269.11418317098128</v>
      </c>
      <c r="O40" s="56">
        <f>110.0365*Deflactores!$L$5</f>
        <v>233.19558513748899</v>
      </c>
      <c r="P40" s="56">
        <f>170.1886*Deflactores!$M$5</f>
        <v>352.08251024477755</v>
      </c>
      <c r="Q40" s="56">
        <f>64.8344*Deflactores!$N$5</f>
        <v>131.575446684105</v>
      </c>
      <c r="R40" s="56">
        <f>112.526400085*Deflactores!$O$5</f>
        <v>220.29902636267482</v>
      </c>
      <c r="S40" s="56">
        <f>67.68129*Deflactores!$P$5</f>
        <v>124.10164478908496</v>
      </c>
      <c r="T40" s="56">
        <f>64.25810018*Deflactores!$Q$5</f>
        <v>111.418271064778</v>
      </c>
      <c r="U40" s="56">
        <f>64.647120832*Deflactores!$R$5</f>
        <v>107.68834752854022</v>
      </c>
      <c r="V40" s="56">
        <f>65.465511236*Deflactores!$S$5</f>
        <v>105.69064915916655</v>
      </c>
    </row>
    <row r="41" spans="3:22" x14ac:dyDescent="0.2">
      <c r="C41" s="88" t="s">
        <v>150</v>
      </c>
      <c r="D41" s="57">
        <f>156.560922604*Deflactores!$A$5</f>
        <v>584.27214516375625</v>
      </c>
      <c r="E41" s="57">
        <f>172.329615875*Deflactores!$B$5</f>
        <v>597.42657635070407</v>
      </c>
      <c r="F41" s="57">
        <f>311.479552377299*Deflactores!$C$5</f>
        <v>1009.2610245117304</v>
      </c>
      <c r="G41" s="57">
        <f>120.926044198*Deflactores!$D$5</f>
        <v>367.9420516066354</v>
      </c>
      <c r="H41" s="57">
        <f>172.4767*Deflactores!$E$5</f>
        <v>497.45061767775724</v>
      </c>
      <c r="I41" s="57">
        <f>149.39652*Deflactores!$F$5</f>
        <v>410.9322175631479</v>
      </c>
      <c r="J41" s="57">
        <f>158.152560213*Deflactores!$G$5</f>
        <v>416.37179386714604</v>
      </c>
      <c r="K41" s="57">
        <f>146.528785*Deflactores!$H$5</f>
        <v>364.98565352796908</v>
      </c>
      <c r="L41" s="57">
        <f>112.2108*Deflactores!$I$5</f>
        <v>259.5823496422725</v>
      </c>
      <c r="M41" s="57">
        <f>211.3932*Deflactores!$J$5</f>
        <v>479.42827515826013</v>
      </c>
      <c r="N41" s="57">
        <f>213.979268773*Deflactores!$K$5</f>
        <v>470.37664959174953</v>
      </c>
      <c r="O41" s="57">
        <f>191.1799*Deflactores!$L$5</f>
        <v>405.15927575874031</v>
      </c>
      <c r="P41" s="57">
        <f>322.117103948*Deflactores!$M$5</f>
        <v>666.38892705380852</v>
      </c>
      <c r="Q41" s="57">
        <f>247.5276*Deflactores!$N$5</f>
        <v>502.33447886684337</v>
      </c>
      <c r="R41" s="57">
        <f>236.910655261*Deflactores!$O$5</f>
        <v>463.81281769893565</v>
      </c>
      <c r="S41" s="57">
        <f>222.713270535*Deflactores!$P$5</f>
        <v>408.37110506832761</v>
      </c>
      <c r="T41" s="57">
        <f>203.938670994*Deflactores!$Q$5</f>
        <v>353.61291513053988</v>
      </c>
      <c r="U41" s="57">
        <f>210.397585828*Deflactores!$R$5</f>
        <v>350.47760905998848</v>
      </c>
      <c r="V41" s="57">
        <f>212.346367936*Deflactores!$S$5</f>
        <v>342.82212190845115</v>
      </c>
    </row>
    <row r="42" spans="3:22" x14ac:dyDescent="0.2">
      <c r="C42" s="87" t="s">
        <v>151</v>
      </c>
      <c r="D42" s="56">
        <f>21.143380699*Deflactores!$A$5</f>
        <v>78.905311693041014</v>
      </c>
      <c r="E42" s="56">
        <f>21.704019614*Deflactores!$B$5</f>
        <v>75.242772782862204</v>
      </c>
      <c r="F42" s="56">
        <f>20.235695*Deflactores!$C$5</f>
        <v>65.568022399968498</v>
      </c>
      <c r="G42" s="56">
        <f>18.380434267*Deflactores!$D$5</f>
        <v>55.926204635847462</v>
      </c>
      <c r="H42" s="56">
        <f>10.385748058*Deflactores!$E$5</f>
        <v>29.954172282387525</v>
      </c>
      <c r="I42" s="56">
        <f>11.393046283*Deflactores!$F$5</f>
        <v>31.337877039390001</v>
      </c>
      <c r="J42" s="56">
        <f>17.279664155*Deflactores!$G$5</f>
        <v>45.492559538392911</v>
      </c>
      <c r="K42" s="56">
        <f>15.058452865*Deflactores!$H$5</f>
        <v>37.508802519942705</v>
      </c>
      <c r="L42" s="56">
        <f>10.368929992*Deflactores!$I$5</f>
        <v>23.986917574775244</v>
      </c>
      <c r="M42" s="56">
        <f>7.587874974*Deflactores!$J$5</f>
        <v>17.208887565453136</v>
      </c>
      <c r="N42" s="56">
        <f>12.147811019*Deflactores!$K$5</f>
        <v>26.703739477924405</v>
      </c>
      <c r="O42" s="56">
        <f>328.752697737*Deflactores!$L$5</f>
        <v>696.7113431843776</v>
      </c>
      <c r="P42" s="56">
        <f>1363.636620691*Deflactores!$M$5</f>
        <v>2821.062071575845</v>
      </c>
      <c r="Q42" s="56">
        <f>1466.663509854*Deflactores!$N$5</f>
        <v>2976.4585843983641</v>
      </c>
      <c r="R42" s="56">
        <f>1522.792129923*Deflactores!$O$5</f>
        <v>2981.2526066894011</v>
      </c>
      <c r="S42" s="56">
        <f>1603.414310913*Deflactores!$P$5</f>
        <v>2940.049654234731</v>
      </c>
      <c r="T42" s="56">
        <f>1750.229531092*Deflactores!$Q$5</f>
        <v>3034.7543387453402</v>
      </c>
      <c r="U42" s="56">
        <f>1946.609139626*Deflactores!$R$5</f>
        <v>3242.6366222099869</v>
      </c>
      <c r="V42" s="56">
        <f>1965.945401832*Deflactores!$S$5</f>
        <v>3173.9161859144183</v>
      </c>
    </row>
    <row r="43" spans="3:22" ht="21.75" customHeight="1" x14ac:dyDescent="0.2">
      <c r="C43" s="79" t="s">
        <v>179</v>
      </c>
      <c r="D43" s="44">
        <f t="shared" ref="D43:V43" si="0">+SUM(D14:D42)</f>
        <v>91894.906315307831</v>
      </c>
      <c r="E43" s="44">
        <f t="shared" si="0"/>
        <v>96735.071492471048</v>
      </c>
      <c r="F43" s="44">
        <f t="shared" si="0"/>
        <v>100614.05132040312</v>
      </c>
      <c r="G43" s="44">
        <f t="shared" si="0"/>
        <v>101142.06880051584</v>
      </c>
      <c r="H43" s="44">
        <f t="shared" si="0"/>
        <v>112879.98311847587</v>
      </c>
      <c r="I43" s="44">
        <f t="shared" si="0"/>
        <v>123755.88749620116</v>
      </c>
      <c r="J43" s="44">
        <f t="shared" si="0"/>
        <v>129724.85735024251</v>
      </c>
      <c r="K43" s="44">
        <f t="shared" si="0"/>
        <v>134741.77534081359</v>
      </c>
      <c r="L43" s="44">
        <f t="shared" si="0"/>
        <v>141992.29193867394</v>
      </c>
      <c r="M43" s="44">
        <f t="shared" si="0"/>
        <v>158982.61213517265</v>
      </c>
      <c r="N43" s="44">
        <f t="shared" si="0"/>
        <v>173790.89915627887</v>
      </c>
      <c r="O43" s="44">
        <f t="shared" si="0"/>
        <v>165717.93949455663</v>
      </c>
      <c r="P43" s="44">
        <f t="shared" si="0"/>
        <v>178150.66597425481</v>
      </c>
      <c r="Q43" s="44">
        <f t="shared" si="0"/>
        <v>193385.77593165907</v>
      </c>
      <c r="R43" s="44">
        <f t="shared" si="0"/>
        <v>207554.70596067066</v>
      </c>
      <c r="S43" s="44">
        <f t="shared" si="0"/>
        <v>199189.39178432975</v>
      </c>
      <c r="T43" s="44">
        <f t="shared" si="0"/>
        <v>202791.26700150361</v>
      </c>
      <c r="U43" s="44">
        <f t="shared" si="0"/>
        <v>221535.77863587928</v>
      </c>
      <c r="V43" s="44">
        <f t="shared" si="0"/>
        <v>227049.35237861486</v>
      </c>
    </row>
    <row r="44" spans="3:22" x14ac:dyDescent="0.2">
      <c r="C44" s="1" t="s">
        <v>52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7.25" customHeight="1" x14ac:dyDescent="0.2">
      <c r="D48" s="164" t="s">
        <v>188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81" t="s">
        <v>120</v>
      </c>
      <c r="D51" s="155">
        <v>2000</v>
      </c>
      <c r="E51" s="155">
        <v>2001</v>
      </c>
      <c r="F51" s="155">
        <v>2002</v>
      </c>
      <c r="G51" s="155">
        <v>2003</v>
      </c>
      <c r="H51" s="155">
        <v>2004</v>
      </c>
      <c r="I51" s="155">
        <v>2005</v>
      </c>
      <c r="J51" s="155">
        <v>2006</v>
      </c>
      <c r="K51" s="155">
        <v>2007</v>
      </c>
      <c r="L51" s="155">
        <v>2008</v>
      </c>
      <c r="M51" s="155">
        <v>2009</v>
      </c>
      <c r="N51" s="155">
        <v>2010</v>
      </c>
      <c r="O51" s="155">
        <v>2011</v>
      </c>
      <c r="P51" s="155">
        <v>2012</v>
      </c>
      <c r="Q51" s="155">
        <v>2013</v>
      </c>
      <c r="R51" s="155">
        <v>2014</v>
      </c>
      <c r="S51" s="155">
        <v>2015</v>
      </c>
      <c r="T51" s="155">
        <v>2016</v>
      </c>
      <c r="U51" s="155">
        <v>2017</v>
      </c>
      <c r="V51" s="155">
        <v>2018</v>
      </c>
    </row>
    <row r="52" spans="3:22" ht="12" customHeight="1" thickBot="1" x14ac:dyDescent="0.25">
      <c r="C52" s="162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  <row r="53" spans="3:22" x14ac:dyDescent="0.2">
      <c r="C53" s="87" t="s">
        <v>123</v>
      </c>
      <c r="D53" s="56">
        <f>209.855627164599*Deflactores!$A$5</f>
        <v>783.16348306325733</v>
      </c>
      <c r="E53" s="56">
        <f>214.53267512811*Deflactores!$B$5</f>
        <v>743.73473744705279</v>
      </c>
      <c r="F53" s="56">
        <f>226.14663297*Deflactores!$C$5</f>
        <v>732.76393502938322</v>
      </c>
      <c r="G53" s="56">
        <f>266.40771312178*Deflactores!$D$5</f>
        <v>810.59957910606067</v>
      </c>
      <c r="H53" s="56">
        <f>243.13123342652*Deflactores!$E$5</f>
        <v>701.2296863563447</v>
      </c>
      <c r="I53" s="56">
        <f>253.69510570928*Deflactores!$F$5</f>
        <v>697.81740815670707</v>
      </c>
      <c r="J53" s="56">
        <f>375.21318216716*Deflactores!$G$5</f>
        <v>987.83216364712939</v>
      </c>
      <c r="K53" s="56">
        <f>405.641154846799*Deflactores!$H$5</f>
        <v>1010.4035326546865</v>
      </c>
      <c r="L53" s="56">
        <f>731.18980479014*Deflactores!$I$5</f>
        <v>1691.4946472344827</v>
      </c>
      <c r="M53" s="56">
        <f>323.70516586605*Deflactores!$J$5</f>
        <v>734.14570256270702</v>
      </c>
      <c r="N53" s="56">
        <f>382.30682952066*Deflactores!$K$5</f>
        <v>840.40013136386142</v>
      </c>
      <c r="O53" s="56">
        <f>271.2942997017*Deflactores!$L$5</f>
        <v>574.94225064776901</v>
      </c>
      <c r="P53" s="56">
        <f>387.95949644469*Deflactores!$M$5</f>
        <v>802.60225057110938</v>
      </c>
      <c r="Q53" s="56">
        <f>1350.35859323568*Deflactores!$N$5</f>
        <v>2740.4284621852635</v>
      </c>
      <c r="R53" s="56">
        <f>356.25028850842*Deflactores!$O$5</f>
        <v>697.45047953674543</v>
      </c>
      <c r="S53" s="56">
        <f>495.71906852961*Deflactores!$P$5</f>
        <v>908.95950354725392</v>
      </c>
      <c r="T53" s="56">
        <f>501.01826501385*Deflactores!$Q$5</f>
        <v>868.72454528452442</v>
      </c>
      <c r="U53" s="56">
        <f>565.334515913589*Deflactores!$R$5</f>
        <v>941.72701020656075</v>
      </c>
      <c r="V53" s="56">
        <f>658.24694923526*Deflactores!$S$5</f>
        <v>1062.7053246543378</v>
      </c>
    </row>
    <row r="54" spans="3:22" x14ac:dyDescent="0.2">
      <c r="C54" s="88" t="s">
        <v>124</v>
      </c>
      <c r="D54" s="57">
        <f>84.55461619313*Deflactores!$A$5</f>
        <v>315.55068892648399</v>
      </c>
      <c r="E54" s="57">
        <f>88.83866770213*Deflactores!$B$5</f>
        <v>307.98293620836051</v>
      </c>
      <c r="F54" s="57">
        <f>93.49123480001*Deflactores!$C$5</f>
        <v>302.93179342581362</v>
      </c>
      <c r="G54" s="57">
        <f>97.6466716803299*Deflactores!$D$5</f>
        <v>297.109832285528</v>
      </c>
      <c r="H54" s="57">
        <f>105.4946304171*Deflactores!$E$5</f>
        <v>304.26352697305265</v>
      </c>
      <c r="I54" s="57">
        <f>112.34323478171*Deflactores!$F$5</f>
        <v>309.01291808581254</v>
      </c>
      <c r="J54" s="57">
        <f>116.68332081128*Deflactores!$G$5</f>
        <v>307.19479681603548</v>
      </c>
      <c r="K54" s="57">
        <f>122.99995749883*Deflactores!$H$5</f>
        <v>306.37816229502545</v>
      </c>
      <c r="L54" s="57">
        <f>1046.74458464368*Deflactores!$I$5</f>
        <v>2421.4818783675996</v>
      </c>
      <c r="M54" s="57">
        <f>1256.77425763095*Deflactores!$J$5</f>
        <v>2850.2956320227386</v>
      </c>
      <c r="N54" s="57">
        <f>1355.90465427957*Deflactores!$K$5</f>
        <v>2980.5966349126979</v>
      </c>
      <c r="O54" s="57">
        <f>1095.475283777*Deflactores!$L$5</f>
        <v>2321.5932877184778</v>
      </c>
      <c r="P54" s="57">
        <f>200.29210114124*Deflactores!$M$5</f>
        <v>414.35998505192862</v>
      </c>
      <c r="Q54" s="57">
        <f>222.8355032218*Deflactores!$N$5</f>
        <v>452.22414140465025</v>
      </c>
      <c r="R54" s="57">
        <f>244.19159524653*Deflactores!$O$5</f>
        <v>478.06710814638365</v>
      </c>
      <c r="S54" s="57">
        <f>241.083660863449*Deflactores!$P$5</f>
        <v>442.05538701948456</v>
      </c>
      <c r="T54" s="57">
        <f>252.39670181905*Deflactores!$Q$5</f>
        <v>437.63516288773758</v>
      </c>
      <c r="U54" s="57">
        <f>273.04216213599*Deflactores!$R$5</f>
        <v>454.83014351800728</v>
      </c>
      <c r="V54" s="57">
        <f>287.212521724659*Deflactores!$S$5</f>
        <v>463.68961754976118</v>
      </c>
    </row>
    <row r="55" spans="3:22" x14ac:dyDescent="0.2">
      <c r="C55" s="87" t="s">
        <v>125</v>
      </c>
      <c r="D55" s="56">
        <f>6.343881576*Deflactores!$A$5</f>
        <v>23.674830445714626</v>
      </c>
      <c r="E55" s="56">
        <f>3.554264065*Deflactores!$B$5</f>
        <v>12.321804357409533</v>
      </c>
      <c r="F55" s="56">
        <f>4.020507885*Deflactores!$C$5</f>
        <v>13.027313915481031</v>
      </c>
      <c r="G55" s="56">
        <f>4.41260433551*Deflactores!$D$5</f>
        <v>13.426244965703889</v>
      </c>
      <c r="H55" s="56">
        <f>4.455573171*Deflactores!$E$5</f>
        <v>12.850591564091809</v>
      </c>
      <c r="I55" s="56">
        <f>4.629562808*Deflactores!$F$5</f>
        <v>12.734142073987492</v>
      </c>
      <c r="J55" s="56">
        <f>4.7170987258*Deflactores!$G$5</f>
        <v>12.41881165669761</v>
      </c>
      <c r="K55" s="56">
        <f>5.046391632*Deflactores!$H$5</f>
        <v>12.56995714366699</v>
      </c>
      <c r="L55" s="56">
        <f>5.143308912*Deflactores!$I$5</f>
        <v>11.898250545517902</v>
      </c>
      <c r="M55" s="56">
        <f>6.751055242*Deflactores!$J$5</f>
        <v>15.311025946767399</v>
      </c>
      <c r="N55" s="56">
        <f>24.999428344*Deflactores!$K$5</f>
        <v>54.954610386272677</v>
      </c>
      <c r="O55" s="56">
        <f>9.36117917102999*Deflactores!$L$5</f>
        <v>19.838741275533234</v>
      </c>
      <c r="P55" s="56">
        <f>12.4844571455*Deflactores!$M$5</f>
        <v>25.827576058743006</v>
      </c>
      <c r="Q55" s="56">
        <f>16.25690079538*Deflactores!$N$5</f>
        <v>32.991883689080268</v>
      </c>
      <c r="R55" s="56">
        <f>20.90564120256*Deflactores!$O$5</f>
        <v>40.928105750583832</v>
      </c>
      <c r="S55" s="56">
        <f>19.90025796843*Deflactores!$P$5</f>
        <v>36.489475091406462</v>
      </c>
      <c r="T55" s="56">
        <f>20.51019136983*Deflactores!$Q$5</f>
        <v>35.562988249463515</v>
      </c>
      <c r="U55" s="56">
        <f>22.19437046851*Deflactores!$R$5</f>
        <v>36.971098626359861</v>
      </c>
      <c r="V55" s="56">
        <f>22.31333647409*Deflactores!$S$5</f>
        <v>36.023716493282755</v>
      </c>
    </row>
    <row r="56" spans="3:22" x14ac:dyDescent="0.2">
      <c r="C56" s="88" t="s">
        <v>126</v>
      </c>
      <c r="D56" s="57">
        <f>110.5267786134*Deflactores!$A$5</f>
        <v>412.47660632296811</v>
      </c>
      <c r="E56" s="57">
        <f>110.27672327759*Deflactores!$B$5</f>
        <v>382.30367371498431</v>
      </c>
      <c r="F56" s="57">
        <f>112.004335351679*Deflactores!$C$5</f>
        <v>362.91823775919096</v>
      </c>
      <c r="G56" s="57">
        <f>111.838533888739*Deflactores!$D$5</f>
        <v>340.29145566295989</v>
      </c>
      <c r="H56" s="57">
        <f>113.09326170913*Deflactores!$E$5</f>
        <v>326.17920503116636</v>
      </c>
      <c r="I56" s="57">
        <f>125.145544914359*Deflactores!$F$5</f>
        <v>344.22713654779955</v>
      </c>
      <c r="J56" s="57">
        <f>203.59603270943*Deflactores!$G$5</f>
        <v>536.0118435597185</v>
      </c>
      <c r="K56" s="57">
        <f>173.449050891329*Deflactores!$H$5</f>
        <v>432.04081159464801</v>
      </c>
      <c r="L56" s="57">
        <f>158.694002608039*Deflactores!$I$5</f>
        <v>367.11405739137126</v>
      </c>
      <c r="M56" s="57">
        <f>198.515161058489*Deflactores!$J$5</f>
        <v>450.22158356577029</v>
      </c>
      <c r="N56" s="57">
        <f>134.24644607223*Deflactores!$K$5</f>
        <v>295.10519353182713</v>
      </c>
      <c r="O56" s="57">
        <f>250.74432609383*Deflactores!$L$5</f>
        <v>531.39158227820803</v>
      </c>
      <c r="P56" s="57">
        <f>353.7471157706*Deflactores!$M$5</f>
        <v>731.82441428134894</v>
      </c>
      <c r="Q56" s="57">
        <f>525.292127667796*Deflactores!$N$5</f>
        <v>1066.0320190752775</v>
      </c>
      <c r="R56" s="57">
        <f>404.174008918528*Deflactores!$O$5</f>
        <v>791.27334188770396</v>
      </c>
      <c r="S56" s="57">
        <f>387.70738494301*Deflactores!$P$5</f>
        <v>710.90731527579419</v>
      </c>
      <c r="T56" s="57">
        <f>373.38334460748*Deflactores!$Q$5</f>
        <v>647.41607025440726</v>
      </c>
      <c r="U56" s="57">
        <f>438.02729413896*Deflactores!$R$5</f>
        <v>729.660267482064</v>
      </c>
      <c r="V56" s="57">
        <f>386.88016523141*Deflactores!$S$5</f>
        <v>624.59782316078235</v>
      </c>
    </row>
    <row r="57" spans="3:22" x14ac:dyDescent="0.2">
      <c r="C57" s="87" t="s">
        <v>127</v>
      </c>
      <c r="D57" s="56">
        <f>168.793936681919*Deflactores!$A$5</f>
        <v>629.9247209038889</v>
      </c>
      <c r="E57" s="56">
        <f>182.409355607469*Deflactores!$B$5</f>
        <v>632.37068255264171</v>
      </c>
      <c r="F57" s="56">
        <f>189.84707649563*Deflactores!$C$5</f>
        <v>615.14553190458741</v>
      </c>
      <c r="G57" s="56">
        <f>208.64289693158*Deflactores!$D$5</f>
        <v>634.83839283173199</v>
      </c>
      <c r="H57" s="56">
        <f>224.132323363319*Deflactores!$E$5</f>
        <v>646.43376582827625</v>
      </c>
      <c r="I57" s="56">
        <f>241.43622919109*Deflactores!$F$5</f>
        <v>664.09796601406129</v>
      </c>
      <c r="J57" s="56">
        <f>255.46897103514*Deflactores!$G$5</f>
        <v>672.57889220405866</v>
      </c>
      <c r="K57" s="56">
        <f>272.50974342038*Deflactores!$H$5</f>
        <v>678.78913208095298</v>
      </c>
      <c r="L57" s="56">
        <f>294.3915835077*Deflactores!$I$5</f>
        <v>681.02944602335992</v>
      </c>
      <c r="M57" s="56">
        <f>324.93275173017*Deflactores!$J$5</f>
        <v>736.92980050646179</v>
      </c>
      <c r="N57" s="56">
        <f>335.60000125867*Deflactores!$K$5</f>
        <v>737.72756164759244</v>
      </c>
      <c r="O57" s="56">
        <f>350.26007424642*Deflactores!$L$5</f>
        <v>742.29099402647523</v>
      </c>
      <c r="P57" s="56">
        <f>372.72689156218*Deflactores!$M$5</f>
        <v>771.08936566224372</v>
      </c>
      <c r="Q57" s="56">
        <f>390.257046923153*Deflactores!$N$5</f>
        <v>791.99075291100996</v>
      </c>
      <c r="R57" s="56">
        <f>401.61577456809*Deflactores!$O$5</f>
        <v>786.26494798028909</v>
      </c>
      <c r="S57" s="56">
        <f>414.30592437919*Deflactores!$P$5</f>
        <v>759.67888114011612</v>
      </c>
      <c r="T57" s="56">
        <f>442.15758726191*Deflactores!$Q$5</f>
        <v>766.66496166080276</v>
      </c>
      <c r="U57" s="56">
        <f>483.44802999331*Deflactores!$R$5</f>
        <v>805.32154867657175</v>
      </c>
      <c r="V57" s="56">
        <f>508.810457183708*Deflactores!$S$5</f>
        <v>821.44791209002733</v>
      </c>
    </row>
    <row r="58" spans="3:22" x14ac:dyDescent="0.2">
      <c r="C58" s="88" t="s">
        <v>128</v>
      </c>
      <c r="D58" s="57">
        <f>38.0122767476599*Deflactores!$A$5</f>
        <v>141.85860755362069</v>
      </c>
      <c r="E58" s="57">
        <f>42.0482249567499*Deflactores!$B$5</f>
        <v>145.77138671136333</v>
      </c>
      <c r="F58" s="57">
        <f>48.60725009686*Deflactores!$C$5</f>
        <v>157.49798873484639</v>
      </c>
      <c r="G58" s="57">
        <f>53.5417968332199*Deflactores!$D$5</f>
        <v>162.91179211373233</v>
      </c>
      <c r="H58" s="57">
        <f>59.08710891086*Deflactores!$E$5</f>
        <v>170.4167509263583</v>
      </c>
      <c r="I58" s="57">
        <f>67.72162660071*Deflactores!$F$5</f>
        <v>186.27608056742702</v>
      </c>
      <c r="J58" s="57">
        <f>72.89371219788*Deflactores!$G$5</f>
        <v>191.90891167737132</v>
      </c>
      <c r="K58" s="57">
        <f>82.1514645752999*Deflactores!$H$5</f>
        <v>204.62945888956654</v>
      </c>
      <c r="L58" s="57">
        <f>103.88790044876*Deflactores!$I$5</f>
        <v>240.32860738798422</v>
      </c>
      <c r="M58" s="57">
        <f>96.94775728449*Deflactores!$J$5</f>
        <v>219.87223834714024</v>
      </c>
      <c r="N58" s="57">
        <f>106.24486223317*Deflactores!$K$5</f>
        <v>233.5511408191212</v>
      </c>
      <c r="O58" s="57">
        <f>118.89677798564*Deflactores!$L$5</f>
        <v>251.97278824138752</v>
      </c>
      <c r="P58" s="57">
        <f>149.68429783127*Deflactores!$M$5</f>
        <v>309.66365152930598</v>
      </c>
      <c r="Q58" s="57">
        <f>203.0424681267*Deflactores!$N$5</f>
        <v>412.05599866141591</v>
      </c>
      <c r="R58" s="57">
        <f>196.61316702544*Deflactores!$O$5</f>
        <v>384.92024301024622</v>
      </c>
      <c r="S58" s="57">
        <f>215.40027856284*Deflactores!$P$5</f>
        <v>394.96186993001345</v>
      </c>
      <c r="T58" s="57">
        <f>205.31573143962*Deflactores!$Q$5</f>
        <v>356.00062490678425</v>
      </c>
      <c r="U58" s="57">
        <f>212.6029333768*Deflactores!$R$5</f>
        <v>354.15124881687046</v>
      </c>
      <c r="V58" s="57">
        <f>256.42646078503*Deflactores!$S$5</f>
        <v>413.9871298683733</v>
      </c>
    </row>
    <row r="59" spans="3:22" x14ac:dyDescent="0.2">
      <c r="C59" s="87" t="s">
        <v>129</v>
      </c>
      <c r="D59" s="56">
        <f>5442.3917174645*Deflactores!$A$5</f>
        <v>20310.546403890447</v>
      </c>
      <c r="E59" s="56">
        <f>6103.43048746941*Deflactores!$B$5</f>
        <v>21159.169662214383</v>
      </c>
      <c r="F59" s="56">
        <f>6882.50558807558*Deflactores!$C$5</f>
        <v>22300.804621084077</v>
      </c>
      <c r="G59" s="56">
        <f>7901.71206401511*Deflactores!$D$5</f>
        <v>24042.563926743467</v>
      </c>
      <c r="H59" s="56">
        <f>9237.33938236969*Deflactores!$E$5</f>
        <v>26641.976460929942</v>
      </c>
      <c r="I59" s="56">
        <f>10086.4959605128*Deflactores!$F$5</f>
        <v>27744.060922538614</v>
      </c>
      <c r="J59" s="56">
        <f>11027.7414385041*Deflactores!$G$5</f>
        <v>29032.98232332748</v>
      </c>
      <c r="K59" s="56">
        <f>12326.2952718474*Deflactores!$H$5</f>
        <v>30703.325188794399</v>
      </c>
      <c r="L59" s="56">
        <f>13958.8218549411*Deflactores!$I$5</f>
        <v>32291.577774541445</v>
      </c>
      <c r="M59" s="56">
        <f>15737.1529111011*Deflactores!$J$5</f>
        <v>35691.006503856283</v>
      </c>
      <c r="N59" s="56">
        <f>16923.365340984*Deflactores!$K$5</f>
        <v>37201.528608614586</v>
      </c>
      <c r="O59" s="56">
        <f>18367.2302292945*Deflactores!$L$5</f>
        <v>38924.874934001957</v>
      </c>
      <c r="P59" s="56">
        <f>19964.1227699545*Deflactores!$M$5</f>
        <v>41301.347209393003</v>
      </c>
      <c r="Q59" s="56">
        <f>21435.852690456*Deflactores!$N$5</f>
        <v>43502.089828878219</v>
      </c>
      <c r="R59" s="56">
        <f>22630.3621748089*Deflactores!$O$5</f>
        <v>44304.685385644669</v>
      </c>
      <c r="S59" s="56">
        <f>23550.8302683597*Deflactores!$P$5</f>
        <v>43183.230881858275</v>
      </c>
      <c r="T59" s="56">
        <f>25663.8309276023*Deflactores!$Q$5</f>
        <v>44498.976204438201</v>
      </c>
      <c r="U59" s="56">
        <f>26826.7079523134*Deflactores!$R$5</f>
        <v>44687.587193912223</v>
      </c>
      <c r="V59" s="56">
        <f>28551.9647020425*Deflactores!$S$5</f>
        <v>46095.655974485657</v>
      </c>
    </row>
    <row r="60" spans="3:22" x14ac:dyDescent="0.2">
      <c r="C60" s="88" t="s">
        <v>130</v>
      </c>
      <c r="D60" s="57">
        <f>5.825565739*Deflactores!$A$5</f>
        <v>21.74051950196575</v>
      </c>
      <c r="E60" s="57">
        <f>5.92283469127999*Deflactores!$B$5</f>
        <v>20.533086167088186</v>
      </c>
      <c r="F60" s="57">
        <f>5.25498143001*Deflactores!$C$5</f>
        <v>17.02727482867844</v>
      </c>
      <c r="G60" s="57">
        <f>5.49609116491*Deflactores!$D$5</f>
        <v>16.722973718737869</v>
      </c>
      <c r="H60" s="57">
        <f>6.67300282725999*Deflactores!$E$5</f>
        <v>19.246016291973945</v>
      </c>
      <c r="I60" s="57">
        <f>6.755120598*Deflactores!$F$5</f>
        <v>18.580731915593734</v>
      </c>
      <c r="J60" s="57">
        <f>5.885489672*Deflactores!$G$5</f>
        <v>15.494860716872342</v>
      </c>
      <c r="K60" s="57">
        <f>6.296037477*Deflactores!$H$5</f>
        <v>15.682675272161919</v>
      </c>
      <c r="L60" s="57">
        <f>6.535881852*Deflactores!$I$5</f>
        <v>15.119752894787736</v>
      </c>
      <c r="M60" s="57">
        <f>7.06839252639999*Deflactores!$J$5</f>
        <v>16.030729640657711</v>
      </c>
      <c r="N60" s="57">
        <f>10.44029063*Deflactores!$K$5</f>
        <v>22.950208940629818</v>
      </c>
      <c r="O60" s="57">
        <f>8.580148977*Deflactores!$L$5</f>
        <v>18.183537837520664</v>
      </c>
      <c r="P60" s="57">
        <f>17.11223970503*Deflactores!$M$5</f>
        <v>35.401432947079378</v>
      </c>
      <c r="Q60" s="57">
        <f>23.64664046071*Deflactores!$N$5</f>
        <v>47.988680101864887</v>
      </c>
      <c r="R60" s="57">
        <f>24.53470061724*Deflactores!$O$5</f>
        <v>48.032911867747394</v>
      </c>
      <c r="S60" s="57">
        <f>28.37179023925*Deflactores!$P$5</f>
        <v>52.023030800710671</v>
      </c>
      <c r="T60" s="57">
        <f>60.06693656153*Deflactores!$Q$5</f>
        <v>104.15113738339865</v>
      </c>
      <c r="U60" s="57">
        <f>55.9380997432399*Deflactores!$R$5</f>
        <v>93.180971522159027</v>
      </c>
      <c r="V60" s="57">
        <f>37.3611797368399*Deflactores!$S$5</f>
        <v>60.31767361449203</v>
      </c>
    </row>
    <row r="61" spans="3:22" x14ac:dyDescent="0.2">
      <c r="C61" s="87" t="s">
        <v>131</v>
      </c>
      <c r="D61" s="56">
        <f>4725.46738270048*Deflactores!$A$5</f>
        <v>17635.045314438059</v>
      </c>
      <c r="E61" s="56">
        <f>7245.91329601905*Deflactores!$B$5</f>
        <v>25119.891035529799</v>
      </c>
      <c r="F61" s="56">
        <f>8387.64648378646*Deflactores!$C$5</f>
        <v>27177.786210551581</v>
      </c>
      <c r="G61" s="56">
        <f>9799.78120890956*Deflactores!$D$5</f>
        <v>29817.824830178088</v>
      </c>
      <c r="H61" s="56">
        <f>11082.6386325344*Deflactores!$E$5</f>
        <v>31964.117085111277</v>
      </c>
      <c r="I61" s="56">
        <f>11924.1788747691*Deflactores!$F$5</f>
        <v>32798.81798872228</v>
      </c>
      <c r="J61" s="56">
        <f>12793.0013878508*Deflactores!$G$5</f>
        <v>33680.421800509568</v>
      </c>
      <c r="K61" s="56">
        <f>13664.1774151917*Deflactores!$H$5</f>
        <v>34035.829368310522</v>
      </c>
      <c r="L61" s="56">
        <f>15374.5004580388*Deflactores!$I$5</f>
        <v>35566.531505647465</v>
      </c>
      <c r="M61" s="56">
        <f>17782.2519271745*Deflactores!$J$5</f>
        <v>40329.179793271105</v>
      </c>
      <c r="N61" s="56">
        <f>19388.4658594943*Deflactores!$K$5</f>
        <v>42620.398060093285</v>
      </c>
      <c r="O61" s="56">
        <f>20811.9325871654*Deflactores!$L$5</f>
        <v>44105.826680292543</v>
      </c>
      <c r="P61" s="56">
        <f>22129.8397692739*Deflactores!$M$5</f>
        <v>45781.73589347738</v>
      </c>
      <c r="Q61" s="56">
        <f>23663.6367202298*Deflactores!$N$5</f>
        <v>48023.172446025957</v>
      </c>
      <c r="R61" s="56">
        <f>25009.0212763422*Deflactores!$O$5</f>
        <v>48961.515104898732</v>
      </c>
      <c r="S61" s="56">
        <f>26576.3104954513*Deflactores!$P$5</f>
        <v>48730.806474151534</v>
      </c>
      <c r="T61" s="56">
        <f>28761.5986772131*Deflactores!$Q$5</f>
        <v>49870.251200976127</v>
      </c>
      <c r="U61" s="56">
        <f>32297.9901167389*Deflactores!$R$5</f>
        <v>53801.57908661395</v>
      </c>
      <c r="V61" s="56">
        <f>34795.0550312323*Deflactores!$S$5</f>
        <v>56174.799285116918</v>
      </c>
    </row>
    <row r="62" spans="3:22" x14ac:dyDescent="0.2">
      <c r="C62" s="88" t="s">
        <v>132</v>
      </c>
      <c r="D62" s="57">
        <f>7.42959174125*Deflactores!$A$5</f>
        <v>27.726609118999647</v>
      </c>
      <c r="E62" s="57">
        <f>7.34176456840999*Deflactores!$B$5</f>
        <v>25.452185036259859</v>
      </c>
      <c r="F62" s="57">
        <f>7.08431658021*Deflactores!$C$5</f>
        <v>22.954715823680754</v>
      </c>
      <c r="G62" s="57">
        <f>7.32479480762*Deflactores!$D$5</f>
        <v>22.287175992464221</v>
      </c>
      <c r="H62" s="57">
        <f>6.91585595388999*Deflactores!$E$5</f>
        <v>19.946443873479552</v>
      </c>
      <c r="I62" s="57">
        <f>7.94544161003*Deflactores!$F$5</f>
        <v>21.854846018689965</v>
      </c>
      <c r="J62" s="57">
        <f>8.94665002377*Deflactores!$G$5</f>
        <v>23.554046260659</v>
      </c>
      <c r="K62" s="57">
        <f>8.95782815352*Deflactores!$H$5</f>
        <v>22.312877041898201</v>
      </c>
      <c r="L62" s="57">
        <f>9.81709756018999*Deflactores!$I$5</f>
        <v>22.710338499872904</v>
      </c>
      <c r="M62" s="57">
        <f>10.47391257504*Deflactores!$J$5</f>
        <v>23.754263807964673</v>
      </c>
      <c r="N62" s="57">
        <f>10.6536330200299*Deflactores!$K$5</f>
        <v>23.419185581281017</v>
      </c>
      <c r="O62" s="57">
        <f>12.3732526716937*Deflactores!$L$5</f>
        <v>26.22209809317464</v>
      </c>
      <c r="P62" s="57">
        <f>14.96698615725*Deflactores!$M$5</f>
        <v>30.963378610808345</v>
      </c>
      <c r="Q62" s="57">
        <f>16.38909288708*Deflactores!$N$5</f>
        <v>33.260155370680366</v>
      </c>
      <c r="R62" s="57">
        <f>19.42043502229*Deflactores!$O$5</f>
        <v>38.020437192679594</v>
      </c>
      <c r="S62" s="57">
        <f>19.19753927268*Deflactores!$P$5</f>
        <v>35.200957305078582</v>
      </c>
      <c r="T62" s="57">
        <f>21.2619150283699*Deflactores!$Q$5</f>
        <v>36.866415367887306</v>
      </c>
      <c r="U62" s="57">
        <f>23.7543113049599*Deflactores!$R$5</f>
        <v>39.569628131736152</v>
      </c>
      <c r="V62" s="57">
        <f>24.90890425751*Deflactores!$S$5</f>
        <v>40.214125134213432</v>
      </c>
    </row>
    <row r="63" spans="3:22" x14ac:dyDescent="0.2">
      <c r="C63" s="87" t="s">
        <v>133</v>
      </c>
      <c r="D63" s="56">
        <f>602.44297592214*Deflactores!$A$5</f>
        <v>2248.2663235907171</v>
      </c>
      <c r="E63" s="56">
        <f>630.47127733478*Deflactores!$B$5</f>
        <v>2185.6968391247674</v>
      </c>
      <c r="F63" s="56">
        <f>673.59451715664*Deflactores!$C$5</f>
        <v>2182.591721679069</v>
      </c>
      <c r="G63" s="56">
        <f>696.300076159719*Deflactores!$D$5</f>
        <v>2118.6344120921863</v>
      </c>
      <c r="H63" s="56">
        <f>748.535493552169*Deflactores!$E$5</f>
        <v>2158.8970778154462</v>
      </c>
      <c r="I63" s="56">
        <f>825.66686414812*Deflactores!$F$5</f>
        <v>2271.0911569613354</v>
      </c>
      <c r="J63" s="56">
        <f>908.10837315604*Deflactores!$G$5</f>
        <v>2390.797289955447</v>
      </c>
      <c r="K63" s="56">
        <f>1022.09773443868*Deflactores!$H$5</f>
        <v>2545.9230387637367</v>
      </c>
      <c r="L63" s="56">
        <f>1184.2146525455*Deflactores!$I$5</f>
        <v>2739.4976418363317</v>
      </c>
      <c r="M63" s="56">
        <f>1370.81237617628*Deflactores!$J$5</f>
        <v>3108.9278797794341</v>
      </c>
      <c r="N63" s="56">
        <f>1448.11306714645*Deflactores!$K$5</f>
        <v>3183.2923659393691</v>
      </c>
      <c r="O63" s="56">
        <f>1567.36461941759*Deflactores!$L$5</f>
        <v>3321.6479036399978</v>
      </c>
      <c r="P63" s="56">
        <f>1840.37466416572*Deflactores!$M$5</f>
        <v>3807.327468175637</v>
      </c>
      <c r="Q63" s="56">
        <f>2100.08202454281*Deflactores!$N$5</f>
        <v>4261.9231527164557</v>
      </c>
      <c r="R63" s="56">
        <f>2381.52512234021*Deflactores!$O$5</f>
        <v>4662.4406833728872</v>
      </c>
      <c r="S63" s="56">
        <f>2647.48497640319*Deflactores!$P$5</f>
        <v>4854.4766230966879</v>
      </c>
      <c r="T63" s="56">
        <f>2985.15682896139*Deflactores!$Q$5</f>
        <v>5176.0169038364074</v>
      </c>
      <c r="U63" s="56">
        <f>3249.1802786357*Deflactores!$R$5</f>
        <v>5412.4429754248577</v>
      </c>
      <c r="V63" s="56">
        <f>3489.62458696244*Deflactores!$S$5</f>
        <v>5633.8166609326245</v>
      </c>
    </row>
    <row r="64" spans="3:22" x14ac:dyDescent="0.2">
      <c r="C64" s="88" t="s">
        <v>134</v>
      </c>
      <c r="D64" s="57">
        <f>5945.37723645752*Deflactores!$A$5</f>
        <v>22187.645895132511</v>
      </c>
      <c r="E64" s="57">
        <f>4977.17205391405*Deflactores!$B$5</f>
        <v>17254.694412103312</v>
      </c>
      <c r="F64" s="57">
        <f>5096.73893520681*Deflactores!$C$5</f>
        <v>16514.534967562602</v>
      </c>
      <c r="G64" s="57">
        <f>3865.9204283896*Deflactores!$D$5</f>
        <v>11762.848137499877</v>
      </c>
      <c r="H64" s="57">
        <f>4702.63144110229*Deflactores!$E$5</f>
        <v>13563.14745752427</v>
      </c>
      <c r="I64" s="57">
        <f>5161.83364108415*Deflactores!$F$5</f>
        <v>14198.213886258982</v>
      </c>
      <c r="J64" s="57">
        <f>5265.74316608466*Deflactores!$G$5</f>
        <v>13863.240185005319</v>
      </c>
      <c r="K64" s="57">
        <f>5585.0949639379*Deflactores!$H$5</f>
        <v>13911.802622458401</v>
      </c>
      <c r="L64" s="57">
        <f>6283.39406187497*Deflactores!$I$5</f>
        <v>14535.66140077254</v>
      </c>
      <c r="M64" s="57">
        <f>5555.17084319726*Deflactores!$J$5</f>
        <v>12598.825201394935</v>
      </c>
      <c r="N64" s="57">
        <f>6530.92265800271*Deflactores!$K$5</f>
        <v>14356.500684526984</v>
      </c>
      <c r="O64" s="57">
        <f>6834.27426905191*Deflactores!$L$5</f>
        <v>14483.581240421541</v>
      </c>
      <c r="P64" s="57">
        <f>7240.66434484265*Deflactores!$M$5</f>
        <v>14979.330450876603</v>
      </c>
      <c r="Q64" s="57">
        <f>10166.7867822127*Deflactores!$N$5</f>
        <v>20632.557904626101</v>
      </c>
      <c r="R64" s="57">
        <f>11059.5730040039*Deflactores!$O$5</f>
        <v>21651.924907653389</v>
      </c>
      <c r="S64" s="57">
        <f>14174.6810894506*Deflactores!$P$5</f>
        <v>25990.953150590925</v>
      </c>
      <c r="T64" s="57">
        <f>16231.0244185668*Deflactores!$Q$5</f>
        <v>28143.264012803349</v>
      </c>
      <c r="U64" s="57">
        <f>18997.3853411081*Deflactores!$R$5</f>
        <v>31645.601666674465</v>
      </c>
      <c r="V64" s="57">
        <f>10108.723266192*Deflactores!$S$5</f>
        <v>16320.005816844256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</row>
    <row r="66" spans="3:22" x14ac:dyDescent="0.2">
      <c r="C66" s="88" t="s">
        <v>136</v>
      </c>
      <c r="D66" s="57">
        <f>20.5496269209599*Deflactores!$A$5</f>
        <v>76.689472722341733</v>
      </c>
      <c r="E66" s="57">
        <f>17.39559402504*Deflactores!$B$5</f>
        <v>60.306466356338426</v>
      </c>
      <c r="F66" s="57">
        <f>19.00533027538*Deflactores!$C$5</f>
        <v>61.581374952276917</v>
      </c>
      <c r="G66" s="57">
        <f>16.9182627124*Deflactores!$D$5</f>
        <v>51.477250689090603</v>
      </c>
      <c r="H66" s="57">
        <f>14.91351371177*Deflactores!$E$5</f>
        <v>43.012978609085685</v>
      </c>
      <c r="I66" s="57">
        <f>17.49429007237*Deflactores!$F$5</f>
        <v>48.120045996599963</v>
      </c>
      <c r="J66" s="57">
        <f>147.54875733184*Deflactores!$G$5</f>
        <v>388.45492409598393</v>
      </c>
      <c r="K66" s="57">
        <f>56.06448848829*Deflactores!$H$5</f>
        <v>139.6499259214483</v>
      </c>
      <c r="L66" s="57">
        <f>97.06395307189*Deflactores!$I$5</f>
        <v>224.54245940647851</v>
      </c>
      <c r="M66" s="57">
        <f>250.70839410866*Deflactores!$J$5</f>
        <v>568.59299615698217</v>
      </c>
      <c r="N66" s="57">
        <f>363.35117229125*Deflactores!$K$5</f>
        <v>798.73114824457446</v>
      </c>
      <c r="O66" s="57">
        <f>563.71141078301*Deflactores!$L$5</f>
        <v>1194.6491599262376</v>
      </c>
      <c r="P66" s="57">
        <f>1068.43881030878*Deflactores!$M$5</f>
        <v>2210.3631992769137</v>
      </c>
      <c r="Q66" s="57">
        <f>838.19840620391*Deflactores!$N$5</f>
        <v>1701.0465078135119</v>
      </c>
      <c r="R66" s="57">
        <f>842.227900165624*Deflactores!$O$5</f>
        <v>1648.8751638887643</v>
      </c>
      <c r="S66" s="57">
        <f>793.658521440189*Deflactores!$P$5</f>
        <v>1455.2667053420628</v>
      </c>
      <c r="T66" s="57">
        <f>844.72428572634*Deflactores!$Q$5</f>
        <v>1464.682571977937</v>
      </c>
      <c r="U66" s="57">
        <f>815.105779560309*Deflactores!$R$5</f>
        <v>1357.7927884819719</v>
      </c>
      <c r="V66" s="57">
        <f>798.812343011924*Deflactores!$S$5</f>
        <v>1289.6408123191743</v>
      </c>
    </row>
    <row r="67" spans="3:22" x14ac:dyDescent="0.2">
      <c r="C67" s="87" t="s">
        <v>137</v>
      </c>
      <c r="D67" s="56">
        <f>36.95461729495*Deflactores!$A$5</f>
        <v>137.91151177129328</v>
      </c>
      <c r="E67" s="56">
        <f>34.1107639652*Deflactores!$B$5</f>
        <v>118.25406114302582</v>
      </c>
      <c r="F67" s="56">
        <f>36.57995157486*Deflactores!$C$5</f>
        <v>118.52694381142743</v>
      </c>
      <c r="G67" s="56">
        <f>36.8505741283799*Deflactores!$D$5</f>
        <v>112.12535676332617</v>
      </c>
      <c r="H67" s="56">
        <f>38.6856466566699*Deflactores!$E$5</f>
        <v>111.57564369346068</v>
      </c>
      <c r="I67" s="56">
        <f>40.58555739226*Deflactores!$F$5</f>
        <v>111.63521814455792</v>
      </c>
      <c r="J67" s="56">
        <f>42.03147689831*Deflactores!$G$5</f>
        <v>110.65721232375155</v>
      </c>
      <c r="K67" s="56">
        <f>42.87140152622*Deflactores!$H$5</f>
        <v>106.7875264488638</v>
      </c>
      <c r="L67" s="56">
        <f>46.00685643*Deflactores!$I$5</f>
        <v>106.42975445994585</v>
      </c>
      <c r="M67" s="56">
        <f>49.58672667462*Deflactores!$J$5</f>
        <v>112.4599979581044</v>
      </c>
      <c r="N67" s="56">
        <f>48.77548515*Deflactores!$K$5</f>
        <v>107.21996303019459</v>
      </c>
      <c r="O67" s="56">
        <f>50.41638360672*Deflactores!$L$5</f>
        <v>106.84525658018183</v>
      </c>
      <c r="P67" s="56">
        <f>90.648786428332*Deflactores!$M$5</f>
        <v>187.53225701562769</v>
      </c>
      <c r="Q67" s="56">
        <f>111.595265760869*Deflactores!$N$5</f>
        <v>226.47231932921022</v>
      </c>
      <c r="R67" s="56">
        <f>116.90134082322*Deflactores!$O$5</f>
        <v>228.86408473383247</v>
      </c>
      <c r="S67" s="56">
        <f>118.50521248841*Deflactores!$P$5</f>
        <v>217.29331379309838</v>
      </c>
      <c r="T67" s="56">
        <f>132.066598616739*Deflactores!$Q$5</f>
        <v>228.99264127112977</v>
      </c>
      <c r="U67" s="56">
        <f>138.59850205165*Deflactores!$R$5</f>
        <v>230.87561307889155</v>
      </c>
      <c r="V67" s="56">
        <f>141.28905929192*Deflactores!$S$5</f>
        <v>228.10380784805147</v>
      </c>
    </row>
    <row r="68" spans="3:22" x14ac:dyDescent="0.2">
      <c r="C68" s="88" t="s">
        <v>138</v>
      </c>
      <c r="D68" s="57">
        <f>137.660968119219*Deflactores!$A$5</f>
        <v>513.7391106960722</v>
      </c>
      <c r="E68" s="57">
        <f>151.42552517897*Deflactores!$B$5</f>
        <v>524.95697051514924</v>
      </c>
      <c r="F68" s="57">
        <f>165.14037662442*Deflactores!$C$5</f>
        <v>535.09048805337329</v>
      </c>
      <c r="G68" s="57">
        <f>182.967827958759*Deflactores!$D$5</f>
        <v>556.71678043917291</v>
      </c>
      <c r="H68" s="57">
        <f>191.91146700714*Deflactores!$E$5</f>
        <v>553.50361992168405</v>
      </c>
      <c r="I68" s="57">
        <f>222.00826227328*Deflactores!$F$5</f>
        <v>610.65912066291696</v>
      </c>
      <c r="J68" s="57">
        <f>236.00417173566*Deflactores!$G$5</f>
        <v>621.33347834118365</v>
      </c>
      <c r="K68" s="57">
        <f>224.50955914967*Deflactores!$H$5</f>
        <v>559.22642209527999</v>
      </c>
      <c r="L68" s="57">
        <f>249.93987598258*Deflactores!$I$5</f>
        <v>578.19728829004259</v>
      </c>
      <c r="M68" s="57">
        <f>240.08111533208*Deflactores!$J$5</f>
        <v>544.49090614896988</v>
      </c>
      <c r="N68" s="57">
        <f>239.07274868955*Deflactores!$K$5</f>
        <v>525.53800740658653</v>
      </c>
      <c r="O68" s="57">
        <f>255.05853423416*Deflactores!$L$5</f>
        <v>540.53449659926662</v>
      </c>
      <c r="P68" s="57">
        <f>96.5863167138899*Deflactores!$M$5</f>
        <v>199.8156917908924</v>
      </c>
      <c r="Q68" s="57">
        <f>124.00226893869*Deflactores!$N$5</f>
        <v>251.65119019302495</v>
      </c>
      <c r="R68" s="57">
        <f>77.97725893245*Deflactores!$O$5</f>
        <v>152.6603020115528</v>
      </c>
      <c r="S68" s="57">
        <f>61.63878869845*Deflactores!$P$5</f>
        <v>113.02200446067896</v>
      </c>
      <c r="T68" s="57">
        <f>81.27033184115*Deflactores!$Q$5</f>
        <v>140.9160843105665</v>
      </c>
      <c r="U68" s="57">
        <f>83.47428335875*Deflactores!$R$5</f>
        <v>139.05039420693427</v>
      </c>
      <c r="V68" s="57">
        <f>86.33079663365*Deflactores!$S$5</f>
        <v>139.37656280947061</v>
      </c>
    </row>
    <row r="69" spans="3:22" x14ac:dyDescent="0.2">
      <c r="C69" s="87" t="s">
        <v>139</v>
      </c>
      <c r="D69" s="56">
        <f>358.03713930518*Deflactores!$A$5</f>
        <v>1336.1643758273783</v>
      </c>
      <c r="E69" s="56">
        <f>430.39837078927*Deflactores!$B$5</f>
        <v>1492.0907461087002</v>
      </c>
      <c r="F69" s="56">
        <f>464.2011171859*Deflactores!$C$5</f>
        <v>1504.1118800088402</v>
      </c>
      <c r="G69" s="56">
        <f>513.915809522769*Deflactores!$D$5</f>
        <v>1563.693235505837</v>
      </c>
      <c r="H69" s="56">
        <f>596.592510042159*Deflactores!$E$5</f>
        <v>1720.6690099149369</v>
      </c>
      <c r="I69" s="56">
        <f>720.71082601846*Deflactores!$F$5</f>
        <v>1982.3975682802641</v>
      </c>
      <c r="J69" s="56">
        <f>821.032177381439*Deflactores!$G$5</f>
        <v>2161.5498355420145</v>
      </c>
      <c r="K69" s="56">
        <f>723.547307211319*Deflactores!$H$5</f>
        <v>1802.269682239742</v>
      </c>
      <c r="L69" s="56">
        <f>810.07241610797*Deflactores!$I$5</f>
        <v>1873.9773814436714</v>
      </c>
      <c r="M69" s="56">
        <f>956.68073944911*Deflactores!$J$5</f>
        <v>2169.6998616380074</v>
      </c>
      <c r="N69" s="56">
        <f>1904.19819167447*Deflactores!$K$5</f>
        <v>4185.8745040796393</v>
      </c>
      <c r="O69" s="56">
        <f>1906.54205702307*Deflactores!$L$5</f>
        <v>4040.4519461880982</v>
      </c>
      <c r="P69" s="56">
        <f>1488.66452946125*Deflactores!$M$5</f>
        <v>3079.7171164524384</v>
      </c>
      <c r="Q69" s="56">
        <f>1816.42701544855*Deflactores!$N$5</f>
        <v>3686.2714226817657</v>
      </c>
      <c r="R69" s="56">
        <f>2131.85558204937*Deflactores!$O$5</f>
        <v>4173.6491056014356</v>
      </c>
      <c r="S69" s="56">
        <f>2145.00613584817*Deflactores!$P$5</f>
        <v>3933.1222785711871</v>
      </c>
      <c r="T69" s="56">
        <f>2238.04380392373*Deflactores!$Q$5</f>
        <v>3880.5842454401213</v>
      </c>
      <c r="U69" s="56">
        <f>2518.11747178689*Deflactores!$R$5</f>
        <v>4194.6478966043442</v>
      </c>
      <c r="V69" s="56">
        <f>2833.20509311015*Deflactores!$S$5</f>
        <v>4574.0616675609563</v>
      </c>
    </row>
    <row r="70" spans="3:22" x14ac:dyDescent="0.2">
      <c r="C70" s="88" t="s">
        <v>140</v>
      </c>
      <c r="D70" s="57">
        <f>90.29009986542*Deflactores!$A$5</f>
        <v>336.95502976086129</v>
      </c>
      <c r="E70" s="57">
        <f>80.74080651058*Deflactores!$B$5</f>
        <v>279.90954056555859</v>
      </c>
      <c r="F70" s="57">
        <f>100.3005197708*Deflactores!$C$5</f>
        <v>324.99534743236131</v>
      </c>
      <c r="G70" s="57">
        <f>71.62787803875*Deflactores!$D$5</f>
        <v>217.94236777194951</v>
      </c>
      <c r="H70" s="57">
        <f>89.7738229090399*Deflactores!$E$5</f>
        <v>258.92218286525366</v>
      </c>
      <c r="I70" s="57">
        <f>83.42951726372*Deflactores!$F$5</f>
        <v>229.48243064432415</v>
      </c>
      <c r="J70" s="57">
        <f>69.14613415183*Deflactores!$G$5</f>
        <v>182.04257886815566</v>
      </c>
      <c r="K70" s="57">
        <f>65.1674829866499*Deflactores!$H$5</f>
        <v>162.32439494161656</v>
      </c>
      <c r="L70" s="57">
        <f>57.04493693316*Deflactores!$I$5</f>
        <v>131.96464836098596</v>
      </c>
      <c r="M70" s="57">
        <f>46.6886451237499*Deflactores!$J$5</f>
        <v>105.88730669272013</v>
      </c>
      <c r="N70" s="57">
        <f>58.40533077309*Deflactores!$K$5</f>
        <v>128.38862364974335</v>
      </c>
      <c r="O70" s="57">
        <f>49.02916568716*Deflactores!$L$5</f>
        <v>103.9053857694508</v>
      </c>
      <c r="P70" s="57">
        <f>61.7284367433899*Deflactores!$M$5</f>
        <v>127.70246045915341</v>
      </c>
      <c r="Q70" s="57">
        <f>87.71171345583*Deflactores!$N$5</f>
        <v>178.00284844741458</v>
      </c>
      <c r="R70" s="57">
        <f>106.29500945379*Deflactores!$O$5</f>
        <v>208.09949551565495</v>
      </c>
      <c r="S70" s="57">
        <f>108.5733099429*Deflactores!$P$5</f>
        <v>199.0819965770304</v>
      </c>
      <c r="T70" s="57">
        <f>126.113265064319*Deflactores!$Q$5</f>
        <v>218.67004957258123</v>
      </c>
      <c r="U70" s="57">
        <f>161.21530407981*Deflactores!$R$5</f>
        <v>268.5503927975746</v>
      </c>
      <c r="V70" s="57">
        <f>183.52631207306*Deflactores!$S$5</f>
        <v>296.29364675491797</v>
      </c>
    </row>
    <row r="71" spans="3:22" x14ac:dyDescent="0.2">
      <c r="C71" s="87" t="s">
        <v>141</v>
      </c>
      <c r="D71" s="56">
        <f>346.99875563036*Deflactores!$A$5</f>
        <v>1294.9700598923564</v>
      </c>
      <c r="E71" s="56">
        <f>347.36592906569*Deflactores!$B$5</f>
        <v>1204.2366408634387</v>
      </c>
      <c r="F71" s="56">
        <f>373.83483629471*Deflactores!$C$5</f>
        <v>1211.3056121897519</v>
      </c>
      <c r="G71" s="56">
        <f>384.40671827853*Deflactores!$D$5</f>
        <v>1169.6355198983306</v>
      </c>
      <c r="H71" s="56">
        <f>429.23723772635*Deflactores!$E$5</f>
        <v>1237.9894155979744</v>
      </c>
      <c r="I71" s="56">
        <f>447.838959590809*Deflactores!$F$5</f>
        <v>1231.8322861591696</v>
      </c>
      <c r="J71" s="56">
        <f>498.23749004978*Deflactores!$G$5</f>
        <v>1311.7210194036356</v>
      </c>
      <c r="K71" s="56">
        <f>553.55542682225*Deflactores!$H$5</f>
        <v>1378.8402682972685</v>
      </c>
      <c r="L71" s="56">
        <f>626.34906924059*Deflactores!$I$5</f>
        <v>1448.961803050355</v>
      </c>
      <c r="M71" s="56">
        <f>700.62880323559*Deflactores!$J$5</f>
        <v>1588.9880027429213</v>
      </c>
      <c r="N71" s="56">
        <f>787.363765110279*Deflactores!$K$5</f>
        <v>1730.8103348806758</v>
      </c>
      <c r="O71" s="56">
        <f>832.60945847951*Deflactores!$L$5</f>
        <v>1764.5131375601475</v>
      </c>
      <c r="P71" s="56">
        <f>952.077946487513*Deflactores!$M$5</f>
        <v>1969.6383503243846</v>
      </c>
      <c r="Q71" s="56">
        <f>1067.35107867292*Deflactores!$N$5</f>
        <v>2166.0907626992885</v>
      </c>
      <c r="R71" s="56">
        <f>1225.20219922993*Deflactores!$O$5</f>
        <v>2398.6446859037233</v>
      </c>
      <c r="S71" s="56">
        <f>1303.39817234552*Deflactores!$P$5</f>
        <v>2389.9346038346234</v>
      </c>
      <c r="T71" s="56">
        <f>1406.86226722318*Deflactores!$Q$5</f>
        <v>2439.3836886118847</v>
      </c>
      <c r="U71" s="56">
        <f>1483.57609230137*Deflactores!$R$5</f>
        <v>2471.3220907078862</v>
      </c>
      <c r="V71" s="56">
        <f>1585.40247830384*Deflactores!$S$5</f>
        <v>2559.549508540927</v>
      </c>
    </row>
    <row r="72" spans="3:22" x14ac:dyDescent="0.2">
      <c r="C72" s="88" t="s">
        <v>142</v>
      </c>
      <c r="D72" s="57">
        <f>18.7252148861399*Deflactores!$A$5</f>
        <v>69.880921038323876</v>
      </c>
      <c r="E72" s="57">
        <f>20.7344189281699*Deflactores!$B$5</f>
        <v>71.881393398236042</v>
      </c>
      <c r="F72" s="57">
        <f>24.1726967548399*Deflactores!$C$5</f>
        <v>78.324758417686581</v>
      </c>
      <c r="G72" s="57">
        <f>23.78010331202*Deflactores!$D$5</f>
        <v>72.355794469849158</v>
      </c>
      <c r="H72" s="57">
        <f>23.03001462626*Deflactores!$E$5</f>
        <v>66.422276173887965</v>
      </c>
      <c r="I72" s="57">
        <f>21.02234753951*Deflactores!$F$5</f>
        <v>57.82437163057098</v>
      </c>
      <c r="J72" s="57">
        <f>22.1565150814899*Deflactores!$G$5</f>
        <v>58.331954398333608</v>
      </c>
      <c r="K72" s="57">
        <f>24.42821503111*Deflactores!$H$5</f>
        <v>60.847757849431709</v>
      </c>
      <c r="L72" s="57">
        <f>26.8133116162499*Deflactores!$I$5</f>
        <v>62.028453865729404</v>
      </c>
      <c r="M72" s="57">
        <f>28.49154445022*Deflactores!$J$5</f>
        <v>64.617272515690544</v>
      </c>
      <c r="N72" s="57">
        <f>132.12304330408*Deflactores!$K$5</f>
        <v>290.43745592554615</v>
      </c>
      <c r="O72" s="57">
        <f>29.35691344949*Deflactores!$L$5</f>
        <v>62.214834256673385</v>
      </c>
      <c r="P72" s="57">
        <f>44.47048334379*Deflactores!$M$5</f>
        <v>91.999578159055019</v>
      </c>
      <c r="Q72" s="57">
        <f>69.97851491061*Deflactores!$N$5</f>
        <v>142.01495437073243</v>
      </c>
      <c r="R72" s="57">
        <f>76.8727647453599*Deflactores!$O$5</f>
        <v>150.49797393693757</v>
      </c>
      <c r="S72" s="57">
        <f>71.55365627625*Deflactores!$P$5</f>
        <v>131.20208605000667</v>
      </c>
      <c r="T72" s="57">
        <f>71.47473205727*Deflactores!$Q$5</f>
        <v>123.9313183603569</v>
      </c>
      <c r="U72" s="57">
        <f>73.55462119081*Deflactores!$R$5</f>
        <v>122.52634776590442</v>
      </c>
      <c r="V72" s="57">
        <f>75.666843965952*Deflactores!$S$5</f>
        <v>122.16016811901204</v>
      </c>
    </row>
    <row r="73" spans="3:22" x14ac:dyDescent="0.2">
      <c r="C73" s="87" t="s">
        <v>143</v>
      </c>
      <c r="D73" s="56">
        <f>43.45165162676*Deflactores!$A$5</f>
        <v>162.15789537143829</v>
      </c>
      <c r="E73" s="56">
        <f>49.9590945392499*Deflactores!$B$5</f>
        <v>173.19652606789762</v>
      </c>
      <c r="F73" s="56">
        <f>46.2942514339199*Deflactores!$C$5</f>
        <v>150.00337349466048</v>
      </c>
      <c r="G73" s="56">
        <f>45.00022994608*Deflactores!$D$5</f>
        <v>136.92233992224538</v>
      </c>
      <c r="H73" s="56">
        <f>73.46413730178*Deflactores!$E$5</f>
        <v>211.88241935249241</v>
      </c>
      <c r="I73" s="56">
        <f>90.8155230182699*Deflactores!$F$5</f>
        <v>249.79848434926564</v>
      </c>
      <c r="J73" s="56">
        <f>166.74805622262*Deflactores!$G$5</f>
        <v>439.00134907563137</v>
      </c>
      <c r="K73" s="56">
        <f>223.81714580047*Deflactores!$H$5</f>
        <v>557.50170337349948</v>
      </c>
      <c r="L73" s="56">
        <f>234.25407556249*Deflactores!$I$5</f>
        <v>541.91061241689397</v>
      </c>
      <c r="M73" s="56">
        <f>245.20151040389*Deflactores!$J$5</f>
        <v>556.10368355811431</v>
      </c>
      <c r="N73" s="56">
        <f>234.789931365139*Deflactores!$K$5</f>
        <v>516.12336983248088</v>
      </c>
      <c r="O73" s="56">
        <f>240.76536305463*Deflactores!$L$5</f>
        <v>510.243598427471</v>
      </c>
      <c r="P73" s="56">
        <f>469.190350559769*Deflactores!$M$5</f>
        <v>970.65089205569961</v>
      </c>
      <c r="Q73" s="56">
        <f>472.45616030026*Deflactores!$N$5</f>
        <v>958.80628694279324</v>
      </c>
      <c r="R73" s="56">
        <f>531.12084229342*Deflactores!$O$5</f>
        <v>1039.8040313187023</v>
      </c>
      <c r="S73" s="56">
        <f>526.19455462436*Deflactores!$P$5</f>
        <v>964.83990934485848</v>
      </c>
      <c r="T73" s="56">
        <f>709.6009988415*Deflactores!$Q$5</f>
        <v>1230.3898841591842</v>
      </c>
      <c r="U73" s="56">
        <f>1747.79257188346*Deflactores!$R$5</f>
        <v>2911.4505250421103</v>
      </c>
      <c r="V73" s="56">
        <f>732.30377987225*Deflactores!$S$5</f>
        <v>1182.2662103316459</v>
      </c>
    </row>
    <row r="74" spans="3:22" x14ac:dyDescent="0.2">
      <c r="C74" s="88" t="s">
        <v>144</v>
      </c>
      <c r="D74" s="57">
        <f>678.643421644129*Deflactores!$A$5</f>
        <v>2532.6399536378067</v>
      </c>
      <c r="E74" s="57">
        <f>738.77305001638*Deflactores!$B$5</f>
        <v>2561.1538198495005</v>
      </c>
      <c r="F74" s="57">
        <f>781.126332891959*Deflactores!$C$5</f>
        <v>2531.0180298855666</v>
      </c>
      <c r="G74" s="57">
        <f>775.31151387229*Deflactores!$D$5</f>
        <v>2359.0427598981596</v>
      </c>
      <c r="H74" s="57">
        <f>961.56621641673*Deflactores!$E$5</f>
        <v>2773.3120374784903</v>
      </c>
      <c r="I74" s="57">
        <f>1004.38974572582*Deflactores!$F$5</f>
        <v>2762.688886654103</v>
      </c>
      <c r="J74" s="57">
        <f>1125.37533443539*Deflactores!$G$5</f>
        <v>2962.8008939066572</v>
      </c>
      <c r="K74" s="57">
        <f>1220.42196722433*Deflactores!$H$5</f>
        <v>3039.9249491303826</v>
      </c>
      <c r="L74" s="57">
        <f>1355.79252654312*Deflactores!$I$5</f>
        <v>3136.4165451765443</v>
      </c>
      <c r="M74" s="57">
        <f>1585.63666387871*Deflactores!$J$5</f>
        <v>3596.1376751525959</v>
      </c>
      <c r="N74" s="57">
        <f>1689.0095350929*Deflactores!$K$5</f>
        <v>3712.8393362645393</v>
      </c>
      <c r="O74" s="57">
        <f>1860.45699984173*Deflactores!$L$5</f>
        <v>3942.7858819685239</v>
      </c>
      <c r="P74" s="57">
        <f>2219.91812791399*Deflactores!$M$5</f>
        <v>4592.5188115646097</v>
      </c>
      <c r="Q74" s="57">
        <f>2494.22593724524*Deflactores!$N$5</f>
        <v>5061.8019419339562</v>
      </c>
      <c r="R74" s="57">
        <f>2752.4210538091*Deflactores!$O$5</f>
        <v>5388.5637311443734</v>
      </c>
      <c r="S74" s="57">
        <f>2970.78230995659*Deflactores!$P$5</f>
        <v>5447.280496218822</v>
      </c>
      <c r="T74" s="57">
        <f>3306.30360744719*Deflactores!$Q$5</f>
        <v>5732.8590562915761</v>
      </c>
      <c r="U74" s="57">
        <f>3524.69792549179*Deflactores!$R$5</f>
        <v>5871.3967497466647</v>
      </c>
      <c r="V74" s="57">
        <f>3949.16069910725*Deflactores!$S$5</f>
        <v>6375.7137161557457</v>
      </c>
    </row>
    <row r="75" spans="3:22" x14ac:dyDescent="0.2">
      <c r="C75" s="87" t="s">
        <v>145</v>
      </c>
      <c r="D75" s="56">
        <f>174.099840372309*Deflactores!$A$5</f>
        <v>649.72590551403403</v>
      </c>
      <c r="E75" s="56">
        <f>176.0110872857*Deflactores!$B$5</f>
        <v>610.18937890010943</v>
      </c>
      <c r="F75" s="56">
        <f>182.08937455976*Deflactores!$C$5</f>
        <v>590.00890208765236</v>
      </c>
      <c r="G75" s="56">
        <f>290.657719803569*Deflactores!$D$5</f>
        <v>884.38515002379063</v>
      </c>
      <c r="H75" s="56">
        <f>132.20019158814*Deflactores!$E$5</f>
        <v>381.28667212810831</v>
      </c>
      <c r="I75" s="56">
        <f>136.99070090735*Deflactores!$F$5</f>
        <v>376.80859306085085</v>
      </c>
      <c r="J75" s="56">
        <f>397.70461640053*Deflactores!$G$5</f>
        <v>1047.0458672114642</v>
      </c>
      <c r="K75" s="56">
        <f>336.51374672036*Deflactores!$H$5</f>
        <v>838.21543847426335</v>
      </c>
      <c r="L75" s="56">
        <f>249.82051878438*Deflactores!$I$5</f>
        <v>577.92117385225697</v>
      </c>
      <c r="M75" s="56">
        <f>298.036944418899*Deflactores!$J$5</f>
        <v>675.93157299379061</v>
      </c>
      <c r="N75" s="56">
        <f>655.92966998835*Deflactores!$K$5</f>
        <v>1441.8873487424169</v>
      </c>
      <c r="O75" s="56">
        <f>522.475915782461*Deflactores!$L$5</f>
        <v>1107.2605626418181</v>
      </c>
      <c r="P75" s="56">
        <f>365.230496251859*Deflactores!$M$5</f>
        <v>755.58098449778856</v>
      </c>
      <c r="Q75" s="56">
        <f>491.208416182133*Deflactores!$N$5</f>
        <v>996.86226407826564</v>
      </c>
      <c r="R75" s="56">
        <f>1026.12857485347*Deflactores!$O$5</f>
        <v>2008.9074723121096</v>
      </c>
      <c r="S75" s="56">
        <f>769.21666422358*Deflactores!$P$5</f>
        <v>1410.4496712358698</v>
      </c>
      <c r="T75" s="56">
        <f>649.54763947129*Deflactores!$Q$5</f>
        <v>1126.2622885110463</v>
      </c>
      <c r="U75" s="56">
        <f>681.86634176984*Deflactores!$R$5</f>
        <v>1135.8442361469854</v>
      </c>
      <c r="V75" s="56">
        <f>1720.82749552492*Deflactores!$S$5</f>
        <v>2778.1861266968444</v>
      </c>
    </row>
    <row r="76" spans="3:22" x14ac:dyDescent="0.2">
      <c r="C76" s="88" t="s">
        <v>146</v>
      </c>
      <c r="D76" s="57">
        <f>143.2508931459*Deflactores!$A$5</f>
        <v>534.60023895413997</v>
      </c>
      <c r="E76" s="57">
        <f>153.719172539669*Deflactores!$B$5</f>
        <v>532.90851084152109</v>
      </c>
      <c r="F76" s="57">
        <f>171.52468133569*Deflactores!$C$5</f>
        <v>555.77701422985365</v>
      </c>
      <c r="G76" s="57">
        <f>182.30649268251*Deflactores!$D$5</f>
        <v>554.70453353275411</v>
      </c>
      <c r="H76" s="57">
        <f>179.413436670079*Deflactores!$E$5</f>
        <v>517.45728490410579</v>
      </c>
      <c r="I76" s="57">
        <f>228.01449133109*Deflactores!$F$5</f>
        <v>627.17994073234081</v>
      </c>
      <c r="J76" s="57">
        <f>231.07523222648*Deflactores!$G$5</f>
        <v>608.35694870084194</v>
      </c>
      <c r="K76" s="57">
        <f>210.97840308749*Deflactores!$H$5</f>
        <v>525.52193298521399</v>
      </c>
      <c r="L76" s="57">
        <f>209.737739273309*Deflactores!$I$5</f>
        <v>485.19585609606099</v>
      </c>
      <c r="M76" s="57">
        <f>207.437652928019*Deflactores!$J$5</f>
        <v>470.45730963038523</v>
      </c>
      <c r="N76" s="57">
        <f>220.29936780246*Deflactores!$K$5</f>
        <v>484.26971046447915</v>
      </c>
      <c r="O76" s="57">
        <f>252.056339634269*Deflactores!$L$5</f>
        <v>534.1720757078516</v>
      </c>
      <c r="P76" s="57">
        <f>378.703053995373*Deflactores!$M$5</f>
        <v>783.4527217924965</v>
      </c>
      <c r="Q76" s="57">
        <f>395.182433200329*Deflactores!$N$5</f>
        <v>801.98637097042274</v>
      </c>
      <c r="R76" s="57">
        <f>431.446562370586*Deflactores!$O$5</f>
        <v>844.66629649545803</v>
      </c>
      <c r="S76" s="57">
        <f>563.469361824554*Deflactores!$P$5</f>
        <v>1033.1876740334469</v>
      </c>
      <c r="T76" s="57">
        <f>633.31333062606*Deflactores!$Q$5</f>
        <v>1098.1133295720122</v>
      </c>
      <c r="U76" s="57">
        <f>584.23431827391*Deflactores!$R$5</f>
        <v>973.21005939119698</v>
      </c>
      <c r="V76" s="57">
        <f>565.40032700844*Deflactores!$S$5</f>
        <v>912.80930169328508</v>
      </c>
    </row>
    <row r="77" spans="3:22" x14ac:dyDescent="0.2">
      <c r="C77" s="90" t="s">
        <v>147</v>
      </c>
      <c r="D77" s="58">
        <f>4021.59541096314*Deflactores!$A$5</f>
        <v>15008.254541827275</v>
      </c>
      <c r="E77" s="58">
        <f>5045.70569468893*Deflactores!$B$5</f>
        <v>17492.284556809976</v>
      </c>
      <c r="F77" s="58">
        <f>6220.21004158859*Deflactores!$C$5</f>
        <v>20154.824004779159</v>
      </c>
      <c r="G77" s="58">
        <f>7160.05421461743*Deflactores!$D$5</f>
        <v>21785.919276640372</v>
      </c>
      <c r="H77" s="58">
        <f>9343.11965213604*Deflactores!$E$5</f>
        <v>26947.063817850561</v>
      </c>
      <c r="I77" s="58">
        <f>12330.2838440005*Deflactores!$F$5</f>
        <v>33915.856160492767</v>
      </c>
      <c r="J77" s="58">
        <f>13566.7616687994*Deflactores!$G$5</f>
        <v>35717.517853635829</v>
      </c>
      <c r="K77" s="58">
        <f>14575.3597655672*Deflactores!$H$5</f>
        <v>36305.475469825338</v>
      </c>
      <c r="L77" s="58">
        <f>16945.3828605669*Deflactores!$I$5</f>
        <v>39200.525248316997</v>
      </c>
      <c r="M77" s="58">
        <f>19095.0717411685*Deflactores!$J$5</f>
        <v>43306.583697543952</v>
      </c>
      <c r="N77" s="58">
        <f>19583.1890462182*Deflactores!$K$5</f>
        <v>43048.445322308122</v>
      </c>
      <c r="O77" s="58">
        <f>20418.2263383744*Deflactores!$L$5</f>
        <v>43271.462091641471</v>
      </c>
      <c r="P77" s="58">
        <f>22999.2495755259*Deflactores!$M$5</f>
        <v>47580.352175746753</v>
      </c>
      <c r="Q77" s="58">
        <f>23061.2369548134*Deflactores!$N$5</f>
        <v>46800.657574028024</v>
      </c>
      <c r="R77" s="58">
        <f>27374.1207979643*Deflactores!$O$5</f>
        <v>53591.798500356177</v>
      </c>
      <c r="S77" s="58">
        <f>26762.5473954488*Deflactores!$P$5</f>
        <v>49072.293842523359</v>
      </c>
      <c r="T77" s="58">
        <f>28348.7786574901*Deflactores!$Q$5</f>
        <v>49154.455173243892</v>
      </c>
      <c r="U77" s="58">
        <f>34637.7508339284*Deflactores!$R$5</f>
        <v>57699.122581259551</v>
      </c>
      <c r="V77" s="58">
        <f>42892.7525365806*Deflactores!$S$5</f>
        <v>69248.109030602966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0.150079299*Deflactores!$R$5</f>
        <v>0.25000017788188478</v>
      </c>
      <c r="V78" s="59">
        <f>113.937033405*Deflactores!$S$5</f>
        <v>183.9453904275334</v>
      </c>
    </row>
    <row r="79" spans="3:22" x14ac:dyDescent="0.2">
      <c r="C79" s="87" t="s">
        <v>149</v>
      </c>
      <c r="D79" s="56">
        <f>30.57698756911*Deflactores!$A$5</f>
        <v>114.11073607963628</v>
      </c>
      <c r="E79" s="56">
        <f>16.194439005*Deflactores!$B$5</f>
        <v>56.142342113123753</v>
      </c>
      <c r="F79" s="56">
        <f>16.43364652739*Deflactores!$C$5</f>
        <v>53.24856416451582</v>
      </c>
      <c r="G79" s="56">
        <f>18.20194139143*Deflactores!$D$5</f>
        <v>55.383103806989965</v>
      </c>
      <c r="H79" s="56">
        <f>19.16086313623*Deflactores!$E$5</f>
        <v>55.263019308443297</v>
      </c>
      <c r="I79" s="56">
        <f>39.92965573349*Deflactores!$F$5</f>
        <v>109.83108560424371</v>
      </c>
      <c r="J79" s="56">
        <f>32.60458548045*Deflactores!$G$5</f>
        <v>85.838823769314899</v>
      </c>
      <c r="K79" s="56">
        <f>34.93440224604*Deflactores!$H$5</f>
        <v>87.017411864705366</v>
      </c>
      <c r="L79" s="56">
        <f>35.32320522352*Deflactores!$I$5</f>
        <v>81.714777978746383</v>
      </c>
      <c r="M79" s="56">
        <f>38.5413351375*Deflactores!$J$5</f>
        <v>87.409650959766296</v>
      </c>
      <c r="N79" s="56">
        <f>97.05842364757*Deflactores!$K$5</f>
        <v>213.35719292709936</v>
      </c>
      <c r="O79" s="56">
        <f>99.5603032349599*Deflactores!$L$5</f>
        <v>210.99383540318269</v>
      </c>
      <c r="P79" s="56">
        <f>132.19334659811*Deflactores!$M$5</f>
        <v>273.47874832932695</v>
      </c>
      <c r="Q79" s="56">
        <f>42.22112758724*Deflactores!$N$5</f>
        <v>85.683891912282547</v>
      </c>
      <c r="R79" s="56">
        <f>56.15010820062*Deflactores!$O$5</f>
        <v>109.92810715895592</v>
      </c>
      <c r="S79" s="56">
        <f>55.88069132066*Deflactores!$P$5</f>
        <v>102.46385234154151</v>
      </c>
      <c r="T79" s="56">
        <f>60.13990098685*Deflactores!$Q$5</f>
        <v>104.27765170759461</v>
      </c>
      <c r="U79" s="56">
        <f>61.48191918054*Deflactores!$R$5</f>
        <v>102.41579507680578</v>
      </c>
      <c r="V79" s="56">
        <f>59.3823111006699*Deflactores!$S$5</f>
        <v>95.86964021675702</v>
      </c>
    </row>
    <row r="80" spans="3:22" x14ac:dyDescent="0.2">
      <c r="C80" s="88" t="s">
        <v>150</v>
      </c>
      <c r="D80" s="57">
        <f>137.461309455799*Deflactores!$A$5</f>
        <v>512.9940014208031</v>
      </c>
      <c r="E80" s="57">
        <f>151.87090017649*Deflactores!$B$5</f>
        <v>526.50098173231345</v>
      </c>
      <c r="F80" s="57">
        <f>298.590533235449*Deflactores!$C$5</f>
        <v>967.49781866155115</v>
      </c>
      <c r="G80" s="57">
        <f>110.71507590773*Deflactores!$D$5</f>
        <v>336.87310656233547</v>
      </c>
      <c r="H80" s="57">
        <f>156.314487858409*Deflactores!$E$5</f>
        <v>450.83619142265502</v>
      </c>
      <c r="I80" s="57">
        <f>121.84708783595*Deflactores!$F$5</f>
        <v>335.15435304676839</v>
      </c>
      <c r="J80" s="57">
        <f>109.42254510559*Deflactores!$G$5</f>
        <v>288.07918969988441</v>
      </c>
      <c r="K80" s="57">
        <f>120.89080523364*Deflactores!$H$5</f>
        <v>301.12451661782711</v>
      </c>
      <c r="L80" s="57">
        <f>109.425763866629*Deflactores!$I$5</f>
        <v>253.13959882560357</v>
      </c>
      <c r="M80" s="57">
        <f>192.33068976554*Deflactores!$J$5</f>
        <v>436.19553918617663</v>
      </c>
      <c r="N80" s="57">
        <f>164.59952949477*Deflactores!$K$5</f>
        <v>361.82839418085547</v>
      </c>
      <c r="O80" s="57">
        <f>159.04164265128*Deflactores!$L$5</f>
        <v>337.05005992822987</v>
      </c>
      <c r="P80" s="57">
        <f>281.226673704549*Deflactores!$M$5</f>
        <v>581.79568564337785</v>
      </c>
      <c r="Q80" s="57">
        <f>221.99523684025*Deflactores!$N$5</f>
        <v>450.51889813123245</v>
      </c>
      <c r="R80" s="57">
        <f>215.723656602069*Deflactores!$O$5</f>
        <v>422.33388322147897</v>
      </c>
      <c r="S80" s="57">
        <f>196.85769027667*Deflactores!$P$5</f>
        <v>360.96184267047812</v>
      </c>
      <c r="T80" s="57">
        <f>190.124939296199*Deflactores!$Q$5</f>
        <v>329.66103827127432</v>
      </c>
      <c r="U80" s="57">
        <f>194.80869001353*Deflactores!$R$5</f>
        <v>324.50982567768693</v>
      </c>
      <c r="V80" s="57">
        <f>201.23375440577*Deflactores!$S$5</f>
        <v>324.88138768534344</v>
      </c>
    </row>
    <row r="81" spans="3:22" x14ac:dyDescent="0.2">
      <c r="C81" s="87" t="s">
        <v>151</v>
      </c>
      <c r="D81" s="56">
        <f>17.10347442701*Deflactores!$A$5</f>
        <v>63.828722563795516</v>
      </c>
      <c r="E81" s="56">
        <f>18.4030412093499*Deflactores!$B$5</f>
        <v>63.79905072217948</v>
      </c>
      <c r="F81" s="56">
        <f>18.32475742285*Deflactores!$C$5</f>
        <v>59.376171916774673</v>
      </c>
      <c r="G81" s="56">
        <f>16.93250389372*Deflactores!$D$5</f>
        <v>51.520582375882597</v>
      </c>
      <c r="H81" s="56">
        <f>9.51233351882999*Deflactores!$E$5</f>
        <v>27.435103898084861</v>
      </c>
      <c r="I81" s="56">
        <f>9.57005390914999*Deflactores!$F$5</f>
        <v>26.323527985028552</v>
      </c>
      <c r="J81" s="56">
        <f>14.5514936801199*Deflactores!$G$5</f>
        <v>38.310043915052169</v>
      </c>
      <c r="K81" s="56">
        <f>12.5245089875899*Deflactores!$H$5</f>
        <v>31.197051814443299</v>
      </c>
      <c r="L81" s="56">
        <f>8.57064459184*Deflactores!$I$5</f>
        <v>19.826862130014785</v>
      </c>
      <c r="M81" s="56">
        <f>6.98087088462*Deflactores!$J$5</f>
        <v>15.832235319375854</v>
      </c>
      <c r="N81" s="56">
        <f>11.42518650773*Deflactores!$K$5</f>
        <v>25.115241216045366</v>
      </c>
      <c r="O81" s="56">
        <f>323.29695072997*Deflactores!$L$5</f>
        <v>685.14921502084576</v>
      </c>
      <c r="P81" s="56">
        <f>1354.35392205057*Deflactores!$M$5</f>
        <v>2801.8582245545499</v>
      </c>
      <c r="Q81" s="56">
        <f>1461.6487467777*Deflactores!$N$5</f>
        <v>2966.281584352414</v>
      </c>
      <c r="R81" s="56">
        <f>1517.89312989286*Deflactores!$O$5</f>
        <v>2971.6615690664494</v>
      </c>
      <c r="S81" s="56">
        <f>1592.54365751788*Deflactores!$P$5</f>
        <v>2920.1170263804684</v>
      </c>
      <c r="T81" s="56">
        <f>1749.10394856217*Deflactores!$Q$5</f>
        <v>3032.8026710324284</v>
      </c>
      <c r="U81" s="56">
        <f>1945.66599381234*Deflactores!$R$5</f>
        <v>3241.0655419693767</v>
      </c>
      <c r="V81" s="56">
        <f>1962.91010346537*Deflactores!$S$5</f>
        <v>3169.0158552104481</v>
      </c>
    </row>
    <row r="82" spans="3:22" x14ac:dyDescent="0.2">
      <c r="C82" s="79" t="s">
        <v>179</v>
      </c>
      <c r="D82" s="44">
        <f t="shared" ref="D82:V82" si="1">+SUM(D53:D81)</f>
        <v>88082.242479966153</v>
      </c>
      <c r="E82" s="44">
        <f t="shared" si="1"/>
        <v>93757.733427154482</v>
      </c>
      <c r="F82" s="44">
        <f t="shared" si="1"/>
        <v>99295.674596384473</v>
      </c>
      <c r="G82" s="44">
        <f t="shared" si="1"/>
        <v>99948.755911490633</v>
      </c>
      <c r="H82" s="44">
        <f t="shared" si="1"/>
        <v>111885.3357413449</v>
      </c>
      <c r="I82" s="44">
        <f t="shared" si="1"/>
        <v>121942.37725730507</v>
      </c>
      <c r="J82" s="44">
        <f t="shared" si="1"/>
        <v>127735.4778982241</v>
      </c>
      <c r="K82" s="44">
        <f t="shared" si="1"/>
        <v>129775.61127717899</v>
      </c>
      <c r="L82" s="44">
        <f t="shared" si="1"/>
        <v>139307.19776481311</v>
      </c>
      <c r="M82" s="44">
        <f t="shared" si="1"/>
        <v>151073.88806289952</v>
      </c>
      <c r="N82" s="44">
        <f t="shared" si="1"/>
        <v>160121.29033951054</v>
      </c>
      <c r="O82" s="44">
        <f t="shared" si="1"/>
        <v>163734.59757609409</v>
      </c>
      <c r="P82" s="44">
        <f t="shared" si="1"/>
        <v>175197.92997429825</v>
      </c>
      <c r="Q82" s="44">
        <f t="shared" si="1"/>
        <v>188470.86424353032</v>
      </c>
      <c r="R82" s="44">
        <f t="shared" si="1"/>
        <v>198184.47805960765</v>
      </c>
      <c r="S82" s="44">
        <f t="shared" si="1"/>
        <v>195850.26085318479</v>
      </c>
      <c r="T82" s="44">
        <f t="shared" si="1"/>
        <v>201247.51192038259</v>
      </c>
      <c r="U82" s="44">
        <f t="shared" si="1"/>
        <v>220046.6536777376</v>
      </c>
      <c r="V82" s="44">
        <f t="shared" si="1"/>
        <v>221227.24389291779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5.75" customHeight="1" x14ac:dyDescent="0.2">
      <c r="D87" s="164" t="s">
        <v>189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1.25" hidden="1" customHeight="1" x14ac:dyDescent="0.2">
      <c r="H88" s="27"/>
      <c r="I88" s="27"/>
      <c r="J88" s="27"/>
      <c r="L88" s="179"/>
      <c r="M88" s="160"/>
      <c r="N88" s="160"/>
      <c r="O88" s="160"/>
      <c r="P88" s="160"/>
      <c r="Q88" s="160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81" t="s">
        <v>120</v>
      </c>
      <c r="D90" s="155">
        <v>2000</v>
      </c>
      <c r="E90" s="155">
        <v>2001</v>
      </c>
      <c r="F90" s="155">
        <v>2002</v>
      </c>
      <c r="G90" s="155">
        <v>2003</v>
      </c>
      <c r="H90" s="155">
        <v>2004</v>
      </c>
      <c r="I90" s="155">
        <v>2005</v>
      </c>
      <c r="J90" s="155">
        <v>2006</v>
      </c>
      <c r="K90" s="155">
        <v>2007</v>
      </c>
      <c r="L90" s="155">
        <v>2008</v>
      </c>
      <c r="M90" s="155">
        <v>2009</v>
      </c>
      <c r="N90" s="155">
        <v>2010</v>
      </c>
      <c r="O90" s="155">
        <v>2011</v>
      </c>
      <c r="P90" s="155">
        <v>2012</v>
      </c>
      <c r="Q90" s="155">
        <v>2013</v>
      </c>
      <c r="R90" s="155">
        <v>2014</v>
      </c>
      <c r="S90" s="155">
        <v>2015</v>
      </c>
      <c r="T90" s="155">
        <v>2016</v>
      </c>
      <c r="U90" s="155">
        <v>2017</v>
      </c>
      <c r="V90" s="155">
        <v>2018</v>
      </c>
    </row>
    <row r="91" spans="3:22" ht="12" customHeight="1" thickBot="1" x14ac:dyDescent="0.25">
      <c r="C91" s="162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</row>
    <row r="92" spans="3:22" x14ac:dyDescent="0.2">
      <c r="C92" s="87" t="s">
        <v>123</v>
      </c>
      <c r="D92" s="60">
        <f t="shared" ref="D92:V92" si="2">+IFERROR(IF(D53&gt;0,+((D53/D14)*100)," "),"")</f>
        <v>92.795917253954869</v>
      </c>
      <c r="E92" s="60">
        <f t="shared" si="2"/>
        <v>93.549873726674505</v>
      </c>
      <c r="F92" s="60">
        <f t="shared" si="2"/>
        <v>96.991927655835866</v>
      </c>
      <c r="G92" s="60">
        <f t="shared" si="2"/>
        <v>96.466889147323201</v>
      </c>
      <c r="H92" s="60">
        <f t="shared" si="2"/>
        <v>91.722156146228969</v>
      </c>
      <c r="I92" s="60">
        <f t="shared" si="2"/>
        <v>89.237009234142263</v>
      </c>
      <c r="J92" s="60">
        <f t="shared" si="2"/>
        <v>95.486216231312824</v>
      </c>
      <c r="K92" s="60">
        <f t="shared" si="2"/>
        <v>94.19234180424489</v>
      </c>
      <c r="L92" s="60">
        <f t="shared" si="2"/>
        <v>99.288176515729404</v>
      </c>
      <c r="M92" s="60">
        <f t="shared" si="2"/>
        <v>95.970451494500239</v>
      </c>
      <c r="N92" s="60">
        <f t="shared" si="2"/>
        <v>93.735139953076867</v>
      </c>
      <c r="O92" s="60">
        <f t="shared" si="2"/>
        <v>96.638801134220671</v>
      </c>
      <c r="P92" s="60">
        <f t="shared" si="2"/>
        <v>89.434614139568893</v>
      </c>
      <c r="Q92" s="60">
        <f t="shared" si="2"/>
        <v>96.468779483412874</v>
      </c>
      <c r="R92" s="60">
        <f t="shared" si="2"/>
        <v>88.363960820395718</v>
      </c>
      <c r="S92" s="60">
        <f t="shared" si="2"/>
        <v>95.499980633096555</v>
      </c>
      <c r="T92" s="60">
        <f t="shared" si="2"/>
        <v>96.834012063238077</v>
      </c>
      <c r="U92" s="60">
        <f t="shared" si="2"/>
        <v>96.682063292331179</v>
      </c>
      <c r="V92" s="60">
        <f t="shared" si="2"/>
        <v>97.469359759403773</v>
      </c>
    </row>
    <row r="93" spans="3:22" x14ac:dyDescent="0.2">
      <c r="C93" s="88" t="s">
        <v>124</v>
      </c>
      <c r="D93" s="62">
        <f t="shared" ref="D93:V93" si="3">+IFERROR(IF(D54&gt;0,+((D54/D15)*100)," "),"")</f>
        <v>90.166779729171637</v>
      </c>
      <c r="E93" s="62">
        <f t="shared" si="3"/>
        <v>91.349588744241444</v>
      </c>
      <c r="F93" s="62">
        <f t="shared" si="3"/>
        <v>90.92732384648896</v>
      </c>
      <c r="G93" s="62">
        <f t="shared" si="3"/>
        <v>88.372613169237297</v>
      </c>
      <c r="H93" s="62">
        <f t="shared" si="3"/>
        <v>94.769146337464889</v>
      </c>
      <c r="I93" s="62">
        <f t="shared" si="3"/>
        <v>94.527453785649328</v>
      </c>
      <c r="J93" s="62">
        <f t="shared" si="3"/>
        <v>93.951997788120252</v>
      </c>
      <c r="K93" s="62">
        <f t="shared" si="3"/>
        <v>91.734434401251747</v>
      </c>
      <c r="L93" s="62">
        <f t="shared" si="3"/>
        <v>99.363108259456993</v>
      </c>
      <c r="M93" s="62">
        <f t="shared" si="3"/>
        <v>99.485765229592232</v>
      </c>
      <c r="N93" s="62">
        <f t="shared" si="3"/>
        <v>96.997727650535239</v>
      </c>
      <c r="O93" s="62">
        <f t="shared" si="3"/>
        <v>98.952768847901524</v>
      </c>
      <c r="P93" s="62">
        <f t="shared" si="3"/>
        <v>86.922621408002072</v>
      </c>
      <c r="Q93" s="62">
        <f t="shared" si="3"/>
        <v>88.716107469590341</v>
      </c>
      <c r="R93" s="62">
        <f t="shared" si="3"/>
        <v>96.548706161252852</v>
      </c>
      <c r="S93" s="62">
        <f t="shared" si="3"/>
        <v>94.87716529511016</v>
      </c>
      <c r="T93" s="62">
        <f t="shared" si="3"/>
        <v>95.924934609913166</v>
      </c>
      <c r="U93" s="62">
        <f t="shared" si="3"/>
        <v>97.922907602756709</v>
      </c>
      <c r="V93" s="62">
        <f t="shared" si="3"/>
        <v>98.33080945167859</v>
      </c>
    </row>
    <row r="94" spans="3:22" x14ac:dyDescent="0.2">
      <c r="C94" s="87" t="s">
        <v>125</v>
      </c>
      <c r="D94" s="60">
        <f t="shared" ref="D94:V94" si="4">+IFERROR(IF(D55&gt;0,+((D55/D16)*100)," "),"")</f>
        <v>96.707028242645293</v>
      </c>
      <c r="E94" s="60">
        <f t="shared" si="4"/>
        <v>95.217952059984043</v>
      </c>
      <c r="F94" s="60">
        <f t="shared" si="4"/>
        <v>97.410251150866728</v>
      </c>
      <c r="G94" s="60">
        <f t="shared" si="4"/>
        <v>97.159012527136497</v>
      </c>
      <c r="H94" s="60">
        <f t="shared" si="4"/>
        <v>92.964720642537173</v>
      </c>
      <c r="I94" s="60">
        <f t="shared" si="4"/>
        <v>96.377774519670069</v>
      </c>
      <c r="J94" s="60">
        <f t="shared" si="4"/>
        <v>93.432215022393507</v>
      </c>
      <c r="K94" s="60">
        <f t="shared" si="4"/>
        <v>91.886386883445027</v>
      </c>
      <c r="L94" s="60">
        <f t="shared" si="4"/>
        <v>97.306755006560138</v>
      </c>
      <c r="M94" s="60">
        <f t="shared" si="4"/>
        <v>26.12919294854575</v>
      </c>
      <c r="N94" s="60">
        <f t="shared" si="4"/>
        <v>95.011290031895413</v>
      </c>
      <c r="O94" s="60">
        <f t="shared" si="4"/>
        <v>89.324973546356148</v>
      </c>
      <c r="P94" s="60">
        <f t="shared" si="4"/>
        <v>73.704696664751694</v>
      </c>
      <c r="Q94" s="60">
        <f t="shared" si="4"/>
        <v>92.22203764113911</v>
      </c>
      <c r="R94" s="60">
        <f t="shared" si="4"/>
        <v>91.751771790915058</v>
      </c>
      <c r="S94" s="60">
        <f t="shared" si="4"/>
        <v>93.408780766827107</v>
      </c>
      <c r="T94" s="60">
        <f t="shared" si="4"/>
        <v>93.770023491383142</v>
      </c>
      <c r="U94" s="60">
        <f t="shared" si="4"/>
        <v>94.718913429029769</v>
      </c>
      <c r="V94" s="60">
        <f t="shared" si="4"/>
        <v>94.148932995088643</v>
      </c>
    </row>
    <row r="95" spans="3:22" x14ac:dyDescent="0.2">
      <c r="C95" s="88" t="s">
        <v>126</v>
      </c>
      <c r="D95" s="62">
        <f t="shared" ref="D95:V95" si="5">+IFERROR(IF(D56&gt;0,+((D56/D17)*100)," "),"")</f>
        <v>92.56724497143226</v>
      </c>
      <c r="E95" s="62">
        <f t="shared" si="5"/>
        <v>92.868885815140771</v>
      </c>
      <c r="F95" s="62">
        <f t="shared" si="5"/>
        <v>95.275693598240238</v>
      </c>
      <c r="G95" s="62">
        <f t="shared" si="5"/>
        <v>91.724106046450927</v>
      </c>
      <c r="H95" s="62">
        <f t="shared" si="5"/>
        <v>96.847993741028475</v>
      </c>
      <c r="I95" s="62">
        <f t="shared" si="5"/>
        <v>96.200406368105533</v>
      </c>
      <c r="J95" s="62">
        <f t="shared" si="5"/>
        <v>97.859759485998126</v>
      </c>
      <c r="K95" s="62">
        <f t="shared" si="5"/>
        <v>89.941667826516593</v>
      </c>
      <c r="L95" s="62">
        <f t="shared" si="5"/>
        <v>93.884623699298686</v>
      </c>
      <c r="M95" s="62">
        <f t="shared" si="5"/>
        <v>95.809622170424149</v>
      </c>
      <c r="N95" s="62">
        <f t="shared" si="5"/>
        <v>92.412315134151115</v>
      </c>
      <c r="O95" s="62">
        <f t="shared" si="5"/>
        <v>91.871766496376722</v>
      </c>
      <c r="P95" s="62">
        <f t="shared" si="5"/>
        <v>94.880080276853789</v>
      </c>
      <c r="Q95" s="62">
        <f t="shared" si="5"/>
        <v>95.621514602232125</v>
      </c>
      <c r="R95" s="62">
        <f t="shared" si="5"/>
        <v>89.75634728914477</v>
      </c>
      <c r="S95" s="62">
        <f t="shared" si="5"/>
        <v>95.454547047657485</v>
      </c>
      <c r="T95" s="62">
        <f t="shared" si="5"/>
        <v>99.122051863568913</v>
      </c>
      <c r="U95" s="62">
        <f t="shared" si="5"/>
        <v>99.266208212164472</v>
      </c>
      <c r="V95" s="62">
        <f t="shared" si="5"/>
        <v>99.13736593676002</v>
      </c>
    </row>
    <row r="96" spans="3:22" x14ac:dyDescent="0.2">
      <c r="C96" s="87" t="s">
        <v>127</v>
      </c>
      <c r="D96" s="60">
        <f t="shared" ref="D96:V96" si="6">+IFERROR(IF(D57&gt;0,+((D57/D18)*100)," "),"")</f>
        <v>86.959021208309764</v>
      </c>
      <c r="E96" s="60">
        <f t="shared" si="6"/>
        <v>91.885170061567337</v>
      </c>
      <c r="F96" s="60">
        <f t="shared" si="6"/>
        <v>97.623412691031973</v>
      </c>
      <c r="G96" s="60">
        <f t="shared" si="6"/>
        <v>97.782302006310559</v>
      </c>
      <c r="H96" s="60">
        <f t="shared" si="6"/>
        <v>97.366980045354538</v>
      </c>
      <c r="I96" s="60">
        <f t="shared" si="6"/>
        <v>99.027427343110702</v>
      </c>
      <c r="J96" s="60">
        <f t="shared" si="6"/>
        <v>98.5397710717031</v>
      </c>
      <c r="K96" s="60">
        <f t="shared" si="6"/>
        <v>98.568381726243373</v>
      </c>
      <c r="L96" s="60">
        <f t="shared" si="6"/>
        <v>97.445486068836075</v>
      </c>
      <c r="M96" s="60">
        <f t="shared" si="6"/>
        <v>98.938369829605264</v>
      </c>
      <c r="N96" s="60">
        <f t="shared" si="6"/>
        <v>98.798074828872828</v>
      </c>
      <c r="O96" s="60">
        <f t="shared" si="6"/>
        <v>99.00028992899766</v>
      </c>
      <c r="P96" s="60">
        <f t="shared" si="6"/>
        <v>97.333950173802052</v>
      </c>
      <c r="Q96" s="60">
        <f t="shared" si="6"/>
        <v>96.26825040964836</v>
      </c>
      <c r="R96" s="60">
        <f t="shared" si="6"/>
        <v>97.561608140849032</v>
      </c>
      <c r="S96" s="60">
        <f t="shared" si="6"/>
        <v>98.424446448225183</v>
      </c>
      <c r="T96" s="60">
        <f t="shared" si="6"/>
        <v>98.631344378749475</v>
      </c>
      <c r="U96" s="60">
        <f t="shared" si="6"/>
        <v>99.39686288818848</v>
      </c>
      <c r="V96" s="60">
        <f t="shared" si="6"/>
        <v>98.695524972927572</v>
      </c>
    </row>
    <row r="97" spans="3:22" x14ac:dyDescent="0.2">
      <c r="C97" s="88" t="s">
        <v>128</v>
      </c>
      <c r="D97" s="62">
        <f t="shared" ref="D97:V97" si="7">+IFERROR(IF(D58&gt;0,+((D58/D19)*100)," "),"")</f>
        <v>95.251372107832196</v>
      </c>
      <c r="E97" s="62">
        <f t="shared" si="7"/>
        <v>98.211031548783168</v>
      </c>
      <c r="F97" s="62">
        <f t="shared" si="7"/>
        <v>98.264817064758276</v>
      </c>
      <c r="G97" s="62">
        <f t="shared" si="7"/>
        <v>99.287367215671892</v>
      </c>
      <c r="H97" s="62">
        <f t="shared" si="7"/>
        <v>99.071090086819865</v>
      </c>
      <c r="I97" s="62">
        <f t="shared" si="7"/>
        <v>94.631453116726917</v>
      </c>
      <c r="J97" s="62">
        <f t="shared" si="7"/>
        <v>98.918779746303287</v>
      </c>
      <c r="K97" s="62">
        <f t="shared" si="7"/>
        <v>97.582472183386642</v>
      </c>
      <c r="L97" s="62">
        <f t="shared" si="7"/>
        <v>98.039845387237065</v>
      </c>
      <c r="M97" s="62">
        <f t="shared" si="7"/>
        <v>92.629171420971971</v>
      </c>
      <c r="N97" s="62">
        <f t="shared" si="7"/>
        <v>92.060167859984958</v>
      </c>
      <c r="O97" s="62">
        <f t="shared" si="7"/>
        <v>97.835805295177607</v>
      </c>
      <c r="P97" s="62">
        <f t="shared" si="7"/>
        <v>97.741030294483551</v>
      </c>
      <c r="Q97" s="62">
        <f t="shared" si="7"/>
        <v>94.922156757854097</v>
      </c>
      <c r="R97" s="62">
        <f t="shared" si="7"/>
        <v>99.237211045698032</v>
      </c>
      <c r="S97" s="62">
        <f t="shared" si="7"/>
        <v>98.674185291426255</v>
      </c>
      <c r="T97" s="62">
        <f t="shared" si="7"/>
        <v>99.676729265615833</v>
      </c>
      <c r="U97" s="62">
        <f t="shared" si="7"/>
        <v>99.764457970392144</v>
      </c>
      <c r="V97" s="62">
        <f t="shared" si="7"/>
        <v>99.446861009460221</v>
      </c>
    </row>
    <row r="98" spans="3:22" x14ac:dyDescent="0.2">
      <c r="C98" s="87" t="s">
        <v>129</v>
      </c>
      <c r="D98" s="60">
        <f t="shared" ref="D98:V98" si="8">+IFERROR(IF(D59&gt;0,+((D59/D20)*100)," "),"")</f>
        <v>98.763229918382905</v>
      </c>
      <c r="E98" s="60">
        <f t="shared" si="8"/>
        <v>98.47617273567657</v>
      </c>
      <c r="F98" s="60">
        <f t="shared" si="8"/>
        <v>98.972929033225768</v>
      </c>
      <c r="G98" s="60">
        <f t="shared" si="8"/>
        <v>98.501964083173633</v>
      </c>
      <c r="H98" s="60">
        <f t="shared" si="8"/>
        <v>99.337767121970572</v>
      </c>
      <c r="I98" s="60">
        <f t="shared" si="8"/>
        <v>99.305265407850712</v>
      </c>
      <c r="J98" s="60">
        <f t="shared" si="8"/>
        <v>99.430595082931276</v>
      </c>
      <c r="K98" s="60">
        <f t="shared" si="8"/>
        <v>98.343057438262775</v>
      </c>
      <c r="L98" s="60">
        <f t="shared" si="8"/>
        <v>99.631283794508391</v>
      </c>
      <c r="M98" s="60">
        <f t="shared" si="8"/>
        <v>98.811504661058905</v>
      </c>
      <c r="N98" s="60">
        <f t="shared" si="8"/>
        <v>98.283803188367656</v>
      </c>
      <c r="O98" s="60">
        <f t="shared" si="8"/>
        <v>98.699621343594387</v>
      </c>
      <c r="P98" s="60">
        <f t="shared" si="8"/>
        <v>99.647774741022815</v>
      </c>
      <c r="Q98" s="60">
        <f t="shared" si="8"/>
        <v>99.782141209950879</v>
      </c>
      <c r="R98" s="60">
        <f t="shared" si="8"/>
        <v>99.556446099685957</v>
      </c>
      <c r="S98" s="60">
        <f t="shared" si="8"/>
        <v>99.286652135463882</v>
      </c>
      <c r="T98" s="60">
        <f t="shared" si="8"/>
        <v>99.872162112471443</v>
      </c>
      <c r="U98" s="60">
        <f t="shared" si="8"/>
        <v>99.890935213492867</v>
      </c>
      <c r="V98" s="60">
        <f t="shared" si="8"/>
        <v>99.822027130007797</v>
      </c>
    </row>
    <row r="99" spans="3:22" x14ac:dyDescent="0.2">
      <c r="C99" s="88" t="s">
        <v>130</v>
      </c>
      <c r="D99" s="62">
        <f t="shared" ref="D99:V99" si="9">+IFERROR(IF(D60&gt;0,+((D60/D21)*100)," "),"")</f>
        <v>98.34922151762521</v>
      </c>
      <c r="E99" s="62">
        <f t="shared" si="9"/>
        <v>99.467589031398191</v>
      </c>
      <c r="F99" s="62">
        <f t="shared" si="9"/>
        <v>99.352997232011191</v>
      </c>
      <c r="G99" s="62">
        <f t="shared" si="9"/>
        <v>98.795235507920296</v>
      </c>
      <c r="H99" s="62">
        <f t="shared" si="9"/>
        <v>98.743804729269598</v>
      </c>
      <c r="I99" s="62">
        <f t="shared" si="9"/>
        <v>99.620038333923389</v>
      </c>
      <c r="J99" s="62">
        <f t="shared" si="9"/>
        <v>98.745010274421688</v>
      </c>
      <c r="K99" s="62">
        <f t="shared" si="9"/>
        <v>99.322467099854975</v>
      </c>
      <c r="L99" s="62">
        <f t="shared" si="9"/>
        <v>97.686329224462398</v>
      </c>
      <c r="M99" s="62">
        <f t="shared" si="9"/>
        <v>97.899958034579754</v>
      </c>
      <c r="N99" s="62">
        <f t="shared" si="9"/>
        <v>96.99599982453762</v>
      </c>
      <c r="O99" s="62">
        <f t="shared" si="9"/>
        <v>93.824198200984739</v>
      </c>
      <c r="P99" s="62">
        <f t="shared" si="9"/>
        <v>83.555911719755088</v>
      </c>
      <c r="Q99" s="62">
        <f t="shared" si="9"/>
        <v>95.918233366242148</v>
      </c>
      <c r="R99" s="62">
        <f t="shared" si="9"/>
        <v>97.139063980899891</v>
      </c>
      <c r="S99" s="62">
        <f t="shared" si="9"/>
        <v>98.885135875862602</v>
      </c>
      <c r="T99" s="62">
        <f t="shared" si="9"/>
        <v>94.527951748784417</v>
      </c>
      <c r="U99" s="62">
        <f t="shared" si="9"/>
        <v>99.170963690722175</v>
      </c>
      <c r="V99" s="62">
        <f t="shared" si="9"/>
        <v>98.126025247475653</v>
      </c>
    </row>
    <row r="100" spans="3:22" x14ac:dyDescent="0.2">
      <c r="C100" s="87" t="s">
        <v>131</v>
      </c>
      <c r="D100" s="60">
        <f t="shared" ref="D100:V100" si="10">+IFERROR(IF(D61&gt;0,+((D61/D22)*100)," "),"")</f>
        <v>95.092979923330958</v>
      </c>
      <c r="E100" s="60">
        <f t="shared" si="10"/>
        <v>97.11577080738958</v>
      </c>
      <c r="F100" s="60">
        <f t="shared" si="10"/>
        <v>99.780218187848519</v>
      </c>
      <c r="G100" s="60">
        <f t="shared" si="10"/>
        <v>99.65878668144785</v>
      </c>
      <c r="H100" s="60">
        <f t="shared" si="10"/>
        <v>99.974705901406352</v>
      </c>
      <c r="I100" s="60">
        <f t="shared" si="10"/>
        <v>99.848785556841719</v>
      </c>
      <c r="J100" s="60">
        <f t="shared" si="10"/>
        <v>99.713998531057797</v>
      </c>
      <c r="K100" s="60">
        <f t="shared" si="10"/>
        <v>99.832813286295746</v>
      </c>
      <c r="L100" s="60">
        <f t="shared" si="10"/>
        <v>99.897472085650392</v>
      </c>
      <c r="M100" s="60">
        <f t="shared" si="10"/>
        <v>99.691509423510297</v>
      </c>
      <c r="N100" s="60">
        <f t="shared" si="10"/>
        <v>97.848350898892832</v>
      </c>
      <c r="O100" s="60">
        <f t="shared" si="10"/>
        <v>99.973941798633206</v>
      </c>
      <c r="P100" s="60">
        <f t="shared" si="10"/>
        <v>99.907347411746414</v>
      </c>
      <c r="Q100" s="60">
        <f t="shared" si="10"/>
        <v>99.869448516246621</v>
      </c>
      <c r="R100" s="60">
        <f t="shared" si="10"/>
        <v>99.975666062351593</v>
      </c>
      <c r="S100" s="60">
        <f t="shared" si="10"/>
        <v>99.954561939967505</v>
      </c>
      <c r="T100" s="60">
        <f t="shared" si="10"/>
        <v>99.174957707881077</v>
      </c>
      <c r="U100" s="60">
        <f t="shared" si="10"/>
        <v>99.973823017244797</v>
      </c>
      <c r="V100" s="60">
        <f t="shared" si="10"/>
        <v>99.975424339747164</v>
      </c>
    </row>
    <row r="101" spans="3:22" x14ac:dyDescent="0.2">
      <c r="C101" s="88" t="s">
        <v>132</v>
      </c>
      <c r="D101" s="62">
        <f t="shared" ref="D101:V101" si="11">+IFERROR(IF(D62&gt;0,+((D62/D23)*100)," "),"")</f>
        <v>96.837791727358677</v>
      </c>
      <c r="E101" s="62">
        <f t="shared" si="11"/>
        <v>94.770962614055236</v>
      </c>
      <c r="F101" s="62">
        <f t="shared" si="11"/>
        <v>97.681755647818676</v>
      </c>
      <c r="G101" s="62">
        <f t="shared" si="11"/>
        <v>94.038785732305357</v>
      </c>
      <c r="H101" s="62">
        <f t="shared" si="11"/>
        <v>94.258187792852354</v>
      </c>
      <c r="I101" s="62">
        <f t="shared" si="11"/>
        <v>90.957364350830488</v>
      </c>
      <c r="J101" s="62">
        <f t="shared" si="11"/>
        <v>96.346290143336191</v>
      </c>
      <c r="K101" s="62">
        <f t="shared" si="11"/>
        <v>91.303469726020097</v>
      </c>
      <c r="L101" s="62">
        <f t="shared" si="11"/>
        <v>92.461835128033115</v>
      </c>
      <c r="M101" s="62">
        <f t="shared" si="11"/>
        <v>85.963711420803307</v>
      </c>
      <c r="N101" s="62">
        <f t="shared" si="11"/>
        <v>76.239686624414034</v>
      </c>
      <c r="O101" s="62">
        <f t="shared" si="11"/>
        <v>86.37403088050219</v>
      </c>
      <c r="P101" s="62">
        <f t="shared" si="11"/>
        <v>88.872170557130502</v>
      </c>
      <c r="Q101" s="62">
        <f t="shared" si="11"/>
        <v>89.218216739319928</v>
      </c>
      <c r="R101" s="62">
        <f t="shared" si="11"/>
        <v>94.063979133424752</v>
      </c>
      <c r="S101" s="62">
        <f t="shared" si="11"/>
        <v>93.963380214021214</v>
      </c>
      <c r="T101" s="62">
        <f t="shared" si="11"/>
        <v>97.394920529629346</v>
      </c>
      <c r="U101" s="62">
        <f t="shared" si="11"/>
        <v>99.432853408011354</v>
      </c>
      <c r="V101" s="62">
        <f t="shared" si="11"/>
        <v>97.59926843481675</v>
      </c>
    </row>
    <row r="102" spans="3:22" x14ac:dyDescent="0.2">
      <c r="C102" s="87" t="s">
        <v>133</v>
      </c>
      <c r="D102" s="60">
        <f t="shared" ref="D102:V102" si="12">+IFERROR(IF(D63&gt;0,+((D63/D24)*100)," "),"")</f>
        <v>97.431319893007867</v>
      </c>
      <c r="E102" s="60">
        <f t="shared" si="12"/>
        <v>99.493268222024028</v>
      </c>
      <c r="F102" s="60">
        <f t="shared" si="12"/>
        <v>99.727972973146393</v>
      </c>
      <c r="G102" s="60">
        <f t="shared" si="12"/>
        <v>98.496946610059098</v>
      </c>
      <c r="H102" s="60">
        <f t="shared" si="12"/>
        <v>99.67616315911971</v>
      </c>
      <c r="I102" s="60">
        <f t="shared" si="12"/>
        <v>99.738095339902728</v>
      </c>
      <c r="J102" s="60">
        <f t="shared" si="12"/>
        <v>99.702459415773987</v>
      </c>
      <c r="K102" s="60">
        <f t="shared" si="12"/>
        <v>99.210046767261844</v>
      </c>
      <c r="L102" s="60">
        <f t="shared" si="12"/>
        <v>99.364385902210046</v>
      </c>
      <c r="M102" s="60">
        <f t="shared" si="12"/>
        <v>99.461529048474404</v>
      </c>
      <c r="N102" s="60">
        <f t="shared" si="12"/>
        <v>95.996960771610517</v>
      </c>
      <c r="O102" s="60">
        <f t="shared" si="12"/>
        <v>98.188866333901032</v>
      </c>
      <c r="P102" s="60">
        <f t="shared" si="12"/>
        <v>96.426325364947616</v>
      </c>
      <c r="Q102" s="60">
        <f t="shared" si="12"/>
        <v>98.501688989577445</v>
      </c>
      <c r="R102" s="60">
        <f t="shared" si="12"/>
        <v>93.680960630609661</v>
      </c>
      <c r="S102" s="60">
        <f t="shared" si="12"/>
        <v>92.784784772658696</v>
      </c>
      <c r="T102" s="60">
        <f t="shared" si="12"/>
        <v>97.432125043677203</v>
      </c>
      <c r="U102" s="60">
        <f t="shared" si="12"/>
        <v>99.414071383576612</v>
      </c>
      <c r="V102" s="60">
        <f t="shared" si="12"/>
        <v>96.897460837395386</v>
      </c>
    </row>
    <row r="103" spans="3:22" x14ac:dyDescent="0.2">
      <c r="C103" s="88" t="s">
        <v>134</v>
      </c>
      <c r="D103" s="62">
        <f t="shared" ref="D103:V103" si="13">+IFERROR(IF(D64&gt;0,+((D64/D25)*100)," "),"")</f>
        <v>93.451698794416473</v>
      </c>
      <c r="E103" s="62">
        <f t="shared" si="13"/>
        <v>93.290348338906298</v>
      </c>
      <c r="F103" s="62">
        <f t="shared" si="13"/>
        <v>97.594796079277685</v>
      </c>
      <c r="G103" s="62">
        <f t="shared" si="13"/>
        <v>98.13962392170798</v>
      </c>
      <c r="H103" s="62">
        <f t="shared" si="13"/>
        <v>97.440271497473333</v>
      </c>
      <c r="I103" s="62">
        <f t="shared" si="13"/>
        <v>93.840546647774914</v>
      </c>
      <c r="J103" s="62">
        <f t="shared" si="13"/>
        <v>95.491912303950571</v>
      </c>
      <c r="K103" s="62">
        <f t="shared" si="13"/>
        <v>83.651611019557777</v>
      </c>
      <c r="L103" s="62">
        <f t="shared" si="13"/>
        <v>87.878716118142307</v>
      </c>
      <c r="M103" s="62">
        <f t="shared" si="13"/>
        <v>73.656709199891651</v>
      </c>
      <c r="N103" s="62">
        <f t="shared" si="13"/>
        <v>76.77212789063536</v>
      </c>
      <c r="O103" s="62">
        <f t="shared" si="13"/>
        <v>98.005466996228236</v>
      </c>
      <c r="P103" s="62">
        <f t="shared" si="13"/>
        <v>95.799692432183662</v>
      </c>
      <c r="Q103" s="62">
        <f t="shared" si="13"/>
        <v>87.962686012064353</v>
      </c>
      <c r="R103" s="62">
        <f t="shared" si="13"/>
        <v>77.059288164260337</v>
      </c>
      <c r="S103" s="62">
        <f t="shared" si="13"/>
        <v>95.320898643261557</v>
      </c>
      <c r="T103" s="62">
        <f t="shared" si="13"/>
        <v>98.740713486310099</v>
      </c>
      <c r="U103" s="62">
        <f t="shared" si="13"/>
        <v>97.590521774704129</v>
      </c>
      <c r="V103" s="62">
        <f t="shared" si="13"/>
        <v>90.180769944034907</v>
      </c>
    </row>
    <row r="104" spans="3:22" x14ac:dyDescent="0.2">
      <c r="C104" s="87" t="s">
        <v>135</v>
      </c>
      <c r="D104" s="60" t="str">
        <f t="shared" ref="D104:V104" si="14">+IFERROR(IF(D65&gt;0,+((D65/D26)*100),"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+IFERROR(IF(D66&gt;0,+((D66/D27)*100)," "),"")</f>
        <v>90.10726678641565</v>
      </c>
      <c r="E105" s="62">
        <f t="shared" si="15"/>
        <v>93.27658911445593</v>
      </c>
      <c r="F105" s="62">
        <f t="shared" si="15"/>
        <v>92.790961434274493</v>
      </c>
      <c r="G105" s="62">
        <f t="shared" si="15"/>
        <v>90.870970785720417</v>
      </c>
      <c r="H105" s="62">
        <f t="shared" si="15"/>
        <v>90.553183896896044</v>
      </c>
      <c r="I105" s="62">
        <f t="shared" si="15"/>
        <v>97.418394221837275</v>
      </c>
      <c r="J105" s="62">
        <f t="shared" si="15"/>
        <v>98.704184395188392</v>
      </c>
      <c r="K105" s="62">
        <f t="shared" si="15"/>
        <v>97.683648876527982</v>
      </c>
      <c r="L105" s="62">
        <f t="shared" si="15"/>
        <v>96.707103858651564</v>
      </c>
      <c r="M105" s="62">
        <f t="shared" si="15"/>
        <v>98.63127020240843</v>
      </c>
      <c r="N105" s="62">
        <f t="shared" si="15"/>
        <v>98.903559069330115</v>
      </c>
      <c r="O105" s="62">
        <f t="shared" si="15"/>
        <v>98.493102781507972</v>
      </c>
      <c r="P105" s="62">
        <f t="shared" si="15"/>
        <v>94.998161417259524</v>
      </c>
      <c r="Q105" s="62">
        <f t="shared" si="15"/>
        <v>96.723310593416286</v>
      </c>
      <c r="R105" s="62">
        <f t="shared" si="15"/>
        <v>97.506940588451911</v>
      </c>
      <c r="S105" s="62">
        <f t="shared" si="15"/>
        <v>97.234356378533121</v>
      </c>
      <c r="T105" s="62">
        <f t="shared" si="15"/>
        <v>96.661432338969092</v>
      </c>
      <c r="U105" s="62">
        <f t="shared" si="15"/>
        <v>97.698084255988277</v>
      </c>
      <c r="V105" s="62">
        <f t="shared" si="15"/>
        <v>96.953384935686799</v>
      </c>
    </row>
    <row r="106" spans="3:22" x14ac:dyDescent="0.2">
      <c r="C106" s="87" t="s">
        <v>137</v>
      </c>
      <c r="D106" s="60">
        <f t="shared" ref="D106:V106" si="16">+IFERROR(IF(D67&gt;0,+((D67/D28)*100)," "),"")</f>
        <v>98.700328614236682</v>
      </c>
      <c r="E106" s="60">
        <f t="shared" si="16"/>
        <v>97.152876540655058</v>
      </c>
      <c r="F106" s="60">
        <f t="shared" si="16"/>
        <v>99.257813688039533</v>
      </c>
      <c r="G106" s="60">
        <f t="shared" si="16"/>
        <v>98.104515380122166</v>
      </c>
      <c r="H106" s="60">
        <f t="shared" si="16"/>
        <v>97.295586466114401</v>
      </c>
      <c r="I106" s="60">
        <f t="shared" si="16"/>
        <v>98.296236152493648</v>
      </c>
      <c r="J106" s="60">
        <f t="shared" si="16"/>
        <v>98.993388249668129</v>
      </c>
      <c r="K106" s="60">
        <f t="shared" si="16"/>
        <v>97.349020406603046</v>
      </c>
      <c r="L106" s="60">
        <f t="shared" si="16"/>
        <v>99.390473827475205</v>
      </c>
      <c r="M106" s="60">
        <f t="shared" si="16"/>
        <v>93.912661396162676</v>
      </c>
      <c r="N106" s="60">
        <f t="shared" si="16"/>
        <v>93.41682550241903</v>
      </c>
      <c r="O106" s="60">
        <f t="shared" si="16"/>
        <v>94.430716260006335</v>
      </c>
      <c r="P106" s="60">
        <f t="shared" si="16"/>
        <v>84.364315965683573</v>
      </c>
      <c r="Q106" s="60">
        <f t="shared" si="16"/>
        <v>74.378701352539494</v>
      </c>
      <c r="R106" s="60">
        <f t="shared" si="16"/>
        <v>90.937006676846721</v>
      </c>
      <c r="S106" s="60">
        <f t="shared" si="16"/>
        <v>94.887442873553624</v>
      </c>
      <c r="T106" s="60">
        <f t="shared" si="16"/>
        <v>98.78732618995052</v>
      </c>
      <c r="U106" s="60">
        <f t="shared" si="16"/>
        <v>95.712443754325875</v>
      </c>
      <c r="V106" s="60">
        <f t="shared" si="16"/>
        <v>93.673923124561597</v>
      </c>
    </row>
    <row r="107" spans="3:22" x14ac:dyDescent="0.2">
      <c r="C107" s="88" t="s">
        <v>138</v>
      </c>
      <c r="D107" s="62">
        <f t="shared" ref="D107:V107" si="17">+IFERROR(IF(D68&gt;0,+((D68/D29)*100)," "),"")</f>
        <v>96.413806392879664</v>
      </c>
      <c r="E107" s="62">
        <f t="shared" si="17"/>
        <v>97.09299059516664</v>
      </c>
      <c r="F107" s="62">
        <f t="shared" si="17"/>
        <v>97.756532143529768</v>
      </c>
      <c r="G107" s="62">
        <f t="shared" si="17"/>
        <v>98.411460682428213</v>
      </c>
      <c r="H107" s="62">
        <f t="shared" si="17"/>
        <v>99.045758404258535</v>
      </c>
      <c r="I107" s="62">
        <f t="shared" si="17"/>
        <v>96.524499227844842</v>
      </c>
      <c r="J107" s="62">
        <f t="shared" si="17"/>
        <v>96.039670216369856</v>
      </c>
      <c r="K107" s="62">
        <f t="shared" si="17"/>
        <v>93.69802081237053</v>
      </c>
      <c r="L107" s="62">
        <f t="shared" si="17"/>
        <v>92.849711282568762</v>
      </c>
      <c r="M107" s="62">
        <f t="shared" si="17"/>
        <v>89.418824078985608</v>
      </c>
      <c r="N107" s="62">
        <f t="shared" si="17"/>
        <v>84.804891379725703</v>
      </c>
      <c r="O107" s="62">
        <f t="shared" si="17"/>
        <v>89.437216576674615</v>
      </c>
      <c r="P107" s="62">
        <f t="shared" si="17"/>
        <v>77.153341875101304</v>
      </c>
      <c r="Q107" s="62">
        <f t="shared" si="17"/>
        <v>74.486254011328086</v>
      </c>
      <c r="R107" s="62">
        <f t="shared" si="17"/>
        <v>85.294275246305702</v>
      </c>
      <c r="S107" s="62">
        <f t="shared" si="17"/>
        <v>94.71077485215055</v>
      </c>
      <c r="T107" s="62">
        <f t="shared" si="17"/>
        <v>97.117475985002827</v>
      </c>
      <c r="U107" s="62">
        <f t="shared" si="17"/>
        <v>98.246649591297512</v>
      </c>
      <c r="V107" s="62">
        <f t="shared" si="17"/>
        <v>97.085973391286132</v>
      </c>
    </row>
    <row r="108" spans="3:22" x14ac:dyDescent="0.2">
      <c r="C108" s="87" t="s">
        <v>139</v>
      </c>
      <c r="D108" s="60">
        <f t="shared" ref="D108:V108" si="18">+IFERROR(IF(D69&gt;0,+((D69/D30)*100)," "),"")</f>
        <v>96.937082435500315</v>
      </c>
      <c r="E108" s="60">
        <f t="shared" si="18"/>
        <v>98.668956907079291</v>
      </c>
      <c r="F108" s="60">
        <f t="shared" si="18"/>
        <v>98.692049260100177</v>
      </c>
      <c r="G108" s="60">
        <f t="shared" si="18"/>
        <v>97.380697373184788</v>
      </c>
      <c r="H108" s="60">
        <f t="shared" si="18"/>
        <v>98.054451720968245</v>
      </c>
      <c r="I108" s="60">
        <f t="shared" si="18"/>
        <v>99.082827435641647</v>
      </c>
      <c r="J108" s="60">
        <f t="shared" si="18"/>
        <v>92.533030373576011</v>
      </c>
      <c r="K108" s="60">
        <f t="shared" si="18"/>
        <v>90.674040743511995</v>
      </c>
      <c r="L108" s="60">
        <f t="shared" si="18"/>
        <v>96.42537473141455</v>
      </c>
      <c r="M108" s="60">
        <f t="shared" si="18"/>
        <v>94.216831852332348</v>
      </c>
      <c r="N108" s="60">
        <f t="shared" si="18"/>
        <v>93.730049249576396</v>
      </c>
      <c r="O108" s="60">
        <f t="shared" si="18"/>
        <v>98.435514689139495</v>
      </c>
      <c r="P108" s="60">
        <f t="shared" si="18"/>
        <v>93.145900385632046</v>
      </c>
      <c r="Q108" s="60">
        <f t="shared" si="18"/>
        <v>94.495399605400777</v>
      </c>
      <c r="R108" s="60">
        <f t="shared" si="18"/>
        <v>96.077535358412874</v>
      </c>
      <c r="S108" s="60">
        <f t="shared" si="18"/>
        <v>95.231365279725068</v>
      </c>
      <c r="T108" s="60">
        <f t="shared" si="18"/>
        <v>98.097815976575745</v>
      </c>
      <c r="U108" s="60">
        <f t="shared" si="18"/>
        <v>97.757333487215689</v>
      </c>
      <c r="V108" s="60">
        <f t="shared" si="18"/>
        <v>97.934945707048456</v>
      </c>
    </row>
    <row r="109" spans="3:22" x14ac:dyDescent="0.2">
      <c r="C109" s="88" t="s">
        <v>140</v>
      </c>
      <c r="D109" s="62">
        <f t="shared" ref="D109:V109" si="19">+IFERROR(IF(D70&gt;0,+((D70/D31)*100)," "),"")</f>
        <v>91.016327490484144</v>
      </c>
      <c r="E109" s="62">
        <f t="shared" si="19"/>
        <v>81.241001338298929</v>
      </c>
      <c r="F109" s="62">
        <f t="shared" si="19"/>
        <v>92.726959503916689</v>
      </c>
      <c r="G109" s="62">
        <f t="shared" si="19"/>
        <v>90.99246839866872</v>
      </c>
      <c r="H109" s="62">
        <f t="shared" si="19"/>
        <v>87.581006871290541</v>
      </c>
      <c r="I109" s="62">
        <f t="shared" si="19"/>
        <v>77.496705137266645</v>
      </c>
      <c r="J109" s="62">
        <f t="shared" si="19"/>
        <v>72.426670424231048</v>
      </c>
      <c r="K109" s="62">
        <f t="shared" si="19"/>
        <v>83.380133935200575</v>
      </c>
      <c r="L109" s="62">
        <f t="shared" si="19"/>
        <v>95.359064902007987</v>
      </c>
      <c r="M109" s="62">
        <f t="shared" si="19"/>
        <v>83.150450090027178</v>
      </c>
      <c r="N109" s="62">
        <f t="shared" si="19"/>
        <v>88.504189583356052</v>
      </c>
      <c r="O109" s="62">
        <f t="shared" si="19"/>
        <v>90.718312694229866</v>
      </c>
      <c r="P109" s="62">
        <f t="shared" si="19"/>
        <v>84.597506790213188</v>
      </c>
      <c r="Q109" s="62">
        <f t="shared" si="19"/>
        <v>90.165940181633914</v>
      </c>
      <c r="R109" s="62">
        <f t="shared" si="19"/>
        <v>86.130264706699023</v>
      </c>
      <c r="S109" s="62">
        <f t="shared" si="19"/>
        <v>95.270870799793386</v>
      </c>
      <c r="T109" s="62">
        <f t="shared" si="19"/>
        <v>94.632064740335139</v>
      </c>
      <c r="U109" s="62">
        <f t="shared" si="19"/>
        <v>93.043389898657196</v>
      </c>
      <c r="V109" s="62">
        <f t="shared" si="19"/>
        <v>98.093662952451311</v>
      </c>
    </row>
    <row r="110" spans="3:22" x14ac:dyDescent="0.2">
      <c r="C110" s="87" t="s">
        <v>141</v>
      </c>
      <c r="D110" s="60">
        <f t="shared" ref="D110:V110" si="20">+IFERROR(IF(D71&gt;0,+((D71/D32)*100)," "),"")</f>
        <v>95.284817622776046</v>
      </c>
      <c r="E110" s="60">
        <f t="shared" si="20"/>
        <v>97.228190095556613</v>
      </c>
      <c r="F110" s="60">
        <f t="shared" si="20"/>
        <v>97.57330188872028</v>
      </c>
      <c r="G110" s="60">
        <f t="shared" si="20"/>
        <v>97.64008034004064</v>
      </c>
      <c r="H110" s="60">
        <f t="shared" si="20"/>
        <v>95.649840009433234</v>
      </c>
      <c r="I110" s="60">
        <f t="shared" si="20"/>
        <v>96.390996967035306</v>
      </c>
      <c r="J110" s="60">
        <f t="shared" si="20"/>
        <v>97.221038691577434</v>
      </c>
      <c r="K110" s="60">
        <f t="shared" si="20"/>
        <v>95.542521200231704</v>
      </c>
      <c r="L110" s="60">
        <f t="shared" si="20"/>
        <v>94.465400266339287</v>
      </c>
      <c r="M110" s="60">
        <f t="shared" si="20"/>
        <v>92.904557047607128</v>
      </c>
      <c r="N110" s="60">
        <f t="shared" si="20"/>
        <v>91.662410444444077</v>
      </c>
      <c r="O110" s="60">
        <f t="shared" si="20"/>
        <v>93.911702295355852</v>
      </c>
      <c r="P110" s="60">
        <f t="shared" si="20"/>
        <v>88.548036738223317</v>
      </c>
      <c r="Q110" s="60">
        <f t="shared" si="20"/>
        <v>90.405394274773144</v>
      </c>
      <c r="R110" s="60">
        <f t="shared" si="20"/>
        <v>94.463722903192874</v>
      </c>
      <c r="S110" s="60">
        <f t="shared" si="20"/>
        <v>95.791869629637745</v>
      </c>
      <c r="T110" s="60">
        <f t="shared" si="20"/>
        <v>97.026962973270713</v>
      </c>
      <c r="U110" s="60">
        <f t="shared" si="20"/>
        <v>97.234267460664654</v>
      </c>
      <c r="V110" s="60">
        <f t="shared" si="20"/>
        <v>96.656133580877921</v>
      </c>
    </row>
    <row r="111" spans="3:22" x14ac:dyDescent="0.2">
      <c r="C111" s="88" t="s">
        <v>142</v>
      </c>
      <c r="D111" s="62">
        <f t="shared" ref="D111:V111" si="21">+IFERROR(IF(D72&gt;0,+((D72/D33)*100)," "),"")</f>
        <v>83.203622482729529</v>
      </c>
      <c r="E111" s="62">
        <f t="shared" si="21"/>
        <v>90.173714172387449</v>
      </c>
      <c r="F111" s="62">
        <f t="shared" si="21"/>
        <v>98.232042652654954</v>
      </c>
      <c r="G111" s="62">
        <f t="shared" si="21"/>
        <v>96.657936982125364</v>
      </c>
      <c r="H111" s="62">
        <f t="shared" si="21"/>
        <v>88.288476472689382</v>
      </c>
      <c r="I111" s="62">
        <f t="shared" si="21"/>
        <v>84.832904991265252</v>
      </c>
      <c r="J111" s="62">
        <f t="shared" si="21"/>
        <v>75.10291766811487</v>
      </c>
      <c r="K111" s="62">
        <f t="shared" si="21"/>
        <v>69.22237611540038</v>
      </c>
      <c r="L111" s="62">
        <f t="shared" si="21"/>
        <v>81.58263425280677</v>
      </c>
      <c r="M111" s="62">
        <f t="shared" si="21"/>
        <v>74.550066592234018</v>
      </c>
      <c r="N111" s="62">
        <f t="shared" si="21"/>
        <v>93.235984045490611</v>
      </c>
      <c r="O111" s="62">
        <f t="shared" si="21"/>
        <v>87.399555471837971</v>
      </c>
      <c r="P111" s="62">
        <f t="shared" si="21"/>
        <v>85.789606883035958</v>
      </c>
      <c r="Q111" s="62">
        <f t="shared" si="21"/>
        <v>75.371280932035063</v>
      </c>
      <c r="R111" s="62">
        <f t="shared" si="21"/>
        <v>86.410215888127283</v>
      </c>
      <c r="S111" s="62">
        <f t="shared" si="21"/>
        <v>89.158959841167189</v>
      </c>
      <c r="T111" s="62">
        <f t="shared" si="21"/>
        <v>93.692880324985481</v>
      </c>
      <c r="U111" s="62">
        <f t="shared" si="21"/>
        <v>94.325211530180326</v>
      </c>
      <c r="V111" s="62">
        <f t="shared" si="21"/>
        <v>94.426751758398339</v>
      </c>
    </row>
    <row r="112" spans="3:22" x14ac:dyDescent="0.2">
      <c r="C112" s="87" t="s">
        <v>143</v>
      </c>
      <c r="D112" s="60">
        <f t="shared" ref="D112:V112" si="22">+IFERROR(IF(D73&gt;0,+((D73/D34)*100)," "),"")</f>
        <v>91.121416902551147</v>
      </c>
      <c r="E112" s="60">
        <f t="shared" si="22"/>
        <v>97.012939424745895</v>
      </c>
      <c r="F112" s="60">
        <f t="shared" si="22"/>
        <v>92.489250782692238</v>
      </c>
      <c r="G112" s="60">
        <f t="shared" si="22"/>
        <v>95.042790989278146</v>
      </c>
      <c r="H112" s="60">
        <f t="shared" si="22"/>
        <v>97.362105032533506</v>
      </c>
      <c r="I112" s="60">
        <f t="shared" si="22"/>
        <v>99.462926130154329</v>
      </c>
      <c r="J112" s="60">
        <f t="shared" si="22"/>
        <v>98.668636502283888</v>
      </c>
      <c r="K112" s="60">
        <f t="shared" si="22"/>
        <v>99.469372817642551</v>
      </c>
      <c r="L112" s="60">
        <f t="shared" si="22"/>
        <v>98.285469294354172</v>
      </c>
      <c r="M112" s="60">
        <f t="shared" si="22"/>
        <v>91.861705356181858</v>
      </c>
      <c r="N112" s="60">
        <f t="shared" si="22"/>
        <v>91.165194258219458</v>
      </c>
      <c r="O112" s="60">
        <f t="shared" si="22"/>
        <v>96.453823405360538</v>
      </c>
      <c r="P112" s="60">
        <f t="shared" si="22"/>
        <v>95.574116548326344</v>
      </c>
      <c r="Q112" s="60">
        <f t="shared" si="22"/>
        <v>93.156431780101911</v>
      </c>
      <c r="R112" s="60">
        <f t="shared" si="22"/>
        <v>94.031483184133037</v>
      </c>
      <c r="S112" s="60">
        <f t="shared" si="22"/>
        <v>96.606633235879173</v>
      </c>
      <c r="T112" s="60">
        <f t="shared" si="22"/>
        <v>98.692010531777555</v>
      </c>
      <c r="U112" s="60">
        <f t="shared" si="22"/>
        <v>98.41244297910572</v>
      </c>
      <c r="V112" s="60">
        <f t="shared" si="22"/>
        <v>97.252781330568382</v>
      </c>
    </row>
    <row r="113" spans="3:22" x14ac:dyDescent="0.2">
      <c r="C113" s="88" t="s">
        <v>144</v>
      </c>
      <c r="D113" s="62">
        <f t="shared" ref="D113:V113" si="23">+IFERROR(IF(D74&gt;0,+((D74/D35)*100)," "),"")</f>
        <v>99.29219830147251</v>
      </c>
      <c r="E113" s="62">
        <f t="shared" si="23"/>
        <v>97.197979451948584</v>
      </c>
      <c r="F113" s="62">
        <f t="shared" si="23"/>
        <v>98.881360937648125</v>
      </c>
      <c r="G113" s="62">
        <f t="shared" si="23"/>
        <v>99.425039365868457</v>
      </c>
      <c r="H113" s="62">
        <f t="shared" si="23"/>
        <v>99.086724614956893</v>
      </c>
      <c r="I113" s="62">
        <f t="shared" si="23"/>
        <v>99.891525681601067</v>
      </c>
      <c r="J113" s="62">
        <f t="shared" si="23"/>
        <v>98.878379622489135</v>
      </c>
      <c r="K113" s="62">
        <f t="shared" si="23"/>
        <v>99.508056861722253</v>
      </c>
      <c r="L113" s="62">
        <f t="shared" si="23"/>
        <v>99.243613870119745</v>
      </c>
      <c r="M113" s="62">
        <f t="shared" si="23"/>
        <v>99.131728799000015</v>
      </c>
      <c r="N113" s="62">
        <f t="shared" si="23"/>
        <v>98.799482048851019</v>
      </c>
      <c r="O113" s="62">
        <f t="shared" si="23"/>
        <v>97.520309041840775</v>
      </c>
      <c r="P113" s="62">
        <f t="shared" si="23"/>
        <v>98.768752530293852</v>
      </c>
      <c r="Q113" s="62">
        <f t="shared" si="23"/>
        <v>99.751244998334855</v>
      </c>
      <c r="R113" s="62">
        <f t="shared" si="23"/>
        <v>99.814096828176758</v>
      </c>
      <c r="S113" s="62">
        <f t="shared" si="23"/>
        <v>99.42739026334182</v>
      </c>
      <c r="T113" s="62">
        <f t="shared" si="23"/>
        <v>99.202966952618638</v>
      </c>
      <c r="U113" s="62">
        <f t="shared" si="23"/>
        <v>98.498012535292844</v>
      </c>
      <c r="V113" s="62">
        <f t="shared" si="23"/>
        <v>99.443620323360747</v>
      </c>
    </row>
    <row r="114" spans="3:22" x14ac:dyDescent="0.2">
      <c r="C114" s="87" t="s">
        <v>145</v>
      </c>
      <c r="D114" s="60">
        <f t="shared" ref="D114:V114" si="24">+IFERROR(IF(D75&gt;0,+((D75/D36)*100)," "),"")</f>
        <v>98.141899132771584</v>
      </c>
      <c r="E114" s="60">
        <f t="shared" si="24"/>
        <v>96.964639562676922</v>
      </c>
      <c r="F114" s="60">
        <f t="shared" si="24"/>
        <v>80.439855030364512</v>
      </c>
      <c r="G114" s="60">
        <f t="shared" si="24"/>
        <v>91.31118851914124</v>
      </c>
      <c r="H114" s="60">
        <f t="shared" si="24"/>
        <v>97.34481952809756</v>
      </c>
      <c r="I114" s="60">
        <f t="shared" si="24"/>
        <v>97.245942721554371</v>
      </c>
      <c r="J114" s="60">
        <f t="shared" si="24"/>
        <v>87.79406536819738</v>
      </c>
      <c r="K114" s="60">
        <f t="shared" si="24"/>
        <v>94.764907898728794</v>
      </c>
      <c r="L114" s="60">
        <f t="shared" si="24"/>
        <v>95.947665811275769</v>
      </c>
      <c r="M114" s="60">
        <f t="shared" si="24"/>
        <v>97.82813248846233</v>
      </c>
      <c r="N114" s="60">
        <f t="shared" si="24"/>
        <v>98.97495437157842</v>
      </c>
      <c r="O114" s="60">
        <f t="shared" si="24"/>
        <v>92.318484636409011</v>
      </c>
      <c r="P114" s="60">
        <f t="shared" si="24"/>
        <v>91.738924431784085</v>
      </c>
      <c r="Q114" s="60">
        <f t="shared" si="24"/>
        <v>88.40599066282654</v>
      </c>
      <c r="R114" s="60">
        <f t="shared" si="24"/>
        <v>94.378086319694688</v>
      </c>
      <c r="S114" s="60">
        <f t="shared" si="24"/>
        <v>92.214567581550739</v>
      </c>
      <c r="T114" s="60">
        <f t="shared" si="24"/>
        <v>94.498728867070469</v>
      </c>
      <c r="U114" s="60">
        <f t="shared" si="24"/>
        <v>95.91887001093265</v>
      </c>
      <c r="V114" s="60">
        <f t="shared" si="24"/>
        <v>97.712471775435503</v>
      </c>
    </row>
    <row r="115" spans="3:22" x14ac:dyDescent="0.2">
      <c r="C115" s="88" t="s">
        <v>146</v>
      </c>
      <c r="D115" s="62">
        <f t="shared" ref="D115:V115" si="25">+IFERROR(IF(D76&gt;0,+((D76/D37)*100)," "),"")</f>
        <v>92.630541278512027</v>
      </c>
      <c r="E115" s="62">
        <f t="shared" si="25"/>
        <v>94.467336199807804</v>
      </c>
      <c r="F115" s="62">
        <f t="shared" si="25"/>
        <v>94.505580101151239</v>
      </c>
      <c r="G115" s="62">
        <f t="shared" si="25"/>
        <v>98.685516212359218</v>
      </c>
      <c r="H115" s="62">
        <f t="shared" si="25"/>
        <v>93.32293865164209</v>
      </c>
      <c r="I115" s="62">
        <f t="shared" si="25"/>
        <v>89.859645590457689</v>
      </c>
      <c r="J115" s="62">
        <f t="shared" si="25"/>
        <v>95.211796782287507</v>
      </c>
      <c r="K115" s="62">
        <f t="shared" si="25"/>
        <v>86.300921039200944</v>
      </c>
      <c r="L115" s="62">
        <f t="shared" si="25"/>
        <v>92.097598882819895</v>
      </c>
      <c r="M115" s="62">
        <f t="shared" si="25"/>
        <v>95.045867964134473</v>
      </c>
      <c r="N115" s="62">
        <f t="shared" si="25"/>
        <v>85.352512273985241</v>
      </c>
      <c r="O115" s="62">
        <f t="shared" si="25"/>
        <v>97.904294293705604</v>
      </c>
      <c r="P115" s="62">
        <f t="shared" si="25"/>
        <v>96.536589779192965</v>
      </c>
      <c r="Q115" s="62">
        <f t="shared" si="25"/>
        <v>98.794793243037986</v>
      </c>
      <c r="R115" s="62">
        <f t="shared" si="25"/>
        <v>97.9983069906514</v>
      </c>
      <c r="S115" s="62">
        <f t="shared" si="25"/>
        <v>98.719762998260535</v>
      </c>
      <c r="T115" s="62">
        <f t="shared" si="25"/>
        <v>97.540716047764448</v>
      </c>
      <c r="U115" s="62">
        <f t="shared" si="25"/>
        <v>96.020993638072795</v>
      </c>
      <c r="V115" s="62">
        <f t="shared" si="25"/>
        <v>94.702120017760336</v>
      </c>
    </row>
    <row r="116" spans="3:22" x14ac:dyDescent="0.2">
      <c r="C116" s="90" t="s">
        <v>147</v>
      </c>
      <c r="D116" s="61">
        <f t="shared" ref="D116:V116" si="26">+IFERROR(IF(D77&gt;0,+((D77/D38)*100)," "),"")</f>
        <v>97.323765901190754</v>
      </c>
      <c r="E116" s="61">
        <f t="shared" si="26"/>
        <v>99.382193664705298</v>
      </c>
      <c r="F116" s="61">
        <f t="shared" si="26"/>
        <v>99.207953857274006</v>
      </c>
      <c r="G116" s="61">
        <f t="shared" si="26"/>
        <v>99.5875394134966</v>
      </c>
      <c r="H116" s="61">
        <f t="shared" si="26"/>
        <v>99.80906475929217</v>
      </c>
      <c r="I116" s="61">
        <f t="shared" si="26"/>
        <v>99.538208630834418</v>
      </c>
      <c r="J116" s="61">
        <f t="shared" si="26"/>
        <v>99.282684526678068</v>
      </c>
      <c r="K116" s="61">
        <f t="shared" si="26"/>
        <v>97.523249322920719</v>
      </c>
      <c r="L116" s="61">
        <f t="shared" si="26"/>
        <v>99.780472022496483</v>
      </c>
      <c r="M116" s="61">
        <f t="shared" si="26"/>
        <v>95.674429594990528</v>
      </c>
      <c r="N116" s="61">
        <f t="shared" si="26"/>
        <v>86.971191128238033</v>
      </c>
      <c r="O116" s="61">
        <f t="shared" si="26"/>
        <v>99.130509155480638</v>
      </c>
      <c r="P116" s="61">
        <f t="shared" si="26"/>
        <v>98.733073739508541</v>
      </c>
      <c r="Q116" s="61">
        <f t="shared" si="26"/>
        <v>98.865847136838553</v>
      </c>
      <c r="R116" s="61">
        <f t="shared" si="26"/>
        <v>97.565185512061376</v>
      </c>
      <c r="S116" s="61">
        <f t="shared" si="26"/>
        <v>98.879608872677366</v>
      </c>
      <c r="T116" s="61">
        <f t="shared" si="26"/>
        <v>99.825961807574174</v>
      </c>
      <c r="U116" s="61">
        <f t="shared" si="26"/>
        <v>99.896200047959084</v>
      </c>
      <c r="V116" s="61">
        <f t="shared" si="26"/>
        <v>95.591099910972105</v>
      </c>
    </row>
    <row r="117" spans="3:22" ht="22.5" customHeight="1" x14ac:dyDescent="0.2">
      <c r="C117" s="89" t="s">
        <v>148</v>
      </c>
      <c r="D117" s="63" t="str">
        <f t="shared" ref="D117:V117" si="27">+IFERROR(IF(D78&gt;0,+((D78/D39)*100),"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>
        <f t="shared" si="27"/>
        <v>59.926249401054143</v>
      </c>
      <c r="V117" s="63">
        <f t="shared" si="27"/>
        <v>81.957035290999485</v>
      </c>
    </row>
    <row r="118" spans="3:22" x14ac:dyDescent="0.2">
      <c r="C118" s="87" t="s">
        <v>149</v>
      </c>
      <c r="D118" s="60">
        <f t="shared" ref="D118:V118" si="28">+IFERROR(IF(D79&gt;0,+((D79/D40)*100)," "),"")</f>
        <v>78.304219239299144</v>
      </c>
      <c r="E118" s="60">
        <f t="shared" si="28"/>
        <v>84.522408849046428</v>
      </c>
      <c r="F118" s="60">
        <f t="shared" si="28"/>
        <v>92.911535316966464</v>
      </c>
      <c r="G118" s="60">
        <f t="shared" si="28"/>
        <v>92.569404418116378</v>
      </c>
      <c r="H118" s="60">
        <f t="shared" si="28"/>
        <v>91.503644394603626</v>
      </c>
      <c r="I118" s="60">
        <f t="shared" si="28"/>
        <v>94.981733124695239</v>
      </c>
      <c r="J118" s="60">
        <f t="shared" si="28"/>
        <v>73.437743202473172</v>
      </c>
      <c r="K118" s="60">
        <f t="shared" si="28"/>
        <v>96.258451782824679</v>
      </c>
      <c r="L118" s="60">
        <f t="shared" si="28"/>
        <v>93.146999692843195</v>
      </c>
      <c r="M118" s="60">
        <f t="shared" si="28"/>
        <v>31.153475373521601</v>
      </c>
      <c r="N118" s="60">
        <f t="shared" si="28"/>
        <v>79.281288861517638</v>
      </c>
      <c r="O118" s="60">
        <f t="shared" si="28"/>
        <v>90.479343885855968</v>
      </c>
      <c r="P118" s="60">
        <f t="shared" si="28"/>
        <v>77.674618980419368</v>
      </c>
      <c r="Q118" s="60">
        <f t="shared" si="28"/>
        <v>65.121490423663985</v>
      </c>
      <c r="R118" s="60">
        <f t="shared" si="28"/>
        <v>49.899497502990783</v>
      </c>
      <c r="S118" s="60">
        <f t="shared" si="28"/>
        <v>82.564459573184848</v>
      </c>
      <c r="T118" s="60">
        <f t="shared" si="28"/>
        <v>93.591159431084819</v>
      </c>
      <c r="U118" s="60">
        <f t="shared" si="28"/>
        <v>95.103878392843683</v>
      </c>
      <c r="V118" s="60">
        <f t="shared" si="28"/>
        <v>90.707778767051167</v>
      </c>
    </row>
    <row r="119" spans="3:22" x14ac:dyDescent="0.2">
      <c r="C119" s="88" t="s">
        <v>150</v>
      </c>
      <c r="D119" s="62">
        <f t="shared" ref="D119:V119" si="29">+IFERROR(IF(D80&gt;0,+((D80/D41)*100)," "),"")</f>
        <v>87.8005233805942</v>
      </c>
      <c r="E119" s="62">
        <f t="shared" si="29"/>
        <v>88.128148725550588</v>
      </c>
      <c r="F119" s="62">
        <f t="shared" si="29"/>
        <v>95.862001520331788</v>
      </c>
      <c r="G119" s="62">
        <f t="shared" si="29"/>
        <v>91.556022229958216</v>
      </c>
      <c r="H119" s="62">
        <f t="shared" si="29"/>
        <v>90.629335938366751</v>
      </c>
      <c r="I119" s="62">
        <f t="shared" si="29"/>
        <v>81.559522160188209</v>
      </c>
      <c r="J119" s="62">
        <f t="shared" si="29"/>
        <v>69.187969488587257</v>
      </c>
      <c r="K119" s="62">
        <f t="shared" si="29"/>
        <v>82.503110384515907</v>
      </c>
      <c r="L119" s="62">
        <f t="shared" si="29"/>
        <v>97.518032013521875</v>
      </c>
      <c r="M119" s="62">
        <f t="shared" si="29"/>
        <v>90.982439248537787</v>
      </c>
      <c r="N119" s="62">
        <f t="shared" si="29"/>
        <v>76.923119907183846</v>
      </c>
      <c r="O119" s="62">
        <f t="shared" si="29"/>
        <v>83.189520787112045</v>
      </c>
      <c r="P119" s="62">
        <f t="shared" si="29"/>
        <v>87.305725233996867</v>
      </c>
      <c r="Q119" s="62">
        <f t="shared" si="29"/>
        <v>89.685043946715439</v>
      </c>
      <c r="R119" s="62">
        <f t="shared" si="29"/>
        <v>91.056966755847398</v>
      </c>
      <c r="S119" s="62">
        <f t="shared" si="29"/>
        <v>88.390642283587354</v>
      </c>
      <c r="T119" s="62">
        <f t="shared" si="29"/>
        <v>93.22652656778007</v>
      </c>
      <c r="U119" s="62">
        <f t="shared" si="29"/>
        <v>92.590743970221268</v>
      </c>
      <c r="V119" s="62">
        <f t="shared" si="29"/>
        <v>94.766751304369251</v>
      </c>
    </row>
    <row r="120" spans="3:22" x14ac:dyDescent="0.2">
      <c r="C120" s="87" t="s">
        <v>151</v>
      </c>
      <c r="D120" s="60">
        <f t="shared" ref="D120:V120" si="30">+IFERROR(IF(D81&gt;0,+((D81/D42)*100)," "),"")</f>
        <v>80.892808347431995</v>
      </c>
      <c r="E120" s="60">
        <f t="shared" si="30"/>
        <v>84.790935212199912</v>
      </c>
      <c r="F120" s="60">
        <f t="shared" si="30"/>
        <v>90.556600219809596</v>
      </c>
      <c r="G120" s="60">
        <f t="shared" si="30"/>
        <v>92.122436541776409</v>
      </c>
      <c r="H120" s="60">
        <f t="shared" si="30"/>
        <v>91.590258744075442</v>
      </c>
      <c r="I120" s="60">
        <f t="shared" si="30"/>
        <v>83.999078661076226</v>
      </c>
      <c r="J120" s="60">
        <f t="shared" si="30"/>
        <v>84.211669564823794</v>
      </c>
      <c r="K120" s="60">
        <f t="shared" si="30"/>
        <v>83.172614742516586</v>
      </c>
      <c r="L120" s="60">
        <f t="shared" si="30"/>
        <v>82.656981949464011</v>
      </c>
      <c r="M120" s="60">
        <f t="shared" si="30"/>
        <v>92.000341446585352</v>
      </c>
      <c r="N120" s="60">
        <f t="shared" si="30"/>
        <v>94.051401440640063</v>
      </c>
      <c r="O120" s="60">
        <f t="shared" si="30"/>
        <v>98.340470802343177</v>
      </c>
      <c r="P120" s="60">
        <f t="shared" si="30"/>
        <v>99.319268894690865</v>
      </c>
      <c r="Q120" s="60">
        <f t="shared" si="30"/>
        <v>99.658083599775424</v>
      </c>
      <c r="R120" s="60">
        <f t="shared" si="30"/>
        <v>99.678288327482505</v>
      </c>
      <c r="S120" s="60">
        <f t="shared" si="30"/>
        <v>99.322030911091844</v>
      </c>
      <c r="T120" s="60">
        <f t="shared" si="30"/>
        <v>99.935689433309491</v>
      </c>
      <c r="U120" s="60">
        <f t="shared" si="30"/>
        <v>99.951549296956401</v>
      </c>
      <c r="V120" s="60">
        <f t="shared" si="30"/>
        <v>99.845606171778655</v>
      </c>
    </row>
    <row r="121" spans="3:22" x14ac:dyDescent="0.2">
      <c r="C121" s="91" t="s">
        <v>179</v>
      </c>
      <c r="D121" s="64">
        <f t="shared" ref="D121:V121" si="31">+IFERROR(IF(D82&gt;0,+((D82/D43)*100)," "),"")</f>
        <v>95.851060751659347</v>
      </c>
      <c r="E121" s="64">
        <f t="shared" si="31"/>
        <v>96.922173086367863</v>
      </c>
      <c r="F121" s="64">
        <f t="shared" si="31"/>
        <v>98.689669378464544</v>
      </c>
      <c r="G121" s="64">
        <f t="shared" si="31"/>
        <v>98.820161676365544</v>
      </c>
      <c r="H121" s="64">
        <f t="shared" si="31"/>
        <v>99.118845210946745</v>
      </c>
      <c r="I121" s="64">
        <f t="shared" si="31"/>
        <v>98.53460689783202</v>
      </c>
      <c r="J121" s="64">
        <f t="shared" si="31"/>
        <v>98.466462409245665</v>
      </c>
      <c r="K121" s="64">
        <f t="shared" si="31"/>
        <v>96.314310056347949</v>
      </c>
      <c r="L121" s="64">
        <f t="shared" si="31"/>
        <v>98.108985961702416</v>
      </c>
      <c r="M121" s="64">
        <f t="shared" si="31"/>
        <v>95.025415694171102</v>
      </c>
      <c r="N121" s="64">
        <f t="shared" si="31"/>
        <v>92.134450720301444</v>
      </c>
      <c r="O121" s="64">
        <f t="shared" si="31"/>
        <v>98.803182127105998</v>
      </c>
      <c r="P121" s="64">
        <f t="shared" si="31"/>
        <v>98.342562468790746</v>
      </c>
      <c r="Q121" s="64">
        <f t="shared" si="31"/>
        <v>97.458493695076299</v>
      </c>
      <c r="R121" s="64">
        <f t="shared" si="31"/>
        <v>95.485417756396913</v>
      </c>
      <c r="S121" s="64">
        <f t="shared" si="31"/>
        <v>98.323640179211765</v>
      </c>
      <c r="T121" s="64">
        <f t="shared" si="31"/>
        <v>99.238746764618043</v>
      </c>
      <c r="U121" s="64">
        <f t="shared" si="31"/>
        <v>99.327817399378532</v>
      </c>
      <c r="V121" s="64">
        <f t="shared" si="31"/>
        <v>97.435751996337586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64" t="s">
        <v>190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81" t="s">
        <v>120</v>
      </c>
      <c r="D129" s="155">
        <v>2000</v>
      </c>
      <c r="E129" s="155">
        <v>2001</v>
      </c>
      <c r="F129" s="155">
        <v>2002</v>
      </c>
      <c r="G129" s="155">
        <v>2003</v>
      </c>
      <c r="H129" s="155">
        <v>2004</v>
      </c>
      <c r="I129" s="155">
        <v>2005</v>
      </c>
      <c r="J129" s="155">
        <v>2006</v>
      </c>
      <c r="K129" s="155">
        <v>2007</v>
      </c>
      <c r="L129" s="155">
        <v>2008</v>
      </c>
      <c r="M129" s="155">
        <v>2009</v>
      </c>
      <c r="N129" s="155">
        <v>2010</v>
      </c>
      <c r="O129" s="155">
        <v>2011</v>
      </c>
      <c r="P129" s="155">
        <v>2012</v>
      </c>
      <c r="Q129" s="155">
        <v>2013</v>
      </c>
      <c r="R129" s="155">
        <v>2014</v>
      </c>
      <c r="S129" s="155">
        <v>2015</v>
      </c>
      <c r="T129" s="155">
        <v>2016</v>
      </c>
      <c r="U129" s="155">
        <v>2017</v>
      </c>
      <c r="V129" s="155">
        <v>2018</v>
      </c>
    </row>
    <row r="130" spans="3:22" ht="12" customHeight="1" thickBot="1" x14ac:dyDescent="0.25">
      <c r="C130" s="162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</row>
    <row r="131" spans="3:22" x14ac:dyDescent="0.2">
      <c r="C131" s="87" t="s">
        <v>123</v>
      </c>
      <c r="D131" s="56">
        <f>209.123951396599*Deflactores!$A$5</f>
        <v>780.4329308703899</v>
      </c>
      <c r="E131" s="56">
        <f>212.1567790645*Deflactores!$B$5</f>
        <v>735.49806005506457</v>
      </c>
      <c r="F131" s="56">
        <f>223.77588497569*Deflactores!$C$5</f>
        <v>725.08219948258829</v>
      </c>
      <c r="G131" s="56">
        <f>248.4912624635*Deflactores!$D$5</f>
        <v>756.08513884269826</v>
      </c>
      <c r="H131" s="56">
        <f>226.82283930165*Deflactores!$E$5</f>
        <v>654.19364768706998</v>
      </c>
      <c r="I131" s="56">
        <f>241.84855706928*Deflactores!$F$5</f>
        <v>665.23212100875412</v>
      </c>
      <c r="J131" s="56">
        <f>321.65085032016*Deflactores!$G$5</f>
        <v>846.81741077302706</v>
      </c>
      <c r="K131" s="56">
        <f>404.15313726072*Deflactores!$H$5</f>
        <v>1006.6970590691984</v>
      </c>
      <c r="L131" s="56">
        <f>730.46559175614*Deflactores!$I$5</f>
        <v>1689.819292268586</v>
      </c>
      <c r="M131" s="56">
        <f>322.40939615505*Deflactores!$J$5</f>
        <v>731.20696736428511</v>
      </c>
      <c r="N131" s="56">
        <f>381.57019801066*Deflactores!$K$5</f>
        <v>838.78084243160004</v>
      </c>
      <c r="O131" s="56">
        <f>270.63623737288*Deflactores!$L$5</f>
        <v>573.54764767669917</v>
      </c>
      <c r="P131" s="56">
        <f>383.17145925669*Deflactores!$M$5</f>
        <v>792.69686235887673</v>
      </c>
      <c r="Q131" s="56">
        <f>1347.01294166356*Deflactores!$N$5</f>
        <v>2733.6387702925172</v>
      </c>
      <c r="R131" s="56">
        <f>355.29128316179*Deflactores!$O$5</f>
        <v>695.57298284281751</v>
      </c>
      <c r="S131" s="56">
        <f>495.358370556429*Deflactores!$P$5</f>
        <v>908.29812118081486</v>
      </c>
      <c r="T131" s="56">
        <f>486.090994485379*Deflactores!$Q$5</f>
        <v>842.84188349807914</v>
      </c>
      <c r="U131" s="56">
        <f>564.12814269154*Deflactores!$R$5</f>
        <v>939.71744911376675</v>
      </c>
      <c r="V131" s="56">
        <f>533.533876349256*Deflactores!$S$5</f>
        <v>861.36258122964625</v>
      </c>
    </row>
    <row r="132" spans="3:22" x14ac:dyDescent="0.2">
      <c r="C132" s="88" t="s">
        <v>124</v>
      </c>
      <c r="D132" s="57">
        <f>83.98998956845*Deflactores!$A$5</f>
        <v>313.44355003300171</v>
      </c>
      <c r="E132" s="57">
        <f>87.54642611221*Deflactores!$B$5</f>
        <v>303.50303607648829</v>
      </c>
      <c r="F132" s="57">
        <f>91.71599906838*Deflactores!$C$5</f>
        <v>297.17964623162334</v>
      </c>
      <c r="G132" s="57">
        <f>95.6120785984899*Deflactores!$D$5</f>
        <v>290.9191695736053</v>
      </c>
      <c r="H132" s="57">
        <f>101.76931173269*Deflactores!$E$5</f>
        <v>293.51910711456605</v>
      </c>
      <c r="I132" s="57">
        <f>108.84738859964*Deflactores!$F$5</f>
        <v>299.39719327603996</v>
      </c>
      <c r="J132" s="57">
        <f>112.41079347924*Deflactores!$G$5</f>
        <v>295.94641824289067</v>
      </c>
      <c r="K132" s="57">
        <f>122.22620291332*Deflactores!$H$5</f>
        <v>304.45083229592228</v>
      </c>
      <c r="L132" s="57">
        <f>1045.64662823755*Deflactores!$I$5</f>
        <v>2418.9419258522621</v>
      </c>
      <c r="M132" s="57">
        <f>1254.96676436468*Deflactores!$J$5</f>
        <v>2846.1963356451447</v>
      </c>
      <c r="N132" s="57">
        <f>1351.68793149371*Deflactores!$K$5</f>
        <v>2971.3272886454474</v>
      </c>
      <c r="O132" s="57">
        <f>1091.70411365079*Deflactores!$L$5</f>
        <v>2313.601210323845</v>
      </c>
      <c r="P132" s="57">
        <f>194.37157604221*Deflactores!$M$5</f>
        <v>402.11173024030376</v>
      </c>
      <c r="Q132" s="57">
        <f>217.859523489999*Deflactores!$N$5</f>
        <v>442.12584858628884</v>
      </c>
      <c r="R132" s="57">
        <f>241.66211769365*Deflactores!$O$5</f>
        <v>473.11501297862947</v>
      </c>
      <c r="S132" s="57">
        <f>239.34692403782*Deflactores!$P$5</f>
        <v>438.87087477649493</v>
      </c>
      <c r="T132" s="57">
        <f>250.44543828819*Deflactores!$Q$5</f>
        <v>434.25183209533668</v>
      </c>
      <c r="U132" s="57">
        <f>268.2441466776*Deflactores!$R$5</f>
        <v>446.83767069817128</v>
      </c>
      <c r="V132" s="57">
        <f>278.83264885436*Deflactores!$S$5</f>
        <v>450.16075041328725</v>
      </c>
    </row>
    <row r="133" spans="3:22" x14ac:dyDescent="0.2">
      <c r="C133" s="87" t="s">
        <v>125</v>
      </c>
      <c r="D133" s="56">
        <f>6.33798051839999*Deflactores!$A$5</f>
        <v>23.652808196960937</v>
      </c>
      <c r="E133" s="56">
        <f>3.554264065*Deflactores!$B$5</f>
        <v>12.321804357409533</v>
      </c>
      <c r="F133" s="56">
        <f>3.972081537*Deflactores!$C$5</f>
        <v>12.870402088612094</v>
      </c>
      <c r="G133" s="56">
        <f>4.39576342712*Deflactores!$D$5</f>
        <v>13.375003081252679</v>
      </c>
      <c r="H133" s="56">
        <f>4.455573171*Deflactores!$E$5</f>
        <v>12.850591564091809</v>
      </c>
      <c r="I133" s="56">
        <f>4.629562808*Deflactores!$F$5</f>
        <v>12.734142073987492</v>
      </c>
      <c r="J133" s="56">
        <f>4.7170987258*Deflactores!$G$5</f>
        <v>12.41881165669761</v>
      </c>
      <c r="K133" s="56">
        <f>5.046358132*Deflactores!$H$5</f>
        <v>12.56987369917932</v>
      </c>
      <c r="L133" s="56">
        <f>5.143308912*Deflactores!$I$5</f>
        <v>11.898250545517902</v>
      </c>
      <c r="M133" s="56">
        <f>6.749731251*Deflactores!$J$5</f>
        <v>15.308023207221119</v>
      </c>
      <c r="N133" s="56">
        <f>24.86316433908*Deflactores!$K$5</f>
        <v>54.655070124911106</v>
      </c>
      <c r="O133" s="56">
        <f>9.245342365*Deflactores!$L$5</f>
        <v>19.593253353229077</v>
      </c>
      <c r="P133" s="56">
        <f>12.26222954297*Deflactores!$M$5</f>
        <v>25.367836380853646</v>
      </c>
      <c r="Q133" s="56">
        <f>16.18188487038*Deflactores!$N$5</f>
        <v>32.839645774635208</v>
      </c>
      <c r="R133" s="56">
        <f>20.8623101315599*Deflactores!$O$5</f>
        <v>40.843274166658972</v>
      </c>
      <c r="S133" s="56">
        <f>19.85339796843*Deflactores!$P$5</f>
        <v>36.403551742799827</v>
      </c>
      <c r="T133" s="56">
        <f>20.49881051983*Deflactores!$Q$5</f>
        <v>35.543254789764333</v>
      </c>
      <c r="U133" s="56">
        <f>22.18707046851*Deflactores!$R$5</f>
        <v>36.95893837967229</v>
      </c>
      <c r="V133" s="56">
        <f>21.95025763725*Deflactores!$S$5</f>
        <v>35.437544671860053</v>
      </c>
    </row>
    <row r="134" spans="3:22" x14ac:dyDescent="0.2">
      <c r="C134" s="88" t="s">
        <v>126</v>
      </c>
      <c r="D134" s="57">
        <f>109.45553182295*Deflactores!$A$5</f>
        <v>408.47880374333499</v>
      </c>
      <c r="E134" s="57">
        <f>108.984840964259*Deflactores!$B$5</f>
        <v>377.82501911123245</v>
      </c>
      <c r="F134" s="57">
        <f>109.233672117199*Deflactores!$C$5</f>
        <v>353.94069045868292</v>
      </c>
      <c r="G134" s="57">
        <f>107.0331820118*Deflactores!$D$5</f>
        <v>325.67019652875945</v>
      </c>
      <c r="H134" s="57">
        <f>110.899221325379*Deflactores!$E$5</f>
        <v>319.85123873712854</v>
      </c>
      <c r="I134" s="57">
        <f>122.27929363444*Deflactores!$F$5</f>
        <v>336.34318453505972</v>
      </c>
      <c r="J134" s="57">
        <f>199.26363327984*Deflactores!$G$5</f>
        <v>524.60583837195611</v>
      </c>
      <c r="K134" s="57">
        <f>172.075571137309*Deflactores!$H$5</f>
        <v>428.61963803050207</v>
      </c>
      <c r="L134" s="57">
        <f>153.148143308539*Deflactores!$I$5</f>
        <v>354.28456871693305</v>
      </c>
      <c r="M134" s="57">
        <f>194.953607456489*Deflactores!$J$5</f>
        <v>442.14417378962543</v>
      </c>
      <c r="N134" s="57">
        <f>133.35181996773*Deflactores!$K$5</f>
        <v>293.13859540255493</v>
      </c>
      <c r="O134" s="57">
        <f>249.90716109256*Deflactores!$L$5</f>
        <v>529.61741477626288</v>
      </c>
      <c r="P134" s="57">
        <f>353.0624452702*Deflactores!$M$5</f>
        <v>730.40798269620529</v>
      </c>
      <c r="Q134" s="57">
        <f>524.209840837349*Deflactores!$N$5</f>
        <v>1063.8356175792139</v>
      </c>
      <c r="R134" s="57">
        <f>403.343934846528*Deflactores!$O$5</f>
        <v>789.64826093130284</v>
      </c>
      <c r="S134" s="57">
        <f>386.580542414009*Deflactores!$P$5</f>
        <v>708.84111631198425</v>
      </c>
      <c r="T134" s="57">
        <f>364.99142630279*Deflactores!$Q$5</f>
        <v>632.86517276745599</v>
      </c>
      <c r="U134" s="57">
        <f>437.448084205*Deflactores!$R$5</f>
        <v>728.69542697783868</v>
      </c>
      <c r="V134" s="57">
        <f>374.6358585124*Deflactores!$S$5</f>
        <v>604.83002938352286</v>
      </c>
    </row>
    <row r="135" spans="3:22" x14ac:dyDescent="0.2">
      <c r="C135" s="87" t="s">
        <v>127</v>
      </c>
      <c r="D135" s="56">
        <f>168.145621939619*Deflactores!$A$5</f>
        <v>627.50526502099899</v>
      </c>
      <c r="E135" s="56">
        <f>180.690713609919*Deflactores!$B$5</f>
        <v>626.41255168026976</v>
      </c>
      <c r="F135" s="56">
        <f>184.05198404973*Deflactores!$C$5</f>
        <v>596.36818072872427</v>
      </c>
      <c r="G135" s="56">
        <f>202.91752296671*Deflactores!$D$5</f>
        <v>617.41777962288347</v>
      </c>
      <c r="H135" s="56">
        <f>215.22518708014*Deflactores!$E$5</f>
        <v>620.74414835642438</v>
      </c>
      <c r="I135" s="56">
        <f>232.36405837457*Deflactores!$F$5</f>
        <v>639.14392242760937</v>
      </c>
      <c r="J135" s="56">
        <f>245.32097440796*Deflactores!$G$5</f>
        <v>645.86203378503592</v>
      </c>
      <c r="K135" s="56">
        <f>268.95410375599*Deflactores!$H$5</f>
        <v>669.932459539668</v>
      </c>
      <c r="L135" s="56">
        <f>290.24802463175*Deflactores!$I$5</f>
        <v>671.44396272852396</v>
      </c>
      <c r="M135" s="56">
        <f>320.39755102817*Deflactores!$J$5</f>
        <v>726.64421208613226</v>
      </c>
      <c r="N135" s="56">
        <f>330.42091024407*Deflactores!$K$5</f>
        <v>726.34270416421339</v>
      </c>
      <c r="O135" s="56">
        <f>346.845641381639*Deflactores!$L$5</f>
        <v>735.05493444792376</v>
      </c>
      <c r="P135" s="56">
        <f>367.903559809254*Deflactores!$M$5</f>
        <v>761.11096081424841</v>
      </c>
      <c r="Q135" s="56">
        <f>387.015021271943*Deflactores!$N$5</f>
        <v>785.41136028580968</v>
      </c>
      <c r="R135" s="56">
        <f>400.185791997995*Deflactores!$O$5</f>
        <v>783.46539367419234</v>
      </c>
      <c r="S135" s="56">
        <f>412.976977419946*Deflactores!$P$5</f>
        <v>757.2420998157703</v>
      </c>
      <c r="T135" s="56">
        <f>435.709711989344*Deflactores!$Q$5</f>
        <v>755.48487521414108</v>
      </c>
      <c r="U135" s="56">
        <f>480.81214223413*Deflactores!$R$5</f>
        <v>800.93072054062964</v>
      </c>
      <c r="V135" s="56">
        <f>494.89480554938*Deflactores!$S$5</f>
        <v>798.98181922774222</v>
      </c>
    </row>
    <row r="136" spans="3:22" x14ac:dyDescent="0.2">
      <c r="C136" s="88" t="s">
        <v>128</v>
      </c>
      <c r="D136" s="57">
        <f>37.6256673036599*Deflactores!$A$5</f>
        <v>140.41581374895085</v>
      </c>
      <c r="E136" s="57">
        <f>39.73659514783*Deflactores!$B$5</f>
        <v>137.75750543204231</v>
      </c>
      <c r="F136" s="57">
        <f>40.22347897121*Deflactores!$C$5</f>
        <v>130.33275952167489</v>
      </c>
      <c r="G136" s="57">
        <f>48.25713944829*Deflactores!$D$5</f>
        <v>146.83214861637708</v>
      </c>
      <c r="H136" s="57">
        <f>52.9881181253*Deflactores!$E$5</f>
        <v>152.82627793210591</v>
      </c>
      <c r="I136" s="57">
        <f>60.98646054071*Deflactores!$F$5</f>
        <v>167.7502358911799</v>
      </c>
      <c r="J136" s="57">
        <f>68.30361819388*Deflactores!$G$5</f>
        <v>179.8244682014622</v>
      </c>
      <c r="K136" s="57">
        <f>80.0232157242799*Deflactores!$H$5</f>
        <v>199.3282459042839</v>
      </c>
      <c r="L136" s="57">
        <f>97.84085142345*Deflactores!$I$5</f>
        <v>226.33969371486199</v>
      </c>
      <c r="M136" s="57">
        <f>94.83676868499*Deflactores!$J$5</f>
        <v>215.08463106773374</v>
      </c>
      <c r="N136" s="57">
        <f>103.57579400892*Deflactores!$K$5</f>
        <v>227.68390248311968</v>
      </c>
      <c r="O136" s="57">
        <f>116.76361228468*Deflactores!$L$5</f>
        <v>247.45206262915349</v>
      </c>
      <c r="P136" s="57">
        <f>148.11082162256*Deflactores!$M$5</f>
        <v>306.40847783745443</v>
      </c>
      <c r="Q136" s="57">
        <f>201.85607242483*Deflactores!$N$5</f>
        <v>409.64831779419654</v>
      </c>
      <c r="R136" s="57">
        <f>196.13244196744*Deflactores!$O$5</f>
        <v>383.97910153459657</v>
      </c>
      <c r="S136" s="57">
        <f>215.209611464589*Deflactores!$P$5</f>
        <v>394.61225926951761</v>
      </c>
      <c r="T136" s="57">
        <f>205.03037301484*Deflactores!$Q$5</f>
        <v>355.50583682195605</v>
      </c>
      <c r="U136" s="57">
        <f>209.86016867683*Deflactores!$R$5</f>
        <v>349.58238643911739</v>
      </c>
      <c r="V136" s="57">
        <f>249.663200067859*Deflactores!$S$5</f>
        <v>403.06819863061634</v>
      </c>
    </row>
    <row r="137" spans="3:22" x14ac:dyDescent="0.2">
      <c r="C137" s="87" t="s">
        <v>129</v>
      </c>
      <c r="D137" s="56">
        <f>5357.98266918497*Deflactores!$A$5</f>
        <v>19995.538962127634</v>
      </c>
      <c r="E137" s="56">
        <f>5904.94991651172*Deflactores!$B$5</f>
        <v>20471.083825213529</v>
      </c>
      <c r="F137" s="56">
        <f>6649.39755630949*Deflactores!$C$5</f>
        <v>21545.484250399921</v>
      </c>
      <c r="G137" s="56">
        <f>7483.6866122123*Deflactores!$D$5</f>
        <v>22770.636581561525</v>
      </c>
      <c r="H137" s="56">
        <f>8605.21376938476*Deflactores!$E$5</f>
        <v>24818.824251795115</v>
      </c>
      <c r="I137" s="56">
        <f>9387.66443911196*Deflactores!$F$5</f>
        <v>25821.844884358638</v>
      </c>
      <c r="J137" s="56">
        <f>10408.6395597441*Deflactores!$G$5</f>
        <v>27403.058915836336</v>
      </c>
      <c r="K137" s="56">
        <f>12237.3550090704*Deflactores!$H$5</f>
        <v>30481.785646685908</v>
      </c>
      <c r="L137" s="56">
        <f>13852.6512063431*Deflactores!$I$5</f>
        <v>32045.968381986426</v>
      </c>
      <c r="M137" s="56">
        <f>15562.6487022332*Deflactores!$J$5</f>
        <v>35295.240453361781</v>
      </c>
      <c r="N137" s="56">
        <f>16778.5150491276*Deflactores!$K$5</f>
        <v>36883.11367353001</v>
      </c>
      <c r="O137" s="56">
        <f>18199.7732965329*Deflactores!$L$5</f>
        <v>38569.990714486892</v>
      </c>
      <c r="P137" s="56">
        <f>19856.0594256753*Deflactores!$M$5</f>
        <v>41077.788090161361</v>
      </c>
      <c r="Q137" s="56">
        <f>21306.0154466242*Deflactores!$N$5</f>
        <v>43238.597094258912</v>
      </c>
      <c r="R137" s="56">
        <f>22450.8352755719*Deflactores!$O$5</f>
        <v>43953.215854246293</v>
      </c>
      <c r="S137" s="56">
        <f>23346.8170723634*Deflactores!$P$5</f>
        <v>42809.148573707549</v>
      </c>
      <c r="T137" s="56">
        <f>25502.0952646908*Deflactores!$Q$5</f>
        <v>44218.539841074882</v>
      </c>
      <c r="U137" s="56">
        <f>26671.4728423152*Deflactores!$R$5</f>
        <v>44428.998531973819</v>
      </c>
      <c r="V137" s="56">
        <f>27586.2027816763*Deflactores!$S$5</f>
        <v>44536.483787946971</v>
      </c>
    </row>
    <row r="138" spans="3:22" x14ac:dyDescent="0.2">
      <c r="C138" s="88" t="s">
        <v>130</v>
      </c>
      <c r="D138" s="57">
        <f>5.825565739*Deflactores!$A$5</f>
        <v>21.74051950196575</v>
      </c>
      <c r="E138" s="57">
        <f>5.92146785128*Deflactores!$B$5</f>
        <v>20.528347651671282</v>
      </c>
      <c r="F138" s="57">
        <f>5.23768950202*Deflactores!$C$5</f>
        <v>16.971245247199427</v>
      </c>
      <c r="G138" s="57">
        <f>5.39975773091*Deflactores!$D$5</f>
        <v>16.429859678835633</v>
      </c>
      <c r="H138" s="57">
        <f>6.57712387525999*Deflactores!$E$5</f>
        <v>18.969485932251757</v>
      </c>
      <c r="I138" s="57">
        <f>6.661455917*Deflactores!$F$5</f>
        <v>18.32309649630368</v>
      </c>
      <c r="J138" s="57">
        <f>5.884315873*Deflactores!$G$5</f>
        <v>15.491770429907582</v>
      </c>
      <c r="K138" s="57">
        <f>6.268998094*Deflactores!$H$5</f>
        <v>15.615323407644324</v>
      </c>
      <c r="L138" s="57">
        <f>6.492147653*Deflactores!$I$5</f>
        <v>15.018580582174843</v>
      </c>
      <c r="M138" s="57">
        <f>7.0365279504*Deflactores!$J$5</f>
        <v>15.958462516122369</v>
      </c>
      <c r="N138" s="57">
        <f>10.40879671*Deflactores!$K$5</f>
        <v>22.88097791345108</v>
      </c>
      <c r="O138" s="57">
        <f>8.480915807*Deflactores!$L$5</f>
        <v>17.973237281403396</v>
      </c>
      <c r="P138" s="57">
        <f>17.00020386953*Deflactores!$M$5</f>
        <v>35.169655623567635</v>
      </c>
      <c r="Q138" s="57">
        <f>23.58124672871*Deflactores!$N$5</f>
        <v>47.855969542374233</v>
      </c>
      <c r="R138" s="57">
        <f>24.2334173202399*Deflactores!$O$5</f>
        <v>47.443073243759414</v>
      </c>
      <c r="S138" s="57">
        <f>28.36021246125*Deflactores!$P$5</f>
        <v>52.001801576314939</v>
      </c>
      <c r="T138" s="57">
        <f>59.84470980392*Deflactores!$Q$5</f>
        <v>103.76581442725958</v>
      </c>
      <c r="U138" s="57">
        <f>54.8438541566299*Deflactores!$R$5</f>
        <v>91.358191211205096</v>
      </c>
      <c r="V138" s="57">
        <f>36.46642153386*Deflactores!$S$5</f>
        <v>58.87313322172669</v>
      </c>
    </row>
    <row r="139" spans="3:22" x14ac:dyDescent="0.2">
      <c r="C139" s="87" t="s">
        <v>131</v>
      </c>
      <c r="D139" s="56">
        <f>4716.69819890403*Deflactores!$A$5</f>
        <v>17602.319460867009</v>
      </c>
      <c r="E139" s="56">
        <f>7203.94907014429*Deflactores!$B$5</f>
        <v>24974.410854039983</v>
      </c>
      <c r="F139" s="56">
        <f>8372.67918320835*Deflactores!$C$5</f>
        <v>27129.288923970988</v>
      </c>
      <c r="G139" s="56">
        <f>9424.3604154737*Deflactores!$D$5</f>
        <v>28675.530811807595</v>
      </c>
      <c r="H139" s="56">
        <f>11030.8977371429*Deflactores!$E$5</f>
        <v>31814.887998679882</v>
      </c>
      <c r="I139" s="56">
        <f>11867.6283180875*Deflactores!$F$5</f>
        <v>32643.269213813728</v>
      </c>
      <c r="J139" s="56">
        <f>12704.280803066*Deflactores!$G$5</f>
        <v>33446.84512625252</v>
      </c>
      <c r="K139" s="56">
        <f>13636.2497292077*Deflactores!$H$5</f>
        <v>33966.264847452767</v>
      </c>
      <c r="L139" s="56">
        <f>15367.9965360672*Deflactores!$I$5</f>
        <v>35551.485686998298</v>
      </c>
      <c r="M139" s="56">
        <f>17619.5815148248*Deflactores!$J$5</f>
        <v>39960.252149372915</v>
      </c>
      <c r="N139" s="56">
        <f>19176.9432464531*Deflactores!$K$5</f>
        <v>42155.421716329991</v>
      </c>
      <c r="O139" s="56">
        <f>20808.8967656846*Deflactores!$L$5</f>
        <v>44099.392995409908</v>
      </c>
      <c r="P139" s="56">
        <f>21738.3591264923*Deflactores!$M$5</f>
        <v>44971.849171201124</v>
      </c>
      <c r="Q139" s="56">
        <f>23662.864085999*Deflactores!$N$5</f>
        <v>48021.604455976834</v>
      </c>
      <c r="R139" s="56">
        <f>25004.5077280037*Deflactores!$O$5</f>
        <v>48952.678686923384</v>
      </c>
      <c r="S139" s="56">
        <f>26574.1575997013*Deflactores!$P$5</f>
        <v>48726.858885332906</v>
      </c>
      <c r="T139" s="56">
        <f>28753.8898003696*Deflactores!$Q$5</f>
        <v>49856.884641315199</v>
      </c>
      <c r="U139" s="56">
        <f>32292.8361141942*Deflactores!$R$5</f>
        <v>53792.993615056155</v>
      </c>
      <c r="V139" s="56">
        <f>34686.2828344877*Deflactores!$S$5</f>
        <v>55999.192253760171</v>
      </c>
    </row>
    <row r="140" spans="3:22" x14ac:dyDescent="0.2">
      <c r="C140" s="88" t="s">
        <v>132</v>
      </c>
      <c r="D140" s="57">
        <f>7.40450548425*Deflactores!$A$5</f>
        <v>27.63298932583713</v>
      </c>
      <c r="E140" s="57">
        <f>7.29339134641*Deflactores!$B$5</f>
        <v>25.284486360325545</v>
      </c>
      <c r="F140" s="57">
        <f>6.98010958237*Deflactores!$C$5</f>
        <v>22.617062643564793</v>
      </c>
      <c r="G140" s="57">
        <f>6.95238889795*Deflactores!$D$5</f>
        <v>21.154055370325477</v>
      </c>
      <c r="H140" s="57">
        <f>6.57097810473*Deflactores!$E$5</f>
        <v>18.951760538930518</v>
      </c>
      <c r="I140" s="57">
        <f>7.39067910984*Deflactores!$F$5</f>
        <v>20.328908303246841</v>
      </c>
      <c r="J140" s="57">
        <f>8.64039633757*Deflactores!$G$5</f>
        <v>22.747765309343496</v>
      </c>
      <c r="K140" s="57">
        <f>8.94236129652*Deflactores!$H$5</f>
        <v>22.274350953592968</v>
      </c>
      <c r="L140" s="57">
        <f>9.76827463818999*Deflactores!$I$5</f>
        <v>22.597394212788579</v>
      </c>
      <c r="M140" s="57">
        <f>10.28407766404*Deflactores!$J$5</f>
        <v>23.32372855921707</v>
      </c>
      <c r="N140" s="57">
        <f>10.46637012519*Deflactores!$K$5</f>
        <v>23.007537791414567</v>
      </c>
      <c r="O140" s="57">
        <f>11.6901647065*Deflactores!$L$5</f>
        <v>24.774459375624357</v>
      </c>
      <c r="P140" s="57">
        <f>14.92716554125*Deflactores!$M$5</f>
        <v>30.88099857806365</v>
      </c>
      <c r="Q140" s="57">
        <f>16.38045358248*Deflactores!$N$5</f>
        <v>33.242622697257232</v>
      </c>
      <c r="R140" s="57">
        <f>19.41377792049*Deflactores!$O$5</f>
        <v>38.007404224026637</v>
      </c>
      <c r="S140" s="57">
        <f>19.17349443068*Deflactores!$P$5</f>
        <v>35.156868245297161</v>
      </c>
      <c r="T140" s="57">
        <f>21.2416658047*Deflactores!$Q$5</f>
        <v>36.831304876207902</v>
      </c>
      <c r="U140" s="57">
        <f>23.3593119534199*Deflactores!$R$5</f>
        <v>38.91164326102971</v>
      </c>
      <c r="V140" s="57">
        <f>24.6799922412099*Deflactores!$S$5</f>
        <v>39.844558638110257</v>
      </c>
    </row>
    <row r="141" spans="3:22" x14ac:dyDescent="0.2">
      <c r="C141" s="87" t="s">
        <v>133</v>
      </c>
      <c r="D141" s="56">
        <f>602.38380628314*Deflactores!$A$5</f>
        <v>2248.0455074934935</v>
      </c>
      <c r="E141" s="56">
        <f>628.63256274128*Deflactores!$B$5</f>
        <v>2179.322444573354</v>
      </c>
      <c r="F141" s="56">
        <f>668.71908119364*Deflactores!$C$5</f>
        <v>2166.7942561395071</v>
      </c>
      <c r="G141" s="56">
        <f>690.331566020019*Deflactores!$D$5</f>
        <v>2100.4740076863291</v>
      </c>
      <c r="H141" s="56">
        <f>723.20125851685*Deflactores!$E$5</f>
        <v>2085.8290583860803</v>
      </c>
      <c r="I141" s="56">
        <f>812.543323096589*Deflactores!$F$5</f>
        <v>2234.9933561117132</v>
      </c>
      <c r="J141" s="56">
        <f>889.14251590497*Deflactores!$G$5</f>
        <v>2340.8654520185792</v>
      </c>
      <c r="K141" s="56">
        <f>1015.43554164168*Deflactores!$H$5</f>
        <v>2529.328314444263</v>
      </c>
      <c r="L141" s="56">
        <f>1169.6152795965*Deflactores!$I$5</f>
        <v>2705.7242480684831</v>
      </c>
      <c r="M141" s="56">
        <f>1354.37821311077*Deflactores!$J$5</f>
        <v>3071.6560921714745</v>
      </c>
      <c r="N141" s="56">
        <f>1420.45193313629*Deflactores!$K$5</f>
        <v>3122.486701847628</v>
      </c>
      <c r="O141" s="56">
        <f>1511.15177450545*Deflactores!$L$5</f>
        <v>3202.5184578512876</v>
      </c>
      <c r="P141" s="56">
        <f>1776.73594354892*Deflactores!$M$5</f>
        <v>3675.6730535818915</v>
      </c>
      <c r="Q141" s="56">
        <f>2039.28268662796*Deflactores!$N$5</f>
        <v>4138.5364930998912</v>
      </c>
      <c r="R141" s="56">
        <f>2326.28240864612*Deflactores!$O$5</f>
        <v>4554.2890315716459</v>
      </c>
      <c r="S141" s="56">
        <f>2610.60715341061*Deflactores!$P$5</f>
        <v>4786.8567758742147</v>
      </c>
      <c r="T141" s="56">
        <f>2957.71768339998*Deflactores!$Q$5</f>
        <v>5128.4396777842339</v>
      </c>
      <c r="U141" s="56">
        <f>3243.81462884346*Deflactores!$R$5</f>
        <v>5403.5049445874947</v>
      </c>
      <c r="V141" s="56">
        <f>3350.9640313935*Deflactores!$S$5</f>
        <v>5409.9564350799474</v>
      </c>
    </row>
    <row r="142" spans="3:22" x14ac:dyDescent="0.2">
      <c r="C142" s="88" t="s">
        <v>134</v>
      </c>
      <c r="D142" s="57">
        <f>5628.68073553719*Deflactores!$A$5</f>
        <v>21005.761291484625</v>
      </c>
      <c r="E142" s="57">
        <f>4822.7510001137*Deflactores!$B$5</f>
        <v>16719.35264266927</v>
      </c>
      <c r="F142" s="57">
        <f>4246.40835409433*Deflactores!$C$5</f>
        <v>13759.280226385621</v>
      </c>
      <c r="G142" s="57">
        <f>3386.90428668707*Deflactores!$D$5</f>
        <v>10305.344230052629</v>
      </c>
      <c r="H142" s="57">
        <f>4147.6563509017*Deflactores!$E$5</f>
        <v>11962.509797967628</v>
      </c>
      <c r="I142" s="57">
        <f>5031.93792523869*Deflactores!$F$5</f>
        <v>13840.920861198374</v>
      </c>
      <c r="J142" s="57">
        <f>5087.46222791138*Deflactores!$G$5</f>
        <v>13393.875958845771</v>
      </c>
      <c r="K142" s="57">
        <f>5560.77295751838*Deflactores!$H$5</f>
        <v>13851.219417539724</v>
      </c>
      <c r="L142" s="57">
        <f>5592.67178911086*Deflactores!$I$5</f>
        <v>12937.782136794756</v>
      </c>
      <c r="M142" s="57">
        <f>5368.9599508503*Deflactores!$J$5</f>
        <v>12176.509029760353</v>
      </c>
      <c r="N142" s="57">
        <f>6507.05200347772*Deflactores!$K$5</f>
        <v>14304.027383896453</v>
      </c>
      <c r="O142" s="57">
        <f>6764.9578412375*Deflactores!$L$5</f>
        <v>14336.681939336704</v>
      </c>
      <c r="P142" s="57">
        <f>7217.1744711019*Deflactores!$M$5</f>
        <v>14930.735105994654</v>
      </c>
      <c r="Q142" s="57">
        <f>10152.7257328329*Deflactores!$N$5</f>
        <v>20604.022299253113</v>
      </c>
      <c r="R142" s="57">
        <f>10870.8573188111*Deflactores!$O$5</f>
        <v>21282.465992448291</v>
      </c>
      <c r="S142" s="57">
        <f>14173.8633934258*Deflactores!$P$5</f>
        <v>25989.453808282065</v>
      </c>
      <c r="T142" s="57">
        <f>15003.3763319017*Deflactores!$Q$5</f>
        <v>26014.623002424069</v>
      </c>
      <c r="U142" s="57">
        <f>18164.6651016901*Deflactores!$R$5</f>
        <v>30258.466936118817</v>
      </c>
      <c r="V142" s="57">
        <f>9796.33428538821*Deflactores!$S$5</f>
        <v>15815.670120872985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20.5192558428399*Deflactores!$A$5</f>
        <v>76.576130422941844</v>
      </c>
      <c r="E144" s="57">
        <f>17.13099901486*Deflactores!$B$5</f>
        <v>59.389177182050588</v>
      </c>
      <c r="F144" s="57">
        <f>18.53898012962*Deflactores!$C$5</f>
        <v>60.070299755530762</v>
      </c>
      <c r="G144" s="57">
        <f>16.06206947707*Deflactores!$D$5</f>
        <v>48.872108863205476</v>
      </c>
      <c r="H144" s="57">
        <f>14.63221953391*Deflactores!$E$5</f>
        <v>42.201680836542415</v>
      </c>
      <c r="I144" s="57">
        <f>16.54134954242*Deflactores!$F$5</f>
        <v>45.498874063156308</v>
      </c>
      <c r="J144" s="57">
        <f>146.31713270362*Deflactores!$G$5</f>
        <v>385.21239830233088</v>
      </c>
      <c r="K144" s="57">
        <f>54.55625279286*Deflactores!$H$5</f>
        <v>135.8930914471112</v>
      </c>
      <c r="L144" s="57">
        <f>95.50756917919*Deflactores!$I$5</f>
        <v>220.94200572632963</v>
      </c>
      <c r="M144" s="57">
        <f>248.81277587868*Deflactores!$J$5</f>
        <v>564.29383715679739</v>
      </c>
      <c r="N144" s="57">
        <f>360.47690020218*Deflactores!$K$5</f>
        <v>792.41282365628877</v>
      </c>
      <c r="O144" s="57">
        <f>556.46580018305*Deflactores!$L$5</f>
        <v>1179.2938514282748</v>
      </c>
      <c r="P144" s="57">
        <f>1062.16632476489*Deflactores!$M$5</f>
        <v>2197.3868162773074</v>
      </c>
      <c r="Q144" s="57">
        <f>834.60990452375*Deflactores!$N$5</f>
        <v>1693.7639739812605</v>
      </c>
      <c r="R144" s="57">
        <f>839.446804496437*Deflactores!$O$5</f>
        <v>1643.4304623104633</v>
      </c>
      <c r="S144" s="57">
        <f>792.954548786739*Deflactores!$P$5</f>
        <v>1453.9758882760807</v>
      </c>
      <c r="T144" s="57">
        <f>735.86732740476*Deflactores!$Q$5</f>
        <v>1275.9335418076359</v>
      </c>
      <c r="U144" s="57">
        <f>813.5683259665*Deflactores!$R$5</f>
        <v>1355.2317179379431</v>
      </c>
      <c r="V144" s="57">
        <f>771.33078705844*Deflactores!$S$5</f>
        <v>1245.2732753704909</v>
      </c>
    </row>
    <row r="145" spans="3:22" x14ac:dyDescent="0.2">
      <c r="C145" s="87" t="s">
        <v>137</v>
      </c>
      <c r="D145" s="56">
        <f>36.95450129495*Deflactores!$A$5</f>
        <v>137.91107886908682</v>
      </c>
      <c r="E145" s="56">
        <f>34.0665509522*Deflactores!$B$5</f>
        <v>118.10078494118073</v>
      </c>
      <c r="F145" s="56">
        <f>36.52572419586*Deflactores!$C$5</f>
        <v>118.35123539118472</v>
      </c>
      <c r="G145" s="56">
        <f>36.48382858127*Deflactores!$D$5</f>
        <v>111.00945894399234</v>
      </c>
      <c r="H145" s="56">
        <f>38.33013361667*Deflactores!$E$5</f>
        <v>110.5502867534192</v>
      </c>
      <c r="I145" s="56">
        <f>39.68252993726*Deflactores!$F$5</f>
        <v>109.15133783326583</v>
      </c>
      <c r="J145" s="56">
        <f>41.83464362431*Deflactores!$G$5</f>
        <v>110.13900494678754</v>
      </c>
      <c r="K145" s="56">
        <f>42.87140152622*Deflactores!$H$5</f>
        <v>106.7875264488638</v>
      </c>
      <c r="L145" s="56">
        <f>45.994257132*Deflactores!$I$5</f>
        <v>106.40060793056827</v>
      </c>
      <c r="M145" s="56">
        <f>49.48321797862*Deflactores!$J$5</f>
        <v>112.22524586774783</v>
      </c>
      <c r="N145" s="56">
        <f>48.740636024*Deflactores!$K$5</f>
        <v>107.14335647282537</v>
      </c>
      <c r="O145" s="56">
        <f>50.38469835372*Deflactores!$L$5</f>
        <v>106.77810739683298</v>
      </c>
      <c r="P145" s="56">
        <f>87.59633913413*Deflactores!$M$5</f>
        <v>181.21741979543481</v>
      </c>
      <c r="Q145" s="56">
        <f>110.52570479954*Deflactores!$N$5</f>
        <v>224.30174381308385</v>
      </c>
      <c r="R145" s="56">
        <f>115.73473379206*Deflactores!$O$5</f>
        <v>226.58015498118542</v>
      </c>
      <c r="S145" s="56">
        <f>117.82892106149*Deflactores!$P$5</f>
        <v>216.05325352773511</v>
      </c>
      <c r="T145" s="56">
        <f>131.5258325197*Deflactores!$Q$5</f>
        <v>228.05499724782757</v>
      </c>
      <c r="U145" s="56">
        <f>137.66169731541*Deflactores!$R$5</f>
        <v>229.31509572399244</v>
      </c>
      <c r="V145" s="56">
        <f>139.8469898441*Deflactores!$S$5</f>
        <v>225.77566203210793</v>
      </c>
    </row>
    <row r="146" spans="3:22" x14ac:dyDescent="0.2">
      <c r="C146" s="88" t="s">
        <v>138</v>
      </c>
      <c r="D146" s="57">
        <f>135.843693973539*Deflactores!$A$5</f>
        <v>506.95719701169298</v>
      </c>
      <c r="E146" s="57">
        <f>146.56974781095*Deflactores!$B$5</f>
        <v>508.12312315949998</v>
      </c>
      <c r="F146" s="57">
        <f>160.106924677139*Deflactores!$C$5</f>
        <v>518.78101659570962</v>
      </c>
      <c r="G146" s="57">
        <f>170.93427034018*Deflactores!$D$5</f>
        <v>520.10223716463292</v>
      </c>
      <c r="H146" s="57">
        <f>182.28205063031*Deflactores!$E$5</f>
        <v>525.73083017947317</v>
      </c>
      <c r="I146" s="57">
        <f>210.4206509236*Deflactores!$F$5</f>
        <v>578.78607015154023</v>
      </c>
      <c r="J146" s="57">
        <f>213.248229616399*Deflactores!$G$5</f>
        <v>561.42339893069027</v>
      </c>
      <c r="K146" s="57">
        <f>219.565958508789*Deflactores!$H$5</f>
        <v>546.91250499910518</v>
      </c>
      <c r="L146" s="57">
        <f>243.305071569079*Deflactores!$I$5</f>
        <v>562.84869333239578</v>
      </c>
      <c r="M146" s="57">
        <f>234.29279884835*Deflactores!$J$5</f>
        <v>531.36331932089411</v>
      </c>
      <c r="N146" s="57">
        <f>236.182933816399*Deflactores!$K$5</f>
        <v>519.18551613129762</v>
      </c>
      <c r="O146" s="57">
        <f>250.5968351096*Deflactores!$L$5</f>
        <v>531.07901102803169</v>
      </c>
      <c r="P146" s="57">
        <f>94.78099790299*Deflactores!$M$5</f>
        <v>196.08088711693799</v>
      </c>
      <c r="Q146" s="57">
        <f>122.81760017969*Deflactores!$N$5</f>
        <v>249.24701399739223</v>
      </c>
      <c r="R146" s="57">
        <f>77.7278226534499*Deflactores!$O$5</f>
        <v>152.17196710204055</v>
      </c>
      <c r="S146" s="57">
        <f>61.57294763745*Deflactores!$P$5</f>
        <v>112.9012770932668</v>
      </c>
      <c r="T146" s="57">
        <f>81.17168908215*Deflactores!$Q$5</f>
        <v>140.7450458635839</v>
      </c>
      <c r="U146" s="57">
        <f>83.01780791045*Deflactores!$R$5</f>
        <v>138.29000324006472</v>
      </c>
      <c r="V146" s="57">
        <f>85.16751586172*Deflactores!$S$5</f>
        <v>137.4985067518858</v>
      </c>
    </row>
    <row r="147" spans="3:22" x14ac:dyDescent="0.2">
      <c r="C147" s="87" t="s">
        <v>139</v>
      </c>
      <c r="D147" s="56">
        <f>357.15423714742*Deflactores!$A$5</f>
        <v>1332.8694595155414</v>
      </c>
      <c r="E147" s="56">
        <f>408.1078169794*Deflactores!$B$5</f>
        <v>1414.8145960982963</v>
      </c>
      <c r="F147" s="56">
        <f>433.484697570739*Deflactores!$C$5</f>
        <v>1404.5840461798709</v>
      </c>
      <c r="G147" s="56">
        <f>475.012174271469*Deflactores!$D$5</f>
        <v>1445.321023264429</v>
      </c>
      <c r="H147" s="56">
        <f>571.988267481629*Deflactores!$E$5</f>
        <v>1649.7064065068882</v>
      </c>
      <c r="I147" s="56">
        <f>683.643066779299*Deflactores!$F$5</f>
        <v>1880.4384563528556</v>
      </c>
      <c r="J147" s="56">
        <f>727.291773735169*Deflactores!$G$5</f>
        <v>1914.7573715347228</v>
      </c>
      <c r="K147" s="56">
        <f>718.937225208759*Deflactores!$H$5</f>
        <v>1790.7865201257457</v>
      </c>
      <c r="L147" s="56">
        <f>781.62582064006*Deflactores!$I$5</f>
        <v>1808.1705777235011</v>
      </c>
      <c r="M147" s="56">
        <f>926.82141808394*Deflactores!$J$5</f>
        <v>2101.9805455034316</v>
      </c>
      <c r="N147" s="56">
        <f>1854.26126836731*Deflactores!$K$5</f>
        <v>4076.1014274127565</v>
      </c>
      <c r="O147" s="56">
        <f>1862.05236303314*Deflactores!$L$5</f>
        <v>3946.1668660322448</v>
      </c>
      <c r="P147" s="56">
        <f>1459.74634075309*Deflactores!$M$5</f>
        <v>3019.8917904781893</v>
      </c>
      <c r="Q147" s="56">
        <f>1793.1591568127*Deflactores!$N$5</f>
        <v>3639.0514454259483</v>
      </c>
      <c r="R147" s="56">
        <f>2093.88606839417*Deflactores!$O$5</f>
        <v>4099.3141328005077</v>
      </c>
      <c r="S147" s="56">
        <f>2130.22696140234*Deflactores!$P$5</f>
        <v>3906.0229154037247</v>
      </c>
      <c r="T147" s="56">
        <f>2095.31694480268*Deflactores!$Q$5</f>
        <v>3633.1075875055149</v>
      </c>
      <c r="U147" s="56">
        <f>2433.27914305352*Deflactores!$R$5</f>
        <v>4053.3252930483113</v>
      </c>
      <c r="V147" s="56">
        <f>2548.82923468897*Deflactores!$S$5</f>
        <v>4114.9516947788015</v>
      </c>
    </row>
    <row r="148" spans="3:22" x14ac:dyDescent="0.2">
      <c r="C148" s="88" t="s">
        <v>140</v>
      </c>
      <c r="D148" s="57">
        <f>89.84306754242*Deflactores!$A$5</f>
        <v>335.28674287309565</v>
      </c>
      <c r="E148" s="57">
        <f>73.98508963517*Deflactores!$B$5</f>
        <v>256.4890461648838</v>
      </c>
      <c r="F148" s="57">
        <f>93.12142055711*Deflactores!$C$5</f>
        <v>301.73351540460931</v>
      </c>
      <c r="G148" s="57">
        <f>61.00758012491*Deflactores!$D$5</f>
        <v>185.62795420613648</v>
      </c>
      <c r="H148" s="57">
        <f>74.42424273513*Deflactores!$E$5</f>
        <v>214.65151825602968</v>
      </c>
      <c r="I148" s="57">
        <f>74.79077980175*Deflactores!$F$5</f>
        <v>205.7205950795254</v>
      </c>
      <c r="J148" s="57">
        <f>63.99003563311*Deflactores!$G$5</f>
        <v>168.46800260645117</v>
      </c>
      <c r="K148" s="57">
        <f>62.2352737227299*Deflactores!$H$5</f>
        <v>155.02061285898614</v>
      </c>
      <c r="L148" s="57">
        <f>55.04025402265*Deflactores!$I$5</f>
        <v>127.32712416369037</v>
      </c>
      <c r="M148" s="57">
        <f>44.0479430547199*Deflactores!$J$5</f>
        <v>99.898338087476915</v>
      </c>
      <c r="N148" s="57">
        <f>55.71742713493*Deflactores!$K$5</f>
        <v>122.47998065365744</v>
      </c>
      <c r="O148" s="57">
        <f>46.70227448405*Deflactores!$L$5</f>
        <v>98.974106097155598</v>
      </c>
      <c r="P148" s="57">
        <f>60.6660576858899*Deflactores!$M$5</f>
        <v>125.50463354597545</v>
      </c>
      <c r="Q148" s="57">
        <f>87.07516050608*Deflactores!$N$5</f>
        <v>176.71102283166982</v>
      </c>
      <c r="R148" s="57">
        <f>105.12846615591*Deflactores!$O$5</f>
        <v>205.81569053710106</v>
      </c>
      <c r="S148" s="57">
        <f>108.03943382123*Deflactores!$P$5</f>
        <v>198.10307160658635</v>
      </c>
      <c r="T148" s="57">
        <f>124.722866414629*Deflactores!$Q$5</f>
        <v>216.25921244535041</v>
      </c>
      <c r="U148" s="57">
        <f>156.5371292804*Deflactores!$R$5</f>
        <v>260.7575490156014</v>
      </c>
      <c r="V148" s="57">
        <f>170.20243567078*Deflactores!$S$5</f>
        <v>274.7829441011657</v>
      </c>
    </row>
    <row r="149" spans="3:22" x14ac:dyDescent="0.2">
      <c r="C149" s="87" t="s">
        <v>141</v>
      </c>
      <c r="D149" s="56">
        <f>342.87869512914*Deflactores!$A$5</f>
        <v>1279.5943419468188</v>
      </c>
      <c r="E149" s="56">
        <f>339.55561723391*Deflactores!$B$5</f>
        <v>1177.1601117700511</v>
      </c>
      <c r="F149" s="56">
        <f>359.708985684769*Deflactores!$C$5</f>
        <v>1165.5348052463175</v>
      </c>
      <c r="G149" s="56">
        <f>366.9553559272*Deflactores!$D$5</f>
        <v>1116.5362052762009</v>
      </c>
      <c r="H149" s="56">
        <f>379.97259226571*Deflactores!$E$5</f>
        <v>1095.9022333056932</v>
      </c>
      <c r="I149" s="56">
        <f>428.699274625399*Deflactores!$F$5</f>
        <v>1179.1863932943561</v>
      </c>
      <c r="J149" s="56">
        <f>479.34269639544*Deflactores!$G$5</f>
        <v>1261.9762721923894</v>
      </c>
      <c r="K149" s="56">
        <f>547.50883628747*Deflactores!$H$5</f>
        <v>1363.7789354816534</v>
      </c>
      <c r="L149" s="56">
        <f>619.66015301055*Deflactores!$I$5</f>
        <v>1433.4880287652227</v>
      </c>
      <c r="M149" s="56">
        <f>688.66732781244*Deflactores!$J$5</f>
        <v>1561.8600273375218</v>
      </c>
      <c r="N149" s="56">
        <f>779.6155489472*Deflactores!$K$5</f>
        <v>1713.777937396562</v>
      </c>
      <c r="O149" s="56">
        <f>822.97388076907*Deflactores!$L$5</f>
        <v>1744.0928753532996</v>
      </c>
      <c r="P149" s="56">
        <f>945.186427993419*Deflactores!$M$5</f>
        <v>1955.3813252898117</v>
      </c>
      <c r="Q149" s="56">
        <f>1060.87734263828*Deflactores!$N$5</f>
        <v>2152.9529113353096</v>
      </c>
      <c r="R149" s="56">
        <f>1200.0849063281*Deflactores!$O$5</f>
        <v>2349.471201575072</v>
      </c>
      <c r="S149" s="56">
        <f>1289.9565144915*Deflactores!$P$5</f>
        <v>2365.2877354257025</v>
      </c>
      <c r="T149" s="56">
        <f>1396.17802958862*Deflactores!$Q$5</f>
        <v>2420.8580975727268</v>
      </c>
      <c r="U149" s="56">
        <f>1455.26470131944*Deflactores!$R$5</f>
        <v>2424.1613375012362</v>
      </c>
      <c r="V149" s="56">
        <f>1537.98250848142*Deflactores!$S$5</f>
        <v>2482.9924436220845</v>
      </c>
    </row>
    <row r="150" spans="3:22" x14ac:dyDescent="0.2">
      <c r="C150" s="88" t="s">
        <v>142</v>
      </c>
      <c r="D150" s="57">
        <f>18.7075659856099*Deflactores!$A$5</f>
        <v>69.8150568315925</v>
      </c>
      <c r="E150" s="57">
        <f>20.5800457263499*Deflactores!$B$5</f>
        <v>71.346217520454744</v>
      </c>
      <c r="F150" s="57">
        <f>23.8652859109499*Deflactores!$C$5</f>
        <v>77.328680887452379</v>
      </c>
      <c r="G150" s="57">
        <f>23.18826309828*Deflactores!$D$5</f>
        <v>70.555000406741897</v>
      </c>
      <c r="H150" s="57">
        <f>21.8423083148199*Deflactores!$E$5</f>
        <v>62.996739633325383</v>
      </c>
      <c r="I150" s="57">
        <f>20.48935163444*Deflactores!$F$5</f>
        <v>56.358305424862216</v>
      </c>
      <c r="J150" s="57">
        <f>21.5077587431199*Deflactores!$G$5</f>
        <v>56.623959029646599</v>
      </c>
      <c r="K150" s="57">
        <f>24.34945571111*Deflactores!$H$5</f>
        <v>60.651577816398479</v>
      </c>
      <c r="L150" s="57">
        <f>26.8133116162499*Deflactores!$I$5</f>
        <v>62.028453865729404</v>
      </c>
      <c r="M150" s="57">
        <f>28.42454445022*Deflactores!$J$5</f>
        <v>64.465320161330965</v>
      </c>
      <c r="N150" s="57">
        <f>132.12176924808*Deflactores!$K$5</f>
        <v>290.43465525146166</v>
      </c>
      <c r="O150" s="57">
        <f>29.35235286849*Deflactores!$L$5</f>
        <v>62.205169215029365</v>
      </c>
      <c r="P150" s="57">
        <f>44.47048334379*Deflactores!$M$5</f>
        <v>91.999578159055019</v>
      </c>
      <c r="Q150" s="57">
        <f>69.97671619161*Deflactores!$N$5</f>
        <v>142.01130403609702</v>
      </c>
      <c r="R150" s="57">
        <f>76.7029103584299*Deflactores!$O$5</f>
        <v>150.16544080661578</v>
      </c>
      <c r="S150" s="57">
        <f>71.45566917725*Deflactores!$P$5</f>
        <v>131.02241512242816</v>
      </c>
      <c r="T150" s="57">
        <f>71.40455339734*Deflactores!$Q$5</f>
        <v>123.80963432467671</v>
      </c>
      <c r="U150" s="57">
        <f>73.4584643971*Deflactores!$R$5</f>
        <v>122.36617100806887</v>
      </c>
      <c r="V150" s="57">
        <f>74.411084774838*Deflactores!$S$5</f>
        <v>120.13281048305053</v>
      </c>
    </row>
    <row r="151" spans="3:22" x14ac:dyDescent="0.2">
      <c r="C151" s="87" t="s">
        <v>143</v>
      </c>
      <c r="D151" s="56">
        <f>43.09638433476*Deflactores!$A$5</f>
        <v>160.83206783190352</v>
      </c>
      <c r="E151" s="56">
        <f>49.8516351752499*Deflactores!$B$5</f>
        <v>172.82398952155083</v>
      </c>
      <c r="F151" s="56">
        <f>44.61879786302*Deflactores!$C$5</f>
        <v>144.57454205265307</v>
      </c>
      <c r="G151" s="56">
        <f>43.01179650741*Deflactores!$D$5</f>
        <v>130.87212730047523</v>
      </c>
      <c r="H151" s="56">
        <f>72.66717688817*Deflactores!$E$5</f>
        <v>209.5838569958668</v>
      </c>
      <c r="I151" s="56">
        <f>83.9373622477999*Deflactores!$F$5</f>
        <v>230.87931636486354</v>
      </c>
      <c r="J151" s="56">
        <f>153.67729701814*Deflactores!$G$5</f>
        <v>404.58966803900978</v>
      </c>
      <c r="K151" s="56">
        <f>220.12080702452*Deflactores!$H$5</f>
        <v>548.29456619699943</v>
      </c>
      <c r="L151" s="56">
        <f>230.23721046073*Deflactores!$I$5</f>
        <v>532.61821559492228</v>
      </c>
      <c r="M151" s="56">
        <f>242.234704079849*Deflactores!$J$5</f>
        <v>549.37512824666805</v>
      </c>
      <c r="N151" s="56">
        <f>233.572714686639*Deflactores!$K$5</f>
        <v>513.44764191573847</v>
      </c>
      <c r="O151" s="56">
        <f>231.88984514513*Deflactores!$L$5</f>
        <v>491.43409801348008</v>
      </c>
      <c r="P151" s="56">
        <f>461.90105019663*Deflactores!$M$5</f>
        <v>955.57094445766927</v>
      </c>
      <c r="Q151" s="56">
        <f>464.91617155111*Deflactores!$N$5</f>
        <v>943.5045738450774</v>
      </c>
      <c r="R151" s="56">
        <f>529.709738571369*Deflactores!$O$5</f>
        <v>1037.041437155646</v>
      </c>
      <c r="S151" s="56">
        <f>525.026806258089*Deflactores!$P$5</f>
        <v>962.6987046935584</v>
      </c>
      <c r="T151" s="56">
        <f>641.46877520373*Deflactores!$Q$5</f>
        <v>1112.2542010273348</v>
      </c>
      <c r="U151" s="56">
        <f>1085.66618486037*Deflactores!$R$5</f>
        <v>1808.4888531858064</v>
      </c>
      <c r="V151" s="56">
        <f>535.55672130543*Deflactores!$S$5</f>
        <v>864.62835877464465</v>
      </c>
    </row>
    <row r="152" spans="3:22" x14ac:dyDescent="0.2">
      <c r="C152" s="88" t="s">
        <v>144</v>
      </c>
      <c r="D152" s="57">
        <f>678.44721150574*Deflactores!$A$5</f>
        <v>2531.9077139668038</v>
      </c>
      <c r="E152" s="57">
        <f>736.81475745617*Deflactores!$B$5</f>
        <v>2554.3648763832307</v>
      </c>
      <c r="F152" s="57">
        <f>747.57260765507*Deflactores!$C$5</f>
        <v>2422.2967130276716</v>
      </c>
      <c r="G152" s="57">
        <f>766.533401883579*Deflactores!$D$5</f>
        <v>2332.3335711888135</v>
      </c>
      <c r="H152" s="57">
        <f>839.57765320767*Deflactores!$E$5</f>
        <v>2421.4773483989275</v>
      </c>
      <c r="I152" s="57">
        <f>992.574045490239*Deflactores!$F$5</f>
        <v>2730.1884515712195</v>
      </c>
      <c r="J152" s="57">
        <f>1105.08848766432*Deflactores!$G$5</f>
        <v>2909.3912572203958</v>
      </c>
      <c r="K152" s="57">
        <f>1212.86646386487*Deflactores!$H$5</f>
        <v>3021.105095192569</v>
      </c>
      <c r="L152" s="57">
        <f>1347.25005625124*Deflactores!$I$5</f>
        <v>3116.6548599366611</v>
      </c>
      <c r="M152" s="57">
        <f>1554.2829444968*Deflactores!$J$5</f>
        <v>3525.0291456300511</v>
      </c>
      <c r="N152" s="57">
        <f>1657.85055297099*Deflactores!$K$5</f>
        <v>3644.3445811453339</v>
      </c>
      <c r="O152" s="57">
        <f>1830.8304714417*Deflactores!$L$5</f>
        <v>3879.9996644330931</v>
      </c>
      <c r="P152" s="57">
        <f>2201.67452918483*Deflactores!$M$5</f>
        <v>4554.7768474350441</v>
      </c>
      <c r="Q152" s="57">
        <f>2483.41697163107*Deflactores!$N$5</f>
        <v>5039.8661412035181</v>
      </c>
      <c r="R152" s="57">
        <f>2744.17665261521*Deflactores!$O$5</f>
        <v>5372.4232205212193</v>
      </c>
      <c r="S152" s="57">
        <f>2965.76541632754*Deflactores!$P$5</f>
        <v>5438.0814287794019</v>
      </c>
      <c r="T152" s="57">
        <f>3287.70824833605*Deflactores!$Q$5</f>
        <v>5700.6162299990438</v>
      </c>
      <c r="U152" s="57">
        <f>3516.74807606508*Deflactores!$R$5</f>
        <v>5858.1539921907961</v>
      </c>
      <c r="V152" s="57">
        <f>3912.23873500985*Deflactores!$S$5</f>
        <v>6316.1051332544675</v>
      </c>
    </row>
    <row r="153" spans="3:22" x14ac:dyDescent="0.2">
      <c r="C153" s="87" t="s">
        <v>145</v>
      </c>
      <c r="D153" s="56">
        <f>172.33679243631*Deflactores!$A$5</f>
        <v>643.14635946601948</v>
      </c>
      <c r="E153" s="56">
        <f>127.9117655087*Deflactores!$B$5</f>
        <v>443.44025114212951</v>
      </c>
      <c r="F153" s="56">
        <f>170.28563016976*Deflactores!$C$5</f>
        <v>551.76222083617949</v>
      </c>
      <c r="G153" s="56">
        <f>229.32198779427*Deflactores!$D$5</f>
        <v>697.75872705617724</v>
      </c>
      <c r="H153" s="56">
        <f>122.52460243852*Deflactores!$E$5</f>
        <v>353.38071266300562</v>
      </c>
      <c r="I153" s="56">
        <f>134.24937728584*Deflactores!$F$5</f>
        <v>369.26826886290206</v>
      </c>
      <c r="J153" s="56">
        <f>389.51280517986*Deflactores!$G$5</f>
        <v>1025.4791020046432</v>
      </c>
      <c r="K153" s="56">
        <f>324.16419726236*Deflactores!$H$5</f>
        <v>807.45418989294114</v>
      </c>
      <c r="L153" s="56">
        <f>245.76967192458*Deflactores!$I$5</f>
        <v>568.55016548311687</v>
      </c>
      <c r="M153" s="56">
        <f>292.46106556478*Deflactores!$J$5</f>
        <v>663.28578315040068</v>
      </c>
      <c r="N153" s="56">
        <f>643.20272798335*Deflactores!$K$5</f>
        <v>1413.910543446334</v>
      </c>
      <c r="O153" s="56">
        <f>505.17477563346*Deflactores!$L$5</f>
        <v>1070.5950062074348</v>
      </c>
      <c r="P153" s="56">
        <f>361.58089706786*Deflactores!$M$5</f>
        <v>748.0307723091363</v>
      </c>
      <c r="Q153" s="56">
        <f>485.45918603813*Deflactores!$N$5</f>
        <v>985.19473072734513</v>
      </c>
      <c r="R153" s="56">
        <f>1018.00236763471*Deflactores!$O$5</f>
        <v>1992.9983564338634</v>
      </c>
      <c r="S153" s="56">
        <f>761.15564736025*Deflactores!$P$5</f>
        <v>1395.66884404697</v>
      </c>
      <c r="T153" s="56">
        <f>644.47179766029*Deflactores!$Q$5</f>
        <v>1117.4611954629211</v>
      </c>
      <c r="U153" s="56">
        <f>670.77644255569*Deflactores!$R$5</f>
        <v>1117.3708237929627</v>
      </c>
      <c r="V153" s="56">
        <f>1711.74245680992*Deflactores!$S$5</f>
        <v>2763.5188061291788</v>
      </c>
    </row>
    <row r="154" spans="3:22" x14ac:dyDescent="0.2">
      <c r="C154" s="88" t="s">
        <v>146</v>
      </c>
      <c r="D154" s="57">
        <f>143.244116595899*Deflactores!$A$5</f>
        <v>534.57494944166103</v>
      </c>
      <c r="E154" s="57">
        <f>152.442711379869*Deflactores!$B$5</f>
        <v>528.48331777953979</v>
      </c>
      <c r="F154" s="57">
        <f>168.0850580005*Deflactores!$C$5</f>
        <v>544.63189171791669</v>
      </c>
      <c r="G154" s="57">
        <f>180.51509950736*Deflactores!$D$5</f>
        <v>549.2538559349689</v>
      </c>
      <c r="H154" s="57">
        <f>174.499467376549*Deflactores!$E$5</f>
        <v>503.28460499826326</v>
      </c>
      <c r="I154" s="57">
        <f>218.39631606889*Deflactores!$F$5</f>
        <v>600.72404946119968</v>
      </c>
      <c r="J154" s="57">
        <f>218.56810366853*Deflactores!$G$5</f>
        <v>575.42915071396749</v>
      </c>
      <c r="K154" s="57">
        <f>207.31314084016*Deflactores!$H$5</f>
        <v>516.3922037194377</v>
      </c>
      <c r="L154" s="57">
        <f>207.13983345828*Deflactores!$I$5</f>
        <v>479.18600235992739</v>
      </c>
      <c r="M154" s="57">
        <f>204.999128181949*Deflactores!$J$5</f>
        <v>464.92686819263287</v>
      </c>
      <c r="N154" s="57">
        <f>214.94890694772*Deflactores!$K$5</f>
        <v>472.50814185525888</v>
      </c>
      <c r="O154" s="57">
        <f>248.157233550698*Deflactores!$L$5</f>
        <v>525.90886918391197</v>
      </c>
      <c r="P154" s="57">
        <f>377.685732820093*Deflactores!$M$5</f>
        <v>781.34810965562156</v>
      </c>
      <c r="Q154" s="57">
        <f>395.161533200329*Deflactores!$N$5</f>
        <v>801.94395634430305</v>
      </c>
      <c r="R154" s="57">
        <f>431.404334890579*Deflactores!$O$5</f>
        <v>844.58362547137597</v>
      </c>
      <c r="S154" s="57">
        <f>563.304528378219*Deflactores!$P$5</f>
        <v>1032.8854324271413</v>
      </c>
      <c r="T154" s="57">
        <f>633.049913250977*Deflactores!$Q$5</f>
        <v>1097.6565854663206</v>
      </c>
      <c r="U154" s="57">
        <f>584.221263649887*Deflactores!$R$5</f>
        <v>973.18831316537035</v>
      </c>
      <c r="V154" s="57">
        <f>551.772033070485*Deflactores!$S$5</f>
        <v>890.80713282543832</v>
      </c>
    </row>
    <row r="155" spans="3:22" x14ac:dyDescent="0.2">
      <c r="C155" s="90" t="s">
        <v>147</v>
      </c>
      <c r="D155" s="58">
        <f>4003.74337188955*Deflactores!$A$5</f>
        <v>14941.632239201632</v>
      </c>
      <c r="E155" s="58">
        <f>4984.49275588058*Deflactores!$B$5</f>
        <v>17280.073578012441</v>
      </c>
      <c r="F155" s="58">
        <f>6188.91614305418*Deflactores!$C$5</f>
        <v>20053.425014525226</v>
      </c>
      <c r="G155" s="58">
        <f>6948.74558816539*Deflactores!$D$5</f>
        <v>21142.969860287678</v>
      </c>
      <c r="H155" s="58">
        <f>8666.11686473286*Deflactores!$E$5</f>
        <v>24994.478600465976</v>
      </c>
      <c r="I155" s="58">
        <f>11585.0705110253*Deflactores!$F$5</f>
        <v>31866.061644013243</v>
      </c>
      <c r="J155" s="58">
        <f>13078.2440243672*Deflactores!$G$5</f>
        <v>34431.386489881479</v>
      </c>
      <c r="K155" s="58">
        <f>14558.484444016*Deflactores!$H$5</f>
        <v>36263.441065016348</v>
      </c>
      <c r="L155" s="58">
        <f>16933.3174490689*Deflactores!$I$5</f>
        <v>39172.613782878274</v>
      </c>
      <c r="M155" s="58">
        <f>18905.9408202779*Deflactores!$J$5</f>
        <v>42877.645060058581</v>
      </c>
      <c r="N155" s="58">
        <f>19523.049708463*Deflactores!$K$5</f>
        <v>42916.244944373539</v>
      </c>
      <c r="O155" s="58">
        <f>20361.0038566964*Deflactores!$L$5</f>
        <v>43150.192966415569</v>
      </c>
      <c r="P155" s="58">
        <f>22849.4305593956*Deflactores!$M$5</f>
        <v>47270.409821901907</v>
      </c>
      <c r="Q155" s="58">
        <f>23055.379447928*Deflactores!$N$5</f>
        <v>46788.770302997495</v>
      </c>
      <c r="R155" s="58">
        <f>26510.0568684843*Deflactores!$O$5</f>
        <v>51900.17375953302</v>
      </c>
      <c r="S155" s="58">
        <f>23541.3161100392*Deflactores!$P$5</f>
        <v>43165.785548053944</v>
      </c>
      <c r="T155" s="58">
        <f>25335.7109895286*Deflactores!$Q$5</f>
        <v>43930.043165651718</v>
      </c>
      <c r="U155" s="58">
        <f>32167.7068561196*Deflactores!$R$5</f>
        <v>53584.554896423288</v>
      </c>
      <c r="V155" s="58">
        <f>40695.8779612428*Deflactores!$S$5</f>
        <v>65701.369753616484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0.150079299*Deflactores!$R$5</f>
        <v>0.25000017788188478</v>
      </c>
      <c r="V156" s="59">
        <f>108.237900364679*Deflactores!$S$5</f>
        <v>174.74443775331451</v>
      </c>
    </row>
    <row r="157" spans="3:22" x14ac:dyDescent="0.2">
      <c r="C157" s="87" t="s">
        <v>149</v>
      </c>
      <c r="D157" s="56">
        <f>29.58173367111*Deflactores!$A$5</f>
        <v>110.39653255876235</v>
      </c>
      <c r="E157" s="56">
        <f>15.95268081052*Deflactores!$B$5</f>
        <v>55.304222851384793</v>
      </c>
      <c r="F157" s="56">
        <f>15.5502917533899*Deflactores!$C$5</f>
        <v>50.386303905663446</v>
      </c>
      <c r="G157" s="56">
        <f>17.67754119907*Deflactores!$D$5</f>
        <v>53.787509707145553</v>
      </c>
      <c r="H157" s="56">
        <f>18.85498554836*Deflactores!$E$5</f>
        <v>54.380819016927319</v>
      </c>
      <c r="I157" s="56">
        <f>36.33098803154*Deflactores!$F$5</f>
        <v>99.932538442400912</v>
      </c>
      <c r="J157" s="56">
        <f>30.09750793445*Deflactores!$G$5</f>
        <v>79.238384460674141</v>
      </c>
      <c r="K157" s="56">
        <f>34.50073907504*Deflactores!$H$5</f>
        <v>85.937208846039468</v>
      </c>
      <c r="L157" s="56">
        <f>34.91400874352*Deflactores!$I$5</f>
        <v>80.768165141624223</v>
      </c>
      <c r="M157" s="56">
        <f>38.5316858905*Deflactores!$J$5</f>
        <v>87.387766992610366</v>
      </c>
      <c r="N157" s="56">
        <f>97.05424863557*Deflactores!$K$5</f>
        <v>213.34801527092816</v>
      </c>
      <c r="O157" s="56">
        <f>99.5189529449599*Deflactores!$L$5</f>
        <v>210.9062035258315</v>
      </c>
      <c r="P157" s="56">
        <f>132.15607279111*Deflactores!$M$5</f>
        <v>273.40163708018957</v>
      </c>
      <c r="Q157" s="56">
        <f>37.98587322724*Deflactores!$N$5</f>
        <v>77.088833050971218</v>
      </c>
      <c r="R157" s="56">
        <f>56.1026444906199*Deflactores!$O$5</f>
        <v>109.83518488389262</v>
      </c>
      <c r="S157" s="56">
        <f>55.86803522066*Deflactores!$P$5</f>
        <v>102.44064588630675</v>
      </c>
      <c r="T157" s="56">
        <f>60.12162499685*Deflactores!$Q$5</f>
        <v>104.24596264112529</v>
      </c>
      <c r="U157" s="56">
        <f>61.46997312654*Deflactores!$R$5</f>
        <v>102.39589549275331</v>
      </c>
      <c r="V157" s="56">
        <f>59.37168260067*Deflactores!$S$5</f>
        <v>95.852481058547312</v>
      </c>
    </row>
    <row r="158" spans="3:22" x14ac:dyDescent="0.2">
      <c r="C158" s="88" t="s">
        <v>150</v>
      </c>
      <c r="D158" s="57">
        <f>136.14077199456*Deflactores!$A$5</f>
        <v>508.06586710468918</v>
      </c>
      <c r="E158" s="57">
        <f>150.61683387752*Deflactores!$B$5</f>
        <v>522.15342642844803</v>
      </c>
      <c r="F158" s="57">
        <f>107.99162605367*Deflactores!$C$5</f>
        <v>349.91619294993603</v>
      </c>
      <c r="G158" s="57">
        <f>104.17339324806*Deflactores!$D$5</f>
        <v>316.96870834339217</v>
      </c>
      <c r="H158" s="57">
        <f>151.389463789909*Deflactores!$E$5</f>
        <v>436.63162776302363</v>
      </c>
      <c r="I158" s="57">
        <f>117.39342180302*Deflactores!$F$5</f>
        <v>322.90403517324904</v>
      </c>
      <c r="J158" s="57">
        <f>102.94370488535*Deflactores!$G$5</f>
        <v>271.02220168118396</v>
      </c>
      <c r="K158" s="57">
        <f>120.15442575349*Deflactores!$H$5</f>
        <v>299.29028352972006</v>
      </c>
      <c r="L158" s="57">
        <f>107.73536860712*Deflactores!$I$5</f>
        <v>249.22913055260753</v>
      </c>
      <c r="M158" s="57">
        <f>190.83074786321*Deflactores!$J$5</f>
        <v>432.79375256734653</v>
      </c>
      <c r="N158" s="57">
        <f>161.51215903484*Deflactores!$K$5</f>
        <v>355.04162936332074</v>
      </c>
      <c r="O158" s="57">
        <f>155.46538471101*Deflactores!$L$5</f>
        <v>329.47105148117947</v>
      </c>
      <c r="P158" s="57">
        <f>277.45103824322*Deflactores!$M$5</f>
        <v>573.98473231869036</v>
      </c>
      <c r="Q158" s="57">
        <f>218.12870264263*Deflactores!$N$5</f>
        <v>442.67212289815836</v>
      </c>
      <c r="R158" s="57">
        <f>212.32696675616*Deflactores!$O$5</f>
        <v>415.68399959110866</v>
      </c>
      <c r="S158" s="57">
        <f>194.685389917509*Deflactores!$P$5</f>
        <v>356.97867320742859</v>
      </c>
      <c r="T158" s="57">
        <f>187.439075168639*Deflactores!$Q$5</f>
        <v>325.00397034412788</v>
      </c>
      <c r="U158" s="57">
        <f>193.27586451741*Deflactores!$R$5</f>
        <v>321.95646455962969</v>
      </c>
      <c r="V158" s="57">
        <f>197.325995191219*Deflactores!$S$5</f>
        <v>318.57251450394085</v>
      </c>
    </row>
    <row r="159" spans="3:22" x14ac:dyDescent="0.2">
      <c r="C159" s="87" t="s">
        <v>151</v>
      </c>
      <c r="D159" s="56">
        <f>17.10347442701*Deflactores!$A$5</f>
        <v>63.828722563795516</v>
      </c>
      <c r="E159" s="56">
        <f>18.3298306009599*Deflactores!$B$5</f>
        <v>63.545246621816865</v>
      </c>
      <c r="F159" s="56">
        <f>17.63346682007*Deflactores!$C$5</f>
        <v>57.136241055592656</v>
      </c>
      <c r="G159" s="56">
        <f>16.010018341*Deflactores!$D$5</f>
        <v>48.713732709242365</v>
      </c>
      <c r="H159" s="56">
        <f>9.37921894636*Deflactores!$E$5</f>
        <v>27.051180004033622</v>
      </c>
      <c r="I159" s="56">
        <f>8.6880724008*Deflactores!$F$5</f>
        <v>23.897536957419931</v>
      </c>
      <c r="J159" s="56">
        <f>13.3592043443699*Deflactores!$G$5</f>
        <v>35.171077028482038</v>
      </c>
      <c r="K159" s="56">
        <f>12.5065585275899*Deflactores!$H$5</f>
        <v>31.152339368528814</v>
      </c>
      <c r="L159" s="56">
        <f>8.44150337384*Deflactores!$I$5</f>
        <v>19.528113874017098</v>
      </c>
      <c r="M159" s="56">
        <f>6.964427172*Deflactores!$J$5</f>
        <v>15.794941873897926</v>
      </c>
      <c r="N159" s="56">
        <f>8.90393254072999*Deflactores!$K$5</f>
        <v>19.572933306649357</v>
      </c>
      <c r="O159" s="56">
        <f>322.950475881969*Deflactores!$L$5</f>
        <v>684.41494589273816</v>
      </c>
      <c r="P159" s="56">
        <f>1353.55427615768*Deflactores!$M$5</f>
        <v>2800.2039343537044</v>
      </c>
      <c r="Q159" s="56">
        <f>1461.5972508773*Deflactores!$N$5</f>
        <v>2966.177078162837</v>
      </c>
      <c r="R159" s="56">
        <f>1516.99246693318*Deflactores!$O$5</f>
        <v>2969.8982924224924</v>
      </c>
      <c r="S159" s="56">
        <f>1588.44879393395*Deflactores!$P$5</f>
        <v>2912.6086100078983</v>
      </c>
      <c r="T159" s="56">
        <f>1748.39326824629*Deflactores!$Q$5</f>
        <v>3031.5704097011208</v>
      </c>
      <c r="U159" s="56">
        <f>1945.34180877998*Deflactores!$R$5</f>
        <v>3240.5255186863747</v>
      </c>
      <c r="V159" s="56">
        <f>1959.86339763276*Deflactores!$S$5</f>
        <v>3164.0971077483723</v>
      </c>
    </row>
    <row r="160" spans="3:22" x14ac:dyDescent="0.2">
      <c r="C160" s="79" t="s">
        <v>179</v>
      </c>
      <c r="D160" s="44">
        <f t="shared" ref="D160:V160" si="32">+SUM(D131:D159)</f>
        <v>86428.362362020242</v>
      </c>
      <c r="E160" s="44">
        <f t="shared" si="32"/>
        <v>91808.912542797581</v>
      </c>
      <c r="F160" s="44">
        <f t="shared" si="32"/>
        <v>94576.722562830226</v>
      </c>
      <c r="G160" s="44">
        <f t="shared" si="32"/>
        <v>94810.551063076084</v>
      </c>
      <c r="H160" s="44">
        <f t="shared" si="32"/>
        <v>105475.96581046868</v>
      </c>
      <c r="I160" s="44">
        <f t="shared" si="32"/>
        <v>116999.27699254069</v>
      </c>
      <c r="J160" s="44">
        <f t="shared" si="32"/>
        <v>123318.66770829642</v>
      </c>
      <c r="K160" s="44">
        <f t="shared" si="32"/>
        <v>129220.98372996313</v>
      </c>
      <c r="L160" s="44">
        <f t="shared" si="32"/>
        <v>137191.65804979825</v>
      </c>
      <c r="M160" s="44">
        <f t="shared" si="32"/>
        <v>149171.8493390494</v>
      </c>
      <c r="N160" s="44">
        <f t="shared" si="32"/>
        <v>158792.82052221271</v>
      </c>
      <c r="O160" s="44">
        <f t="shared" si="32"/>
        <v>162681.71111865304</v>
      </c>
      <c r="P160" s="44">
        <f t="shared" si="32"/>
        <v>173465.3891756433</v>
      </c>
      <c r="Q160" s="44">
        <f t="shared" si="32"/>
        <v>187874.61564979152</v>
      </c>
      <c r="R160" s="44">
        <f t="shared" si="32"/>
        <v>195464.31099491118</v>
      </c>
      <c r="S160" s="44">
        <f t="shared" si="32"/>
        <v>189394.25917967386</v>
      </c>
      <c r="T160" s="44">
        <f t="shared" si="32"/>
        <v>192873.19697414959</v>
      </c>
      <c r="U160" s="44">
        <f t="shared" si="32"/>
        <v>212907.28837950772</v>
      </c>
      <c r="V160" s="44">
        <f t="shared" si="32"/>
        <v>213904.96427588051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customHeight="1" x14ac:dyDescent="0.2">
      <c r="D165" s="164" t="s">
        <v>191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t="3.75" customHeight="1" x14ac:dyDescent="0.2">
      <c r="H166" s="27"/>
      <c r="I166" s="27"/>
      <c r="J166" s="27"/>
      <c r="L166" s="179"/>
      <c r="M166" s="160"/>
      <c r="N166" s="160"/>
      <c r="O166" s="160"/>
      <c r="P166" s="160"/>
      <c r="Q166" s="160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81" t="s">
        <v>120</v>
      </c>
      <c r="D168" s="155">
        <v>2000</v>
      </c>
      <c r="E168" s="155">
        <v>2001</v>
      </c>
      <c r="F168" s="155">
        <v>2002</v>
      </c>
      <c r="G168" s="155">
        <v>2003</v>
      </c>
      <c r="H168" s="155">
        <v>2004</v>
      </c>
      <c r="I168" s="155">
        <v>2005</v>
      </c>
      <c r="J168" s="155">
        <v>2006</v>
      </c>
      <c r="K168" s="155">
        <v>2007</v>
      </c>
      <c r="L168" s="155">
        <v>2008</v>
      </c>
      <c r="M168" s="155">
        <v>2009</v>
      </c>
      <c r="N168" s="155">
        <v>2010</v>
      </c>
      <c r="O168" s="155">
        <v>2011</v>
      </c>
      <c r="P168" s="155">
        <v>2012</v>
      </c>
      <c r="Q168" s="155">
        <v>2013</v>
      </c>
      <c r="R168" s="155">
        <v>2014</v>
      </c>
      <c r="S168" s="155">
        <v>2015</v>
      </c>
      <c r="T168" s="155">
        <v>2016</v>
      </c>
      <c r="U168" s="155">
        <v>2017</v>
      </c>
      <c r="V168" s="155">
        <v>2018</v>
      </c>
    </row>
    <row r="169" spans="2:22" ht="12" customHeight="1" thickBot="1" x14ac:dyDescent="0.25">
      <c r="C169" s="162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</row>
    <row r="170" spans="2:22" x14ac:dyDescent="0.2">
      <c r="C170" s="87" t="s">
        <v>123</v>
      </c>
      <c r="D170" s="60">
        <f t="shared" ref="D170:V170" si="33">+IFERROR(IF(D131&gt;0,+((D131/D14)*100)," "),"")</f>
        <v>92.47237804301534</v>
      </c>
      <c r="E170" s="60">
        <f t="shared" si="33"/>
        <v>92.513832123195257</v>
      </c>
      <c r="F170" s="60">
        <f t="shared" si="33"/>
        <v>95.975138615316126</v>
      </c>
      <c r="G170" s="60">
        <f t="shared" si="33"/>
        <v>89.979298231456127</v>
      </c>
      <c r="H170" s="60">
        <f t="shared" si="33"/>
        <v>85.569754205374878</v>
      </c>
      <c r="I170" s="60">
        <f t="shared" si="33"/>
        <v>85.069997153145209</v>
      </c>
      <c r="J170" s="60">
        <f t="shared" si="33"/>
        <v>81.855393425312755</v>
      </c>
      <c r="K170" s="60">
        <f t="shared" si="33"/>
        <v>93.846815075992623</v>
      </c>
      <c r="L170" s="60">
        <f t="shared" si="33"/>
        <v>99.189835714088431</v>
      </c>
      <c r="M170" s="60">
        <f t="shared" si="33"/>
        <v>95.586288319764179</v>
      </c>
      <c r="N170" s="60">
        <f t="shared" si="33"/>
        <v>93.554530420753665</v>
      </c>
      <c r="O170" s="60">
        <f t="shared" si="33"/>
        <v>96.404390184198192</v>
      </c>
      <c r="P170" s="60">
        <f t="shared" si="33"/>
        <v>88.330848766330419</v>
      </c>
      <c r="Q170" s="60">
        <f t="shared" si="33"/>
        <v>96.229768212365371</v>
      </c>
      <c r="R170" s="60">
        <f t="shared" si="33"/>
        <v>88.126090105312301</v>
      </c>
      <c r="S170" s="60">
        <f t="shared" si="33"/>
        <v>95.430492385336876</v>
      </c>
      <c r="T170" s="60">
        <f t="shared" si="33"/>
        <v>93.948952584647557</v>
      </c>
      <c r="U170" s="60">
        <f t="shared" si="33"/>
        <v>96.47575242871828</v>
      </c>
      <c r="V170" s="60">
        <f t="shared" si="33"/>
        <v>79.002577069489377</v>
      </c>
    </row>
    <row r="171" spans="2:22" x14ac:dyDescent="0.2">
      <c r="C171" s="88" t="s">
        <v>124</v>
      </c>
      <c r="D171" s="62">
        <f t="shared" ref="D171:V171" si="34">+IFERROR(IF(D132&gt;0,+((D132/D15)*100)," "),"")</f>
        <v>89.564677008008985</v>
      </c>
      <c r="E171" s="62">
        <f t="shared" si="34"/>
        <v>90.020823457112215</v>
      </c>
      <c r="F171" s="62">
        <f t="shared" si="34"/>
        <v>89.200772318754062</v>
      </c>
      <c r="G171" s="62">
        <f t="shared" si="34"/>
        <v>86.531256937794211</v>
      </c>
      <c r="H171" s="62">
        <f t="shared" si="34"/>
        <v>91.422575330384362</v>
      </c>
      <c r="I171" s="62">
        <f t="shared" si="34"/>
        <v>91.585991052628941</v>
      </c>
      <c r="J171" s="62">
        <f t="shared" si="34"/>
        <v>90.511810487497073</v>
      </c>
      <c r="K171" s="62">
        <f t="shared" si="34"/>
        <v>91.157361524882575</v>
      </c>
      <c r="L171" s="62">
        <f t="shared" si="34"/>
        <v>99.258883826059431</v>
      </c>
      <c r="M171" s="62">
        <f t="shared" si="34"/>
        <v>99.342684760167941</v>
      </c>
      <c r="N171" s="62">
        <f t="shared" si="34"/>
        <v>96.696074782046509</v>
      </c>
      <c r="O171" s="62">
        <f t="shared" si="34"/>
        <v>98.612124260742675</v>
      </c>
      <c r="P171" s="62">
        <f t="shared" si="34"/>
        <v>84.353236201160271</v>
      </c>
      <c r="Q171" s="62">
        <f t="shared" si="34"/>
        <v>86.735051729951024</v>
      </c>
      <c r="R171" s="62">
        <f t="shared" si="34"/>
        <v>95.548598910436382</v>
      </c>
      <c r="S171" s="62">
        <f t="shared" si="34"/>
        <v>94.193681950410848</v>
      </c>
      <c r="T171" s="62">
        <f t="shared" si="34"/>
        <v>95.18334478225114</v>
      </c>
      <c r="U171" s="62">
        <f t="shared" si="34"/>
        <v>96.202163741321428</v>
      </c>
      <c r="V171" s="62">
        <f t="shared" si="34"/>
        <v>95.461854861918056</v>
      </c>
    </row>
    <row r="172" spans="2:22" x14ac:dyDescent="0.2">
      <c r="C172" s="87" t="s">
        <v>125</v>
      </c>
      <c r="D172" s="60">
        <f t="shared" ref="D172:V172" si="35">+IFERROR(IF(D133&gt;0,+((D133/D16)*100)," "),"")</f>
        <v>96.617071685740996</v>
      </c>
      <c r="E172" s="60">
        <f t="shared" si="35"/>
        <v>95.217952059984043</v>
      </c>
      <c r="F172" s="60">
        <f t="shared" si="35"/>
        <v>96.236960896021415</v>
      </c>
      <c r="G172" s="60">
        <f t="shared" si="35"/>
        <v>96.788200665292294</v>
      </c>
      <c r="H172" s="60">
        <f t="shared" si="35"/>
        <v>92.964720642537173</v>
      </c>
      <c r="I172" s="60">
        <f t="shared" si="35"/>
        <v>96.377774519670069</v>
      </c>
      <c r="J172" s="60">
        <f t="shared" si="35"/>
        <v>93.432215022393507</v>
      </c>
      <c r="K172" s="60">
        <f t="shared" si="35"/>
        <v>91.885776904239066</v>
      </c>
      <c r="L172" s="60">
        <f t="shared" si="35"/>
        <v>97.306755006560138</v>
      </c>
      <c r="M172" s="60">
        <f t="shared" si="35"/>
        <v>26.124068591676931</v>
      </c>
      <c r="N172" s="60">
        <f t="shared" si="35"/>
        <v>94.493413434310384</v>
      </c>
      <c r="O172" s="60">
        <f t="shared" si="35"/>
        <v>88.219651295250813</v>
      </c>
      <c r="P172" s="60">
        <f t="shared" si="35"/>
        <v>72.392727882760028</v>
      </c>
      <c r="Q172" s="60">
        <f t="shared" si="35"/>
        <v>91.796487805650102</v>
      </c>
      <c r="R172" s="60">
        <f t="shared" si="35"/>
        <v>91.561598119639669</v>
      </c>
      <c r="S172" s="60">
        <f t="shared" si="35"/>
        <v>93.188827062022</v>
      </c>
      <c r="T172" s="60">
        <f t="shared" si="35"/>
        <v>93.71799167204955</v>
      </c>
      <c r="U172" s="60">
        <f t="shared" si="35"/>
        <v>94.687759219496641</v>
      </c>
      <c r="V172" s="60">
        <f t="shared" si="35"/>
        <v>92.616957482539135</v>
      </c>
    </row>
    <row r="173" spans="2:22" x14ac:dyDescent="0.2">
      <c r="C173" s="88" t="s">
        <v>126</v>
      </c>
      <c r="D173" s="62">
        <f t="shared" ref="D173:V173" si="36">+IFERROR(IF(D134&gt;0,+((D134/D17)*100)," "),"")</f>
        <v>91.67006543430584</v>
      </c>
      <c r="E173" s="62">
        <f t="shared" si="36"/>
        <v>91.78093481807197</v>
      </c>
      <c r="F173" s="62">
        <f t="shared" si="36"/>
        <v>92.918848565738827</v>
      </c>
      <c r="G173" s="62">
        <f t="shared" si="36"/>
        <v>87.783008199179818</v>
      </c>
      <c r="H173" s="62">
        <f t="shared" si="36"/>
        <v>94.969116024161579</v>
      </c>
      <c r="I173" s="62">
        <f t="shared" si="36"/>
        <v>93.997095510575562</v>
      </c>
      <c r="J173" s="62">
        <f t="shared" si="36"/>
        <v>95.777363475944071</v>
      </c>
      <c r="K173" s="62">
        <f t="shared" si="36"/>
        <v>89.229452572713271</v>
      </c>
      <c r="L173" s="62">
        <f t="shared" si="36"/>
        <v>90.603649592742016</v>
      </c>
      <c r="M173" s="62">
        <f t="shared" si="36"/>
        <v>94.090705070451136</v>
      </c>
      <c r="N173" s="62">
        <f t="shared" si="36"/>
        <v>91.796474105094688</v>
      </c>
      <c r="O173" s="62">
        <f t="shared" si="36"/>
        <v>91.565032427001043</v>
      </c>
      <c r="P173" s="62">
        <f t="shared" si="36"/>
        <v>94.696441770290591</v>
      </c>
      <c r="Q173" s="62">
        <f t="shared" si="36"/>
        <v>95.424500597052074</v>
      </c>
      <c r="R173" s="62">
        <f t="shared" si="36"/>
        <v>89.572009813111848</v>
      </c>
      <c r="S173" s="62">
        <f t="shared" si="36"/>
        <v>95.177115542927083</v>
      </c>
      <c r="T173" s="62">
        <f t="shared" si="36"/>
        <v>96.894249864776555</v>
      </c>
      <c r="U173" s="62">
        <f t="shared" si="36"/>
        <v>99.134947044944198</v>
      </c>
      <c r="V173" s="62">
        <f t="shared" si="36"/>
        <v>95.999783747405957</v>
      </c>
    </row>
    <row r="174" spans="2:22" x14ac:dyDescent="0.2">
      <c r="C174" s="87" t="s">
        <v>127</v>
      </c>
      <c r="D174" s="60">
        <f t="shared" ref="D174:V174" si="37">+IFERROR(IF(D135&gt;0,+((D135/D18)*100)," "),"")</f>
        <v>86.625023337689768</v>
      </c>
      <c r="E174" s="60">
        <f t="shared" si="37"/>
        <v>91.019437535437149</v>
      </c>
      <c r="F174" s="60">
        <f t="shared" si="37"/>
        <v>94.643452652291018</v>
      </c>
      <c r="G174" s="60">
        <f t="shared" si="37"/>
        <v>95.09905587444932</v>
      </c>
      <c r="H174" s="60">
        <f t="shared" si="37"/>
        <v>93.497565104521968</v>
      </c>
      <c r="I174" s="60">
        <f t="shared" si="37"/>
        <v>95.306387881107796</v>
      </c>
      <c r="J174" s="60">
        <f t="shared" si="37"/>
        <v>94.625474707542352</v>
      </c>
      <c r="K174" s="60">
        <f t="shared" si="37"/>
        <v>97.282285884965816</v>
      </c>
      <c r="L174" s="60">
        <f t="shared" si="37"/>
        <v>96.073941733529963</v>
      </c>
      <c r="M174" s="60">
        <f t="shared" si="37"/>
        <v>97.557452203060251</v>
      </c>
      <c r="N174" s="60">
        <f t="shared" si="37"/>
        <v>97.273390026468434</v>
      </c>
      <c r="O174" s="60">
        <f t="shared" si="37"/>
        <v>98.035207499081295</v>
      </c>
      <c r="P174" s="60">
        <f t="shared" si="37"/>
        <v>96.074384676546543</v>
      </c>
      <c r="Q174" s="60">
        <f t="shared" si="37"/>
        <v>95.468510495440867</v>
      </c>
      <c r="R174" s="60">
        <f t="shared" si="37"/>
        <v>97.214232843397411</v>
      </c>
      <c r="S174" s="60">
        <f t="shared" si="37"/>
        <v>98.108735614452684</v>
      </c>
      <c r="T174" s="60">
        <f t="shared" si="37"/>
        <v>97.193027758519278</v>
      </c>
      <c r="U174" s="60">
        <f t="shared" si="37"/>
        <v>98.85492464884662</v>
      </c>
      <c r="V174" s="60">
        <f t="shared" si="37"/>
        <v>95.996263344162529</v>
      </c>
    </row>
    <row r="175" spans="2:22" x14ac:dyDescent="0.2">
      <c r="C175" s="88" t="s">
        <v>128</v>
      </c>
      <c r="D175" s="62">
        <f t="shared" ref="D175:V175" si="38">+IFERROR(IF(D136&gt;0,+((D136/D19)*100)," "),"")</f>
        <v>94.282604037050618</v>
      </c>
      <c r="E175" s="62">
        <f t="shared" si="38"/>
        <v>92.811813191136523</v>
      </c>
      <c r="F175" s="62">
        <f t="shared" si="38"/>
        <v>81.316116318817095</v>
      </c>
      <c r="G175" s="62">
        <f t="shared" si="38"/>
        <v>89.487551941990247</v>
      </c>
      <c r="H175" s="62">
        <f t="shared" si="38"/>
        <v>88.844939633825831</v>
      </c>
      <c r="I175" s="62">
        <f t="shared" si="38"/>
        <v>85.220005352807178</v>
      </c>
      <c r="J175" s="62">
        <f t="shared" si="38"/>
        <v>92.689895469372345</v>
      </c>
      <c r="K175" s="62">
        <f t="shared" si="38"/>
        <v>95.054461448853417</v>
      </c>
      <c r="L175" s="62">
        <f t="shared" si="38"/>
        <v>92.333196692542899</v>
      </c>
      <c r="M175" s="62">
        <f t="shared" si="38"/>
        <v>90.612217854145257</v>
      </c>
      <c r="N175" s="62">
        <f t="shared" si="38"/>
        <v>89.747445497797202</v>
      </c>
      <c r="O175" s="62">
        <f t="shared" si="38"/>
        <v>96.080501343991642</v>
      </c>
      <c r="P175" s="62">
        <f t="shared" si="38"/>
        <v>96.713579933881704</v>
      </c>
      <c r="Q175" s="62">
        <f t="shared" si="38"/>
        <v>94.367517918852812</v>
      </c>
      <c r="R175" s="62">
        <f t="shared" si="38"/>
        <v>98.994573104620926</v>
      </c>
      <c r="S175" s="62">
        <f t="shared" si="38"/>
        <v>98.586841297688991</v>
      </c>
      <c r="T175" s="62">
        <f t="shared" si="38"/>
        <v>99.538193390887571</v>
      </c>
      <c r="U175" s="62">
        <f t="shared" si="38"/>
        <v>98.477408778329149</v>
      </c>
      <c r="V175" s="62">
        <f t="shared" si="38"/>
        <v>96.823945080845931</v>
      </c>
    </row>
    <row r="176" spans="2:22" x14ac:dyDescent="0.2">
      <c r="C176" s="87" t="s">
        <v>129</v>
      </c>
      <c r="D176" s="60">
        <f t="shared" ref="D176:V176" si="39">+IFERROR(IF(D137&gt;0,+((D137/D20)*100)," "),"")</f>
        <v>97.231456632812254</v>
      </c>
      <c r="E176" s="60">
        <f t="shared" si="39"/>
        <v>95.273775816364875</v>
      </c>
      <c r="F176" s="60">
        <f t="shared" si="39"/>
        <v>95.620750907132717</v>
      </c>
      <c r="G176" s="60">
        <f t="shared" si="39"/>
        <v>93.290899986463202</v>
      </c>
      <c r="H176" s="60">
        <f t="shared" si="39"/>
        <v>92.539928011027214</v>
      </c>
      <c r="I176" s="60">
        <f t="shared" si="39"/>
        <v>92.425011851039258</v>
      </c>
      <c r="J176" s="60">
        <f t="shared" si="39"/>
        <v>93.848521131946654</v>
      </c>
      <c r="K176" s="60">
        <f t="shared" si="39"/>
        <v>97.6334640707544</v>
      </c>
      <c r="L176" s="60">
        <f t="shared" si="39"/>
        <v>98.873489323668437</v>
      </c>
      <c r="M176" s="60">
        <f t="shared" si="39"/>
        <v>97.715815781035275</v>
      </c>
      <c r="N176" s="60">
        <f t="shared" si="39"/>
        <v>97.44257348672464</v>
      </c>
      <c r="O176" s="60">
        <f t="shared" si="39"/>
        <v>97.799761340284348</v>
      </c>
      <c r="P176" s="60">
        <f t="shared" si="39"/>
        <v>99.108393576491963</v>
      </c>
      <c r="Q176" s="60">
        <f t="shared" si="39"/>
        <v>99.177759458246484</v>
      </c>
      <c r="R176" s="60">
        <f t="shared" si="39"/>
        <v>98.766663774097381</v>
      </c>
      <c r="S176" s="60">
        <f t="shared" si="39"/>
        <v>98.426564104973409</v>
      </c>
      <c r="T176" s="60">
        <f t="shared" si="39"/>
        <v>99.242759183842722</v>
      </c>
      <c r="U176" s="60">
        <f t="shared" si="39"/>
        <v>99.312907512768135</v>
      </c>
      <c r="V176" s="60">
        <f t="shared" si="39"/>
        <v>96.445576030338742</v>
      </c>
    </row>
    <row r="177" spans="3:22" x14ac:dyDescent="0.2">
      <c r="C177" s="88" t="s">
        <v>130</v>
      </c>
      <c r="D177" s="62">
        <f t="shared" ref="D177:V177" si="40">+IFERROR(IF(D138&gt;0,+((D138/D21)*100)," "),"")</f>
        <v>98.34922151762521</v>
      </c>
      <c r="E177" s="62">
        <f t="shared" si="40"/>
        <v>99.444634435081198</v>
      </c>
      <c r="F177" s="62">
        <f t="shared" si="40"/>
        <v>99.026068412831066</v>
      </c>
      <c r="G177" s="62">
        <f t="shared" si="40"/>
        <v>97.063589504651631</v>
      </c>
      <c r="H177" s="62">
        <f t="shared" si="40"/>
        <v>97.32503528483609</v>
      </c>
      <c r="I177" s="62">
        <f t="shared" si="40"/>
        <v>98.238733740409941</v>
      </c>
      <c r="J177" s="62">
        <f t="shared" si="40"/>
        <v>98.725316620915407</v>
      </c>
      <c r="K177" s="62">
        <f t="shared" si="40"/>
        <v>98.895910199863721</v>
      </c>
      <c r="L177" s="62">
        <f t="shared" si="40"/>
        <v>97.032670933412533</v>
      </c>
      <c r="M177" s="62">
        <f t="shared" si="40"/>
        <v>97.458621388158733</v>
      </c>
      <c r="N177" s="62">
        <f t="shared" si="40"/>
        <v>96.703404113646599</v>
      </c>
      <c r="O177" s="62">
        <f t="shared" si="40"/>
        <v>92.739080374342137</v>
      </c>
      <c r="P177" s="62">
        <f t="shared" si="40"/>
        <v>83.008861389590805</v>
      </c>
      <c r="Q177" s="62">
        <f t="shared" si="40"/>
        <v>95.652975759898979</v>
      </c>
      <c r="R177" s="62">
        <f t="shared" si="40"/>
        <v>95.946207466355602</v>
      </c>
      <c r="S177" s="62">
        <f t="shared" si="40"/>
        <v>98.844783464505554</v>
      </c>
      <c r="T177" s="62">
        <f t="shared" si="40"/>
        <v>94.178231229924108</v>
      </c>
      <c r="U177" s="62">
        <f t="shared" si="40"/>
        <v>97.231008814948112</v>
      </c>
      <c r="V177" s="62">
        <f t="shared" si="40"/>
        <v>95.776017388130214</v>
      </c>
    </row>
    <row r="178" spans="3:22" x14ac:dyDescent="0.2">
      <c r="C178" s="87" t="s">
        <v>131</v>
      </c>
      <c r="D178" s="60">
        <f t="shared" ref="D178:V178" si="41">+IFERROR(IF(D139&gt;0,+((D139/D22)*100)," "),"")</f>
        <v>94.916513184452896</v>
      </c>
      <c r="E178" s="60">
        <f t="shared" si="41"/>
        <v>96.55333126724193</v>
      </c>
      <c r="F178" s="60">
        <f t="shared" si="41"/>
        <v>99.60216579612532</v>
      </c>
      <c r="G178" s="60">
        <f t="shared" si="41"/>
        <v>95.840948306159532</v>
      </c>
      <c r="H178" s="60">
        <f t="shared" si="41"/>
        <v>99.507959581206464</v>
      </c>
      <c r="I178" s="60">
        <f t="shared" si="41"/>
        <v>99.375251532694449</v>
      </c>
      <c r="J178" s="60">
        <f t="shared" si="41"/>
        <v>99.022473220249367</v>
      </c>
      <c r="K178" s="60">
        <f t="shared" si="41"/>
        <v>99.628768843982002</v>
      </c>
      <c r="L178" s="60">
        <f t="shared" si="41"/>
        <v>99.855212152368111</v>
      </c>
      <c r="M178" s="60">
        <f t="shared" si="41"/>
        <v>98.779540623827273</v>
      </c>
      <c r="N178" s="60">
        <f t="shared" si="41"/>
        <v>96.780853397342383</v>
      </c>
      <c r="O178" s="60">
        <f t="shared" si="41"/>
        <v>99.959358672402061</v>
      </c>
      <c r="P178" s="60">
        <f t="shared" si="41"/>
        <v>98.13996938320507</v>
      </c>
      <c r="Q178" s="60">
        <f t="shared" si="41"/>
        <v>99.866187709150594</v>
      </c>
      <c r="R178" s="60">
        <f t="shared" si="41"/>
        <v>99.957622773233638</v>
      </c>
      <c r="S178" s="60">
        <f t="shared" si="41"/>
        <v>99.946464813331716</v>
      </c>
      <c r="T178" s="60">
        <f t="shared" si="41"/>
        <v>99.148376169646383</v>
      </c>
      <c r="U178" s="60">
        <f t="shared" si="41"/>
        <v>99.95786953727989</v>
      </c>
      <c r="V178" s="60">
        <f t="shared" si="41"/>
        <v>99.6628929609019</v>
      </c>
    </row>
    <row r="179" spans="3:22" x14ac:dyDescent="0.2">
      <c r="C179" s="88" t="s">
        <v>132</v>
      </c>
      <c r="D179" s="62">
        <f t="shared" ref="D179:V179" si="42">+IFERROR(IF(D140&gt;0,+((D140/D23)*100)," "),"")</f>
        <v>96.510815789085086</v>
      </c>
      <c r="E179" s="62">
        <f t="shared" si="42"/>
        <v>94.146538230657285</v>
      </c>
      <c r="F179" s="62">
        <f t="shared" si="42"/>
        <v>96.244902511097635</v>
      </c>
      <c r="G179" s="62">
        <f t="shared" si="42"/>
        <v>89.257682579972766</v>
      </c>
      <c r="H179" s="62">
        <f t="shared" si="42"/>
        <v>89.557748499660789</v>
      </c>
      <c r="I179" s="62">
        <f t="shared" si="42"/>
        <v>84.606586466532491</v>
      </c>
      <c r="J179" s="62">
        <f t="shared" si="42"/>
        <v>93.048250493892311</v>
      </c>
      <c r="K179" s="62">
        <f t="shared" si="42"/>
        <v>91.145822393915253</v>
      </c>
      <c r="L179" s="62">
        <f t="shared" si="42"/>
        <v>92.001998915063282</v>
      </c>
      <c r="M179" s="62">
        <f t="shared" si="42"/>
        <v>84.405658172804394</v>
      </c>
      <c r="N179" s="62">
        <f t="shared" si="42"/>
        <v>74.899593119021773</v>
      </c>
      <c r="O179" s="62">
        <f t="shared" si="42"/>
        <v>81.605595080696943</v>
      </c>
      <c r="P179" s="62">
        <f t="shared" si="42"/>
        <v>88.635720510363555</v>
      </c>
      <c r="Q179" s="62">
        <f t="shared" si="42"/>
        <v>89.171186476230304</v>
      </c>
      <c r="R179" s="62">
        <f t="shared" si="42"/>
        <v>94.031735083068213</v>
      </c>
      <c r="S179" s="62">
        <f t="shared" si="42"/>
        <v>93.845691451990803</v>
      </c>
      <c r="T179" s="62">
        <f t="shared" si="42"/>
        <v>97.302164466617853</v>
      </c>
      <c r="U179" s="62">
        <f t="shared" si="42"/>
        <v>97.779430914986463</v>
      </c>
      <c r="V179" s="62">
        <f t="shared" si="42"/>
        <v>96.702334346674647</v>
      </c>
    </row>
    <row r="180" spans="3:22" x14ac:dyDescent="0.2">
      <c r="C180" s="87" t="s">
        <v>133</v>
      </c>
      <c r="D180" s="60">
        <f t="shared" ref="D180:V180" si="43">+IFERROR(IF(D141&gt;0,+((D141/D24)*100)," "),"")</f>
        <v>97.421750562372807</v>
      </c>
      <c r="E180" s="60">
        <f t="shared" si="43"/>
        <v>99.203104766825561</v>
      </c>
      <c r="F180" s="60">
        <f t="shared" si="43"/>
        <v>99.006147997487787</v>
      </c>
      <c r="G180" s="60">
        <f t="shared" si="43"/>
        <v>97.652655413346977</v>
      </c>
      <c r="H180" s="60">
        <f t="shared" si="43"/>
        <v>96.302616591663664</v>
      </c>
      <c r="I180" s="60">
        <f t="shared" si="43"/>
        <v>98.152810710677372</v>
      </c>
      <c r="J180" s="60">
        <f t="shared" si="43"/>
        <v>97.620172027223234</v>
      </c>
      <c r="K180" s="60">
        <f t="shared" si="43"/>
        <v>98.563380174926735</v>
      </c>
      <c r="L180" s="60">
        <f t="shared" si="43"/>
        <v>98.139390311658531</v>
      </c>
      <c r="M180" s="60">
        <f t="shared" si="43"/>
        <v>98.269121527550936</v>
      </c>
      <c r="N180" s="60">
        <f t="shared" si="43"/>
        <v>94.163274675742244</v>
      </c>
      <c r="O180" s="60">
        <f t="shared" si="43"/>
        <v>94.667365690753044</v>
      </c>
      <c r="P180" s="60">
        <f t="shared" si="43"/>
        <v>93.091978234720003</v>
      </c>
      <c r="Q180" s="60">
        <f t="shared" si="43"/>
        <v>95.649973007024556</v>
      </c>
      <c r="R180" s="60">
        <f t="shared" si="43"/>
        <v>91.507903358125915</v>
      </c>
      <c r="S180" s="60">
        <f t="shared" si="43"/>
        <v>91.492350292482953</v>
      </c>
      <c r="T180" s="60">
        <f t="shared" si="43"/>
        <v>96.536542528382313</v>
      </c>
      <c r="U180" s="60">
        <f t="shared" si="43"/>
        <v>99.249900409447406</v>
      </c>
      <c r="V180" s="60">
        <f t="shared" si="43"/>
        <v>93.047231273123515</v>
      </c>
    </row>
    <row r="181" spans="3:22" x14ac:dyDescent="0.2">
      <c r="C181" s="88" t="s">
        <v>134</v>
      </c>
      <c r="D181" s="62">
        <f t="shared" ref="D181:V181" si="44">+IFERROR(IF(D142&gt;0,+((D142/D25)*100)," "),"")</f>
        <v>88.473742840374015</v>
      </c>
      <c r="E181" s="62">
        <f t="shared" si="44"/>
        <v>90.395934855939245</v>
      </c>
      <c r="F181" s="62">
        <f t="shared" si="44"/>
        <v>81.312259202532829</v>
      </c>
      <c r="G181" s="62">
        <f t="shared" si="44"/>
        <v>85.979398467016793</v>
      </c>
      <c r="H181" s="62">
        <f t="shared" si="44"/>
        <v>85.940981336047287</v>
      </c>
      <c r="I181" s="62">
        <f t="shared" si="44"/>
        <v>91.479082518996464</v>
      </c>
      <c r="J181" s="62">
        <f t="shared" si="44"/>
        <v>92.258866715407891</v>
      </c>
      <c r="K181" s="62">
        <f t="shared" si="44"/>
        <v>83.287324461610652</v>
      </c>
      <c r="L181" s="62">
        <f t="shared" si="44"/>
        <v>78.218366006883741</v>
      </c>
      <c r="M181" s="62">
        <f t="shared" si="44"/>
        <v>71.187715547923531</v>
      </c>
      <c r="N181" s="62">
        <f t="shared" si="44"/>
        <v>76.491524209043732</v>
      </c>
      <c r="O181" s="62">
        <f t="shared" si="44"/>
        <v>97.011449400354948</v>
      </c>
      <c r="P181" s="62">
        <f t="shared" si="44"/>
        <v>95.488902900662637</v>
      </c>
      <c r="Q181" s="62">
        <f t="shared" si="44"/>
        <v>87.841030301357463</v>
      </c>
      <c r="R181" s="62">
        <f t="shared" si="44"/>
        <v>75.744382393384456</v>
      </c>
      <c r="S181" s="62">
        <f t="shared" si="44"/>
        <v>95.315399858533411</v>
      </c>
      <c r="T181" s="62">
        <f t="shared" si="44"/>
        <v>91.27237107849804</v>
      </c>
      <c r="U181" s="62">
        <f t="shared" si="44"/>
        <v>93.312796119410407</v>
      </c>
      <c r="V181" s="62">
        <f t="shared" si="44"/>
        <v>87.393921588502607</v>
      </c>
    </row>
    <row r="182" spans="3:22" x14ac:dyDescent="0.2">
      <c r="C182" s="87" t="s">
        <v>135</v>
      </c>
      <c r="D182" s="60" t="str">
        <f t="shared" ref="D182:V182" si="45">+IFERROR(IF(D143&gt;0,+((D143/D26)*100),"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+IFERROR(IF(D144&gt;0,+((D144/D27)*100)," "),"")</f>
        <v>89.974093816936673</v>
      </c>
      <c r="E183" s="62">
        <f t="shared" si="46"/>
        <v>91.857809163005626</v>
      </c>
      <c r="F183" s="62">
        <f t="shared" si="46"/>
        <v>90.514069753726261</v>
      </c>
      <c r="G183" s="62">
        <f t="shared" si="46"/>
        <v>86.272206019076904</v>
      </c>
      <c r="H183" s="62">
        <f t="shared" si="46"/>
        <v>88.845197173634475</v>
      </c>
      <c r="I183" s="62">
        <f t="shared" si="46"/>
        <v>92.111866444339469</v>
      </c>
      <c r="J183" s="62">
        <f t="shared" si="46"/>
        <v>97.880277053589595</v>
      </c>
      <c r="K183" s="62">
        <f t="shared" si="46"/>
        <v>95.055782823202577</v>
      </c>
      <c r="L183" s="62">
        <f t="shared" si="46"/>
        <v>95.156441908547464</v>
      </c>
      <c r="M183" s="62">
        <f t="shared" si="46"/>
        <v>97.885514423043759</v>
      </c>
      <c r="N183" s="62">
        <f t="shared" si="46"/>
        <v>98.12118719049441</v>
      </c>
      <c r="O183" s="62">
        <f t="shared" si="46"/>
        <v>97.227131123163531</v>
      </c>
      <c r="P183" s="62">
        <f t="shared" si="46"/>
        <v>94.440455549186765</v>
      </c>
      <c r="Q183" s="62">
        <f t="shared" si="46"/>
        <v>96.309217987171607</v>
      </c>
      <c r="R183" s="62">
        <f t="shared" si="46"/>
        <v>97.184965823506602</v>
      </c>
      <c r="S183" s="62">
        <f t="shared" si="46"/>
        <v>97.148109805205721</v>
      </c>
      <c r="T183" s="62">
        <f t="shared" si="46"/>
        <v>84.20497797956854</v>
      </c>
      <c r="U183" s="62">
        <f t="shared" si="46"/>
        <v>97.513806000927133</v>
      </c>
      <c r="V183" s="62">
        <f t="shared" si="46"/>
        <v>93.617895823258337</v>
      </c>
    </row>
    <row r="184" spans="3:22" x14ac:dyDescent="0.2">
      <c r="C184" s="87" t="s">
        <v>137</v>
      </c>
      <c r="D184" s="60">
        <f t="shared" ref="D184:V184" si="47">+IFERROR(IF(D145&gt;0,+((D145/D28)*100)," "),"")</f>
        <v>98.700018795357281</v>
      </c>
      <c r="E184" s="60">
        <f t="shared" si="47"/>
        <v>97.026950853447872</v>
      </c>
      <c r="F184" s="60">
        <f t="shared" si="47"/>
        <v>99.11067048937899</v>
      </c>
      <c r="G184" s="60">
        <f t="shared" si="47"/>
        <v>97.128156259048794</v>
      </c>
      <c r="H184" s="60">
        <f t="shared" si="47"/>
        <v>96.401460279466349</v>
      </c>
      <c r="I184" s="60">
        <f t="shared" si="47"/>
        <v>96.109147797122361</v>
      </c>
      <c r="J184" s="60">
        <f t="shared" si="47"/>
        <v>98.529802524125415</v>
      </c>
      <c r="K184" s="60">
        <f t="shared" si="47"/>
        <v>97.349020406603046</v>
      </c>
      <c r="L184" s="60">
        <f t="shared" si="47"/>
        <v>99.363255054116522</v>
      </c>
      <c r="M184" s="60">
        <f t="shared" si="47"/>
        <v>93.716625525862284</v>
      </c>
      <c r="N184" s="60">
        <f t="shared" si="47"/>
        <v>93.350081015666262</v>
      </c>
      <c r="O184" s="60">
        <f t="shared" si="47"/>
        <v>94.371369259654031</v>
      </c>
      <c r="P184" s="60">
        <f t="shared" si="47"/>
        <v>81.523487774340381</v>
      </c>
      <c r="Q184" s="60">
        <f t="shared" si="47"/>
        <v>73.665834594450558</v>
      </c>
      <c r="R184" s="60">
        <f t="shared" si="47"/>
        <v>90.029508519556288</v>
      </c>
      <c r="S184" s="60">
        <f t="shared" si="47"/>
        <v>94.345934506197878</v>
      </c>
      <c r="T184" s="60">
        <f t="shared" si="47"/>
        <v>98.38282696470975</v>
      </c>
      <c r="U184" s="60">
        <f t="shared" si="47"/>
        <v>95.065511288975387</v>
      </c>
      <c r="V184" s="60">
        <f t="shared" si="47"/>
        <v>92.717838461868283</v>
      </c>
    </row>
    <row r="185" spans="3:22" x14ac:dyDescent="0.2">
      <c r="C185" s="88" t="s">
        <v>138</v>
      </c>
      <c r="D185" s="62">
        <f t="shared" ref="D185:V185" si="48">+IFERROR(IF(D146&gt;0,+((D146/D29)*100)," "),"")</f>
        <v>95.141039536462941</v>
      </c>
      <c r="E185" s="62">
        <f t="shared" si="48"/>
        <v>93.979500014446074</v>
      </c>
      <c r="F185" s="62">
        <f t="shared" si="48"/>
        <v>94.776928868212238</v>
      </c>
      <c r="G185" s="62">
        <f t="shared" si="48"/>
        <v>91.939066078074887</v>
      </c>
      <c r="H185" s="62">
        <f t="shared" si="48"/>
        <v>94.076004053946434</v>
      </c>
      <c r="I185" s="62">
        <f t="shared" si="48"/>
        <v>91.486450772702412</v>
      </c>
      <c r="J185" s="62">
        <f t="shared" si="48"/>
        <v>86.779354347697407</v>
      </c>
      <c r="K185" s="62">
        <f t="shared" si="48"/>
        <v>91.634832066681028</v>
      </c>
      <c r="L185" s="62">
        <f t="shared" si="48"/>
        <v>90.384959822690377</v>
      </c>
      <c r="M185" s="62">
        <f t="shared" si="48"/>
        <v>87.262950833161085</v>
      </c>
      <c r="N185" s="62">
        <f t="shared" si="48"/>
        <v>83.779804088227976</v>
      </c>
      <c r="O185" s="62">
        <f t="shared" si="48"/>
        <v>87.872705308304802</v>
      </c>
      <c r="P185" s="62">
        <f t="shared" si="48"/>
        <v>75.711249618663899</v>
      </c>
      <c r="Q185" s="62">
        <f t="shared" si="48"/>
        <v>73.774641725057847</v>
      </c>
      <c r="R185" s="62">
        <f t="shared" si="48"/>
        <v>85.02143304937907</v>
      </c>
      <c r="S185" s="62">
        <f t="shared" si="48"/>
        <v>94.609607096649952</v>
      </c>
      <c r="T185" s="62">
        <f t="shared" si="48"/>
        <v>96.999598580527575</v>
      </c>
      <c r="U185" s="62">
        <f t="shared" si="48"/>
        <v>97.709392107775059</v>
      </c>
      <c r="V185" s="62">
        <f t="shared" si="48"/>
        <v>95.777769940442852</v>
      </c>
    </row>
    <row r="186" spans="3:22" x14ac:dyDescent="0.2">
      <c r="C186" s="87" t="s">
        <v>139</v>
      </c>
      <c r="D186" s="60">
        <f t="shared" ref="D186:V186" si="49">+IFERROR(IF(D147&gt;0,+((D147/D30)*100)," "),"")</f>
        <v>96.698040308710461</v>
      </c>
      <c r="E186" s="60">
        <f t="shared" si="49"/>
        <v>93.558840692494812</v>
      </c>
      <c r="F186" s="60">
        <f t="shared" si="49"/>
        <v>92.16154710161581</v>
      </c>
      <c r="G186" s="60">
        <f t="shared" si="49"/>
        <v>90.008939079464184</v>
      </c>
      <c r="H186" s="60">
        <f t="shared" si="49"/>
        <v>94.010559996427517</v>
      </c>
      <c r="I186" s="60">
        <f t="shared" si="49"/>
        <v>93.986777453418071</v>
      </c>
      <c r="J186" s="60">
        <f t="shared" si="49"/>
        <v>81.968178158530918</v>
      </c>
      <c r="K186" s="60">
        <f t="shared" si="49"/>
        <v>90.096311050975146</v>
      </c>
      <c r="L186" s="60">
        <f t="shared" si="49"/>
        <v>93.039290261331104</v>
      </c>
      <c r="M186" s="60">
        <f t="shared" si="49"/>
        <v>91.276194977059902</v>
      </c>
      <c r="N186" s="60">
        <f t="shared" si="49"/>
        <v>91.27201189746836</v>
      </c>
      <c r="O186" s="60">
        <f t="shared" si="49"/>
        <v>96.138494326998014</v>
      </c>
      <c r="P186" s="60">
        <f t="shared" si="49"/>
        <v>91.336486194969496</v>
      </c>
      <c r="Q186" s="60">
        <f t="shared" si="49"/>
        <v>93.284943263881502</v>
      </c>
      <c r="R186" s="60">
        <f t="shared" si="49"/>
        <v>94.366341916668418</v>
      </c>
      <c r="S186" s="60">
        <f t="shared" si="49"/>
        <v>94.575217524871618</v>
      </c>
      <c r="T186" s="60">
        <f t="shared" si="49"/>
        <v>91.841819942706977</v>
      </c>
      <c r="U186" s="60">
        <f t="shared" si="49"/>
        <v>94.463774355281757</v>
      </c>
      <c r="V186" s="60">
        <f t="shared" si="49"/>
        <v>88.104971053042419</v>
      </c>
    </row>
    <row r="187" spans="3:22" x14ac:dyDescent="0.2">
      <c r="C187" s="88" t="s">
        <v>140</v>
      </c>
      <c r="D187" s="62">
        <f t="shared" ref="D187:V187" si="50">+IFERROR(IF(D148&gt;0,+((D148/D31)*100)," "),"")</f>
        <v>90.565699565942623</v>
      </c>
      <c r="E187" s="62">
        <f t="shared" si="50"/>
        <v>74.443432334025559</v>
      </c>
      <c r="F187" s="62">
        <f t="shared" si="50"/>
        <v>86.089944625193866</v>
      </c>
      <c r="G187" s="62">
        <f t="shared" si="50"/>
        <v>77.500973902814223</v>
      </c>
      <c r="H187" s="62">
        <f t="shared" si="50"/>
        <v>72.606355652028938</v>
      </c>
      <c r="I187" s="62">
        <f t="shared" si="50"/>
        <v>69.472282704947546</v>
      </c>
      <c r="J187" s="62">
        <f t="shared" si="50"/>
        <v>67.025948421896004</v>
      </c>
      <c r="K187" s="62">
        <f t="shared" si="50"/>
        <v>79.628446898250402</v>
      </c>
      <c r="L187" s="62">
        <f t="shared" si="50"/>
        <v>92.007940366709462</v>
      </c>
      <c r="M187" s="62">
        <f t="shared" si="50"/>
        <v>78.447474344821515</v>
      </c>
      <c r="N187" s="62">
        <f t="shared" si="50"/>
        <v>84.431089918913912</v>
      </c>
      <c r="O187" s="62">
        <f t="shared" si="50"/>
        <v>86.412882634169378</v>
      </c>
      <c r="P187" s="62">
        <f t="shared" si="50"/>
        <v>83.141538936948862</v>
      </c>
      <c r="Q187" s="62">
        <f t="shared" si="50"/>
        <v>89.511576095832467</v>
      </c>
      <c r="R187" s="62">
        <f t="shared" si="50"/>
        <v>85.185021053638238</v>
      </c>
      <c r="S187" s="62">
        <f t="shared" si="50"/>
        <v>94.802405363513813</v>
      </c>
      <c r="T187" s="62">
        <f t="shared" si="50"/>
        <v>93.588746299842512</v>
      </c>
      <c r="U187" s="62">
        <f t="shared" si="50"/>
        <v>90.343440012633394</v>
      </c>
      <c r="V187" s="62">
        <f t="shared" si="50"/>
        <v>90.972134566346767</v>
      </c>
    </row>
    <row r="188" spans="3:22" x14ac:dyDescent="0.2">
      <c r="C188" s="87" t="s">
        <v>141</v>
      </c>
      <c r="D188" s="60">
        <f t="shared" ref="D188:V188" si="51">+IFERROR(IF(D149&gt;0,+((D149/D32)*100)," "),"")</f>
        <v>94.153461365488084</v>
      </c>
      <c r="E188" s="60">
        <f t="shared" si="51"/>
        <v>95.042073323746564</v>
      </c>
      <c r="F188" s="60">
        <f t="shared" si="51"/>
        <v>93.886363828961294</v>
      </c>
      <c r="G188" s="60">
        <f t="shared" si="51"/>
        <v>93.207399169280265</v>
      </c>
      <c r="H188" s="60">
        <f t="shared" si="51"/>
        <v>84.67186549493924</v>
      </c>
      <c r="I188" s="60">
        <f t="shared" si="51"/>
        <v>92.271450697241079</v>
      </c>
      <c r="J188" s="60">
        <f t="shared" si="51"/>
        <v>93.534099226716165</v>
      </c>
      <c r="K188" s="60">
        <f t="shared" si="51"/>
        <v>94.498892186106175</v>
      </c>
      <c r="L188" s="60">
        <f t="shared" si="51"/>
        <v>93.456583968767632</v>
      </c>
      <c r="M188" s="60">
        <f t="shared" si="51"/>
        <v>91.318445299572247</v>
      </c>
      <c r="N188" s="60">
        <f t="shared" si="51"/>
        <v>90.760387514733878</v>
      </c>
      <c r="O188" s="60">
        <f t="shared" si="51"/>
        <v>92.824886026130287</v>
      </c>
      <c r="P188" s="60">
        <f t="shared" si="51"/>
        <v>87.907090862889802</v>
      </c>
      <c r="Q188" s="60">
        <f t="shared" si="51"/>
        <v>89.857064235729084</v>
      </c>
      <c r="R188" s="60">
        <f t="shared" si="51"/>
        <v>92.527166636604306</v>
      </c>
      <c r="S188" s="60">
        <f t="shared" si="51"/>
        <v>94.803989207463005</v>
      </c>
      <c r="T188" s="60">
        <f t="shared" si="51"/>
        <v>96.290103969004278</v>
      </c>
      <c r="U188" s="60">
        <f t="shared" si="51"/>
        <v>95.378725721211225</v>
      </c>
      <c r="V188" s="60">
        <f t="shared" si="51"/>
        <v>93.765113161595707</v>
      </c>
    </row>
    <row r="189" spans="3:22" x14ac:dyDescent="0.2">
      <c r="C189" s="88" t="s">
        <v>142</v>
      </c>
      <c r="D189" s="62">
        <f t="shared" ref="D189:V189" si="52">+IFERROR(IF(D150&gt;0,+((D150/D33)*100)," "),"")</f>
        <v>83.125201355609633</v>
      </c>
      <c r="E189" s="62">
        <f t="shared" si="52"/>
        <v>89.502347155784918</v>
      </c>
      <c r="F189" s="62">
        <f t="shared" si="52"/>
        <v>96.982798704610786</v>
      </c>
      <c r="G189" s="62">
        <f t="shared" si="52"/>
        <v>94.252310171654244</v>
      </c>
      <c r="H189" s="62">
        <f t="shared" si="52"/>
        <v>83.735253974320813</v>
      </c>
      <c r="I189" s="62">
        <f t="shared" si="52"/>
        <v>82.68207046193605</v>
      </c>
      <c r="J189" s="62">
        <f t="shared" si="52"/>
        <v>72.903858218193761</v>
      </c>
      <c r="K189" s="62">
        <f t="shared" si="52"/>
        <v>68.99919536868228</v>
      </c>
      <c r="L189" s="62">
        <f t="shared" si="52"/>
        <v>81.58263425280677</v>
      </c>
      <c r="M189" s="62">
        <f t="shared" si="52"/>
        <v>74.374756528913068</v>
      </c>
      <c r="N189" s="62">
        <f t="shared" si="52"/>
        <v>93.235084975488007</v>
      </c>
      <c r="O189" s="62">
        <f t="shared" si="52"/>
        <v>87.385977997054084</v>
      </c>
      <c r="P189" s="62">
        <f t="shared" si="52"/>
        <v>85.789606883035958</v>
      </c>
      <c r="Q189" s="62">
        <f t="shared" si="52"/>
        <v>75.36934359805133</v>
      </c>
      <c r="R189" s="62">
        <f t="shared" si="52"/>
        <v>86.219288004984477</v>
      </c>
      <c r="S189" s="62">
        <f t="shared" si="52"/>
        <v>89.036863664963917</v>
      </c>
      <c r="T189" s="62">
        <f t="shared" si="52"/>
        <v>93.600886404939416</v>
      </c>
      <c r="U189" s="62">
        <f t="shared" si="52"/>
        <v>94.201901672010706</v>
      </c>
      <c r="V189" s="62">
        <f t="shared" si="52"/>
        <v>92.859655059334159</v>
      </c>
    </row>
    <row r="190" spans="3:22" x14ac:dyDescent="0.2">
      <c r="C190" s="87" t="s">
        <v>143</v>
      </c>
      <c r="D190" s="60">
        <f t="shared" ref="D190:V190" si="53">+IFERROR(IF(D151&gt;0,+((D151/D34)*100)," "),"")</f>
        <v>90.376394381790732</v>
      </c>
      <c r="E190" s="60">
        <f t="shared" si="53"/>
        <v>96.804269734742533</v>
      </c>
      <c r="F190" s="60">
        <f t="shared" si="53"/>
        <v>89.141935712377091</v>
      </c>
      <c r="G190" s="60">
        <f t="shared" si="53"/>
        <v>90.843117700184948</v>
      </c>
      <c r="H190" s="60">
        <f t="shared" si="53"/>
        <v>96.305892486568084</v>
      </c>
      <c r="I190" s="60">
        <f t="shared" si="53"/>
        <v>91.929830752980166</v>
      </c>
      <c r="J190" s="60">
        <f t="shared" si="53"/>
        <v>90.9343695010907</v>
      </c>
      <c r="K190" s="60">
        <f t="shared" si="53"/>
        <v>97.826636741948619</v>
      </c>
      <c r="L190" s="60">
        <f t="shared" si="53"/>
        <v>96.60012200350937</v>
      </c>
      <c r="M190" s="60">
        <f t="shared" si="53"/>
        <v>90.750228155494952</v>
      </c>
      <c r="N190" s="60">
        <f t="shared" si="53"/>
        <v>90.692568390897975</v>
      </c>
      <c r="O190" s="60">
        <f t="shared" si="53"/>
        <v>92.898172267618691</v>
      </c>
      <c r="P190" s="60">
        <f t="shared" si="53"/>
        <v>94.089285409682432</v>
      </c>
      <c r="Q190" s="60">
        <f t="shared" si="53"/>
        <v>91.669736279959551</v>
      </c>
      <c r="R190" s="60">
        <f t="shared" si="53"/>
        <v>93.781656467979076</v>
      </c>
      <c r="S190" s="60">
        <f t="shared" si="53"/>
        <v>96.392240598895938</v>
      </c>
      <c r="T190" s="60">
        <f t="shared" si="53"/>
        <v>89.216113310959045</v>
      </c>
      <c r="U190" s="60">
        <f t="shared" si="53"/>
        <v>61.130286986388768</v>
      </c>
      <c r="V190" s="60">
        <f t="shared" si="53"/>
        <v>71.124009104963562</v>
      </c>
    </row>
    <row r="191" spans="3:22" x14ac:dyDescent="0.2">
      <c r="C191" s="88" t="s">
        <v>144</v>
      </c>
      <c r="D191" s="62">
        <f t="shared" ref="D191:V191" si="54">+IFERROR(IF(D152&gt;0,+((D152/D35)*100)," "),"")</f>
        <v>99.263490831027298</v>
      </c>
      <c r="E191" s="62">
        <f t="shared" si="54"/>
        <v>96.940333237019686</v>
      </c>
      <c r="F191" s="62">
        <f t="shared" si="54"/>
        <v>94.633855923103454</v>
      </c>
      <c r="G191" s="62">
        <f t="shared" si="54"/>
        <v>98.299344578135234</v>
      </c>
      <c r="H191" s="62">
        <f t="shared" si="54"/>
        <v>86.51614241010968</v>
      </c>
      <c r="I191" s="62">
        <f t="shared" si="54"/>
        <v>98.716395879100233</v>
      </c>
      <c r="J191" s="62">
        <f t="shared" si="54"/>
        <v>97.095924938266336</v>
      </c>
      <c r="K191" s="62">
        <f t="shared" si="54"/>
        <v>98.892013003037846</v>
      </c>
      <c r="L191" s="62">
        <f t="shared" si="54"/>
        <v>98.618307559200687</v>
      </c>
      <c r="M191" s="62">
        <f t="shared" si="54"/>
        <v>97.171539256583387</v>
      </c>
      <c r="N191" s="62">
        <f t="shared" si="54"/>
        <v>96.97682135283263</v>
      </c>
      <c r="O191" s="62">
        <f t="shared" si="54"/>
        <v>95.967363606577521</v>
      </c>
      <c r="P191" s="62">
        <f t="shared" si="54"/>
        <v>97.957057060319229</v>
      </c>
      <c r="Q191" s="62">
        <f t="shared" si="54"/>
        <v>99.31896347922418</v>
      </c>
      <c r="R191" s="62">
        <f t="shared" si="54"/>
        <v>99.515120965483646</v>
      </c>
      <c r="S191" s="62">
        <f t="shared" si="54"/>
        <v>99.259482759956796</v>
      </c>
      <c r="T191" s="62">
        <f t="shared" si="54"/>
        <v>98.645028234825332</v>
      </c>
      <c r="U191" s="62">
        <f t="shared" si="54"/>
        <v>98.275853250997145</v>
      </c>
      <c r="V191" s="62">
        <f t="shared" si="54"/>
        <v>98.513890170793246</v>
      </c>
    </row>
    <row r="192" spans="3:22" x14ac:dyDescent="0.2">
      <c r="C192" s="87" t="s">
        <v>145</v>
      </c>
      <c r="D192" s="60">
        <f t="shared" ref="D192:V192" si="55">+IFERROR(IF(D153&gt;0,+((D153/D36)*100)," "),"")</f>
        <v>97.148050589711261</v>
      </c>
      <c r="E192" s="60">
        <f t="shared" si="55"/>
        <v>70.466687239107912</v>
      </c>
      <c r="F192" s="60">
        <f t="shared" si="55"/>
        <v>75.225429477842965</v>
      </c>
      <c r="G192" s="60">
        <f t="shared" si="55"/>
        <v>72.042343390081442</v>
      </c>
      <c r="H192" s="60">
        <f t="shared" si="55"/>
        <v>90.220257390305051</v>
      </c>
      <c r="I192" s="60">
        <f t="shared" si="55"/>
        <v>95.299952241084455</v>
      </c>
      <c r="J192" s="60">
        <f t="shared" si="55"/>
        <v>85.985707154253149</v>
      </c>
      <c r="K192" s="60">
        <f t="shared" si="55"/>
        <v>91.287178003935864</v>
      </c>
      <c r="L192" s="60">
        <f t="shared" si="55"/>
        <v>94.391871664950244</v>
      </c>
      <c r="M192" s="60">
        <f t="shared" si="55"/>
        <v>95.997896923727481</v>
      </c>
      <c r="N192" s="60">
        <f t="shared" si="55"/>
        <v>97.054552593965624</v>
      </c>
      <c r="O192" s="60">
        <f t="shared" si="55"/>
        <v>89.261472833968469</v>
      </c>
      <c r="P192" s="60">
        <f t="shared" si="55"/>
        <v>90.822214827347594</v>
      </c>
      <c r="Q192" s="60">
        <f t="shared" si="55"/>
        <v>87.371264119703312</v>
      </c>
      <c r="R192" s="60">
        <f t="shared" si="55"/>
        <v>93.630679118357008</v>
      </c>
      <c r="S192" s="60">
        <f t="shared" si="55"/>
        <v>91.248203722195356</v>
      </c>
      <c r="T192" s="60">
        <f t="shared" si="55"/>
        <v>93.760275565230657</v>
      </c>
      <c r="U192" s="60">
        <f t="shared" si="55"/>
        <v>94.35884198785206</v>
      </c>
      <c r="V192" s="60">
        <f t="shared" si="55"/>
        <v>97.196602758159372</v>
      </c>
    </row>
    <row r="193" spans="3:22" x14ac:dyDescent="0.2">
      <c r="C193" s="88" t="s">
        <v>146</v>
      </c>
      <c r="D193" s="62">
        <f t="shared" ref="D193:V193" si="56">+IFERROR(IF(D154&gt;0,+((D154/D37)*100)," "),"")</f>
        <v>92.626159347755362</v>
      </c>
      <c r="E193" s="62">
        <f t="shared" si="56"/>
        <v>93.68289348172263</v>
      </c>
      <c r="F193" s="62">
        <f t="shared" si="56"/>
        <v>92.61043827030646</v>
      </c>
      <c r="G193" s="62">
        <f t="shared" si="56"/>
        <v>97.715805492638168</v>
      </c>
      <c r="H193" s="62">
        <f t="shared" si="56"/>
        <v>90.766909050807669</v>
      </c>
      <c r="I193" s="62">
        <f t="shared" si="56"/>
        <v>86.069159226004615</v>
      </c>
      <c r="J193" s="62">
        <f t="shared" si="56"/>
        <v>90.058383449687938</v>
      </c>
      <c r="K193" s="62">
        <f t="shared" si="56"/>
        <v>84.801641951077329</v>
      </c>
      <c r="L193" s="62">
        <f t="shared" si="56"/>
        <v>90.956836669415367</v>
      </c>
      <c r="M193" s="62">
        <f t="shared" si="56"/>
        <v>93.928560195893056</v>
      </c>
      <c r="N193" s="62">
        <f t="shared" si="56"/>
        <v>83.279536394248836</v>
      </c>
      <c r="O193" s="62">
        <f t="shared" si="56"/>
        <v>96.389794678095015</v>
      </c>
      <c r="P193" s="62">
        <f t="shared" si="56"/>
        <v>96.277260692892824</v>
      </c>
      <c r="Q193" s="62">
        <f t="shared" si="56"/>
        <v>98.78956828614389</v>
      </c>
      <c r="R193" s="62">
        <f t="shared" si="56"/>
        <v>97.988715486372342</v>
      </c>
      <c r="S193" s="62">
        <f t="shared" si="56"/>
        <v>98.690884198703969</v>
      </c>
      <c r="T193" s="62">
        <f t="shared" si="56"/>
        <v>97.50014542001594</v>
      </c>
      <c r="U193" s="62">
        <f t="shared" si="56"/>
        <v>96.018848064060677</v>
      </c>
      <c r="V193" s="62">
        <f t="shared" si="56"/>
        <v>92.419439470017636</v>
      </c>
    </row>
    <row r="194" spans="3:22" x14ac:dyDescent="0.2">
      <c r="C194" s="90" t="s">
        <v>147</v>
      </c>
      <c r="D194" s="61">
        <f t="shared" ref="D194:V194" si="57">+IFERROR(IF(D155&gt;0,+((D155/D38)*100)," "),"")</f>
        <v>96.891741419831774</v>
      </c>
      <c r="E194" s="61">
        <f t="shared" si="57"/>
        <v>98.176519670314292</v>
      </c>
      <c r="F194" s="61">
        <f t="shared" si="57"/>
        <v>98.708838293481406</v>
      </c>
      <c r="G194" s="61">
        <f t="shared" si="57"/>
        <v>96.648496560686468</v>
      </c>
      <c r="H194" s="61">
        <f t="shared" si="57"/>
        <v>92.576896322414967</v>
      </c>
      <c r="I194" s="61">
        <f t="shared" si="57"/>
        <v>93.522353590461023</v>
      </c>
      <c r="J194" s="61">
        <f t="shared" si="57"/>
        <v>95.707671980432735</v>
      </c>
      <c r="K194" s="61">
        <f t="shared" si="57"/>
        <v>97.41033710548578</v>
      </c>
      <c r="L194" s="61">
        <f t="shared" si="57"/>
        <v>99.709426566378895</v>
      </c>
      <c r="M194" s="61">
        <f t="shared" si="57"/>
        <v>94.726803253479034</v>
      </c>
      <c r="N194" s="61">
        <f t="shared" si="57"/>
        <v>86.704105423969509</v>
      </c>
      <c r="O194" s="61">
        <f t="shared" si="57"/>
        <v>98.852693950091378</v>
      </c>
      <c r="P194" s="61">
        <f t="shared" si="57"/>
        <v>98.089918321824214</v>
      </c>
      <c r="Q194" s="61">
        <f t="shared" si="57"/>
        <v>98.840735414450478</v>
      </c>
      <c r="R194" s="61">
        <f t="shared" si="57"/>
        <v>94.485541121061743</v>
      </c>
      <c r="S194" s="61">
        <f t="shared" si="57"/>
        <v>86.978122632100025</v>
      </c>
      <c r="T194" s="61">
        <f t="shared" si="57"/>
        <v>89.215897029136499</v>
      </c>
      <c r="U194" s="61">
        <f t="shared" si="57"/>
        <v>92.772527136357965</v>
      </c>
      <c r="V194" s="61">
        <f t="shared" si="57"/>
        <v>90.695129272485033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+IFERROR(IF(D156&gt;0,+((D156/D39)*100),"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>
        <f t="shared" si="58"/>
        <v>59.926249401054143</v>
      </c>
      <c r="V195" s="63">
        <f t="shared" si="58"/>
        <v>77.857542494365092</v>
      </c>
    </row>
    <row r="196" spans="3:22" x14ac:dyDescent="0.2">
      <c r="C196" s="87" t="s">
        <v>149</v>
      </c>
      <c r="D196" s="60">
        <f t="shared" ref="D196:V196" si="59">+IFERROR(IF(D157&gt;0,+((D157/D40)*100)," "),"")</f>
        <v>75.755486168337981</v>
      </c>
      <c r="E196" s="60">
        <f t="shared" si="59"/>
        <v>83.26061861660078</v>
      </c>
      <c r="F196" s="60">
        <f t="shared" si="59"/>
        <v>87.917278677386889</v>
      </c>
      <c r="G196" s="60">
        <f t="shared" si="59"/>
        <v>89.902468378735065</v>
      </c>
      <c r="H196" s="60">
        <f t="shared" si="59"/>
        <v>90.042910928175729</v>
      </c>
      <c r="I196" s="60">
        <f t="shared" si="59"/>
        <v>86.42148663640927</v>
      </c>
      <c r="J196" s="60">
        <f t="shared" si="59"/>
        <v>67.790865185200701</v>
      </c>
      <c r="K196" s="60">
        <f t="shared" si="59"/>
        <v>95.063533800782423</v>
      </c>
      <c r="L196" s="60">
        <f t="shared" si="59"/>
        <v>92.067951963293069</v>
      </c>
      <c r="M196" s="60">
        <f t="shared" si="59"/>
        <v>31.145675758440412</v>
      </c>
      <c r="N196" s="60">
        <f t="shared" si="59"/>
        <v>79.277878541012399</v>
      </c>
      <c r="O196" s="60">
        <f t="shared" si="59"/>
        <v>90.441765182425755</v>
      </c>
      <c r="P196" s="60">
        <f t="shared" si="59"/>
        <v>77.652717509345507</v>
      </c>
      <c r="Q196" s="60">
        <f t="shared" si="59"/>
        <v>58.589071892760636</v>
      </c>
      <c r="R196" s="60">
        <f t="shared" si="59"/>
        <v>49.85731743683364</v>
      </c>
      <c r="S196" s="60">
        <f t="shared" si="59"/>
        <v>82.545760018256146</v>
      </c>
      <c r="T196" s="60">
        <f t="shared" si="59"/>
        <v>93.562717896167342</v>
      </c>
      <c r="U196" s="60">
        <f t="shared" si="59"/>
        <v>95.085399528129756</v>
      </c>
      <c r="V196" s="60">
        <f t="shared" si="59"/>
        <v>90.691543500879362</v>
      </c>
    </row>
    <row r="197" spans="3:22" x14ac:dyDescent="0.2">
      <c r="C197" s="88" t="s">
        <v>150</v>
      </c>
      <c r="D197" s="62">
        <f t="shared" ref="D197:V197" si="60">+IFERROR(IF(D158&gt;0,+((D158/D41)*100)," "),"")</f>
        <v>86.957057821452636</v>
      </c>
      <c r="E197" s="62">
        <f t="shared" si="60"/>
        <v>87.400434981976957</v>
      </c>
      <c r="F197" s="62">
        <f t="shared" si="60"/>
        <v>34.670534624005889</v>
      </c>
      <c r="G197" s="62">
        <f t="shared" si="60"/>
        <v>86.146366515959286</v>
      </c>
      <c r="H197" s="62">
        <f t="shared" si="60"/>
        <v>87.773863826191601</v>
      </c>
      <c r="I197" s="62">
        <f t="shared" si="60"/>
        <v>78.578417892879969</v>
      </c>
      <c r="J197" s="62">
        <f t="shared" si="60"/>
        <v>65.09139323872175</v>
      </c>
      <c r="K197" s="62">
        <f t="shared" si="60"/>
        <v>82.000561018430616</v>
      </c>
      <c r="L197" s="62">
        <f t="shared" si="60"/>
        <v>96.011585878649825</v>
      </c>
      <c r="M197" s="62">
        <f t="shared" si="60"/>
        <v>90.272888561793835</v>
      </c>
      <c r="N197" s="62">
        <f t="shared" si="60"/>
        <v>75.480283655974276</v>
      </c>
      <c r="O197" s="62">
        <f t="shared" si="60"/>
        <v>81.318896343710804</v>
      </c>
      <c r="P197" s="62">
        <f t="shared" si="60"/>
        <v>86.133593914345326</v>
      </c>
      <c r="Q197" s="62">
        <f t="shared" si="60"/>
        <v>88.122982100836438</v>
      </c>
      <c r="R197" s="62">
        <f t="shared" si="60"/>
        <v>89.623223793899598</v>
      </c>
      <c r="S197" s="62">
        <f t="shared" si="60"/>
        <v>87.415262435793494</v>
      </c>
      <c r="T197" s="62">
        <f t="shared" si="60"/>
        <v>91.909530573607384</v>
      </c>
      <c r="U197" s="62">
        <f t="shared" si="60"/>
        <v>91.862206382640252</v>
      </c>
      <c r="V197" s="62">
        <f t="shared" si="60"/>
        <v>92.926475319178493</v>
      </c>
    </row>
    <row r="198" spans="3:22" x14ac:dyDescent="0.2">
      <c r="C198" s="87" t="s">
        <v>151</v>
      </c>
      <c r="D198" s="60">
        <f t="shared" ref="D198:V198" si="61">+IFERROR(IF(D159&gt;0,+((D159/D42)*100)," "),"")</f>
        <v>80.892808347431995</v>
      </c>
      <c r="E198" s="60">
        <f t="shared" si="61"/>
        <v>84.453621619178747</v>
      </c>
      <c r="F198" s="60">
        <f t="shared" si="61"/>
        <v>87.140406198403369</v>
      </c>
      <c r="G198" s="60">
        <f t="shared" si="61"/>
        <v>87.103591288613814</v>
      </c>
      <c r="H198" s="60">
        <f t="shared" si="61"/>
        <v>90.30855451124981</v>
      </c>
      <c r="I198" s="60">
        <f t="shared" si="61"/>
        <v>76.257676700250087</v>
      </c>
      <c r="J198" s="60">
        <f t="shared" si="61"/>
        <v>77.311712916042509</v>
      </c>
      <c r="K198" s="60">
        <f t="shared" si="61"/>
        <v>83.053409534910415</v>
      </c>
      <c r="L198" s="60">
        <f t="shared" si="61"/>
        <v>81.411518646117969</v>
      </c>
      <c r="M198" s="60">
        <f t="shared" si="61"/>
        <v>91.783631067508935</v>
      </c>
      <c r="N198" s="60">
        <f t="shared" si="61"/>
        <v>73.296600735750957</v>
      </c>
      <c r="O198" s="60">
        <f t="shared" si="61"/>
        <v>98.235080078438557</v>
      </c>
      <c r="P198" s="60">
        <f t="shared" si="61"/>
        <v>99.260628206933106</v>
      </c>
      <c r="Q198" s="60">
        <f t="shared" si="61"/>
        <v>99.654572508100074</v>
      </c>
      <c r="R198" s="60">
        <f t="shared" si="61"/>
        <v>99.619142831391358</v>
      </c>
      <c r="S198" s="60">
        <f t="shared" si="61"/>
        <v>99.066646912329944</v>
      </c>
      <c r="T198" s="60">
        <f t="shared" si="61"/>
        <v>99.895084455319179</v>
      </c>
      <c r="U198" s="60">
        <f t="shared" si="61"/>
        <v>99.934895464106205</v>
      </c>
      <c r="V198" s="60">
        <f t="shared" si="61"/>
        <v>99.690632090109304</v>
      </c>
    </row>
    <row r="199" spans="3:22" x14ac:dyDescent="0.2">
      <c r="C199" s="91" t="s">
        <v>179</v>
      </c>
      <c r="D199" s="64">
        <f t="shared" ref="D199:V199" si="62">+IFERROR(IF(D160&gt;0,+((D160/D43)*100)," "),"")</f>
        <v>94.051309074160329</v>
      </c>
      <c r="E199" s="64">
        <f t="shared" si="62"/>
        <v>94.907577082778232</v>
      </c>
      <c r="F199" s="64">
        <f t="shared" si="62"/>
        <v>93.999517285764426</v>
      </c>
      <c r="G199" s="64">
        <f t="shared" si="62"/>
        <v>93.739976043077078</v>
      </c>
      <c r="H199" s="64">
        <f t="shared" si="62"/>
        <v>93.440805797927766</v>
      </c>
      <c r="I199" s="64">
        <f t="shared" si="62"/>
        <v>94.540372470062991</v>
      </c>
      <c r="J199" s="64">
        <f t="shared" si="62"/>
        <v>95.061710012407175</v>
      </c>
      <c r="K199" s="64">
        <f t="shared" si="62"/>
        <v>95.902687494738529</v>
      </c>
      <c r="L199" s="64">
        <f t="shared" si="62"/>
        <v>96.619088386185737</v>
      </c>
      <c r="M199" s="64">
        <f t="shared" si="62"/>
        <v>93.829034090984877</v>
      </c>
      <c r="N199" s="64">
        <f t="shared" si="62"/>
        <v>91.37004370949289</v>
      </c>
      <c r="O199" s="64">
        <f t="shared" si="62"/>
        <v>98.167833618276845</v>
      </c>
      <c r="P199" s="64">
        <f t="shared" si="62"/>
        <v>97.370048114617433</v>
      </c>
      <c r="Q199" s="64">
        <f t="shared" si="62"/>
        <v>97.150172883544883</v>
      </c>
      <c r="R199" s="64">
        <f t="shared" si="62"/>
        <v>94.174839394848277</v>
      </c>
      <c r="S199" s="64">
        <f t="shared" si="62"/>
        <v>95.082502879841385</v>
      </c>
      <c r="T199" s="64">
        <f t="shared" si="62"/>
        <v>95.109222318098901</v>
      </c>
      <c r="U199" s="64">
        <f t="shared" si="62"/>
        <v>96.105148202470019</v>
      </c>
      <c r="V199" s="64">
        <f t="shared" si="62"/>
        <v>94.210779301931026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64" t="s">
        <v>192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81" t="s">
        <v>120</v>
      </c>
      <c r="D206" s="155">
        <v>2000</v>
      </c>
      <c r="E206" s="155">
        <v>2001</v>
      </c>
      <c r="F206" s="155">
        <v>2002</v>
      </c>
      <c r="G206" s="155">
        <v>2003</v>
      </c>
      <c r="H206" s="155">
        <v>2004</v>
      </c>
      <c r="I206" s="155">
        <v>2005</v>
      </c>
      <c r="J206" s="155">
        <v>2006</v>
      </c>
      <c r="K206" s="155">
        <v>2007</v>
      </c>
      <c r="L206" s="155">
        <v>2008</v>
      </c>
      <c r="M206" s="155">
        <v>2009</v>
      </c>
      <c r="N206" s="155">
        <v>2010</v>
      </c>
      <c r="O206" s="155">
        <v>2011</v>
      </c>
      <c r="P206" s="155">
        <v>2012</v>
      </c>
      <c r="Q206" s="155">
        <v>2013</v>
      </c>
      <c r="R206" s="155">
        <v>2014</v>
      </c>
      <c r="S206" s="155">
        <v>2015</v>
      </c>
      <c r="T206" s="155">
        <v>2016</v>
      </c>
      <c r="U206" s="155">
        <v>2017</v>
      </c>
      <c r="V206" s="155">
        <v>2018</v>
      </c>
    </row>
    <row r="207" spans="3:22" ht="15.75" customHeight="1" thickBot="1" x14ac:dyDescent="0.25">
      <c r="C207" s="162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</row>
    <row r="208" spans="3:22" x14ac:dyDescent="0.2">
      <c r="C208" s="87" t="s">
        <v>123</v>
      </c>
      <c r="D208" s="56">
        <f>190.81191992049*Deflactores!$A$5</f>
        <v>712.09397543439854</v>
      </c>
      <c r="E208" s="56">
        <f>209.73321253941*Deflactores!$B$5</f>
        <v>727.09612029392144</v>
      </c>
      <c r="F208" s="56">
        <f>205.30808789014*Deflactores!$C$5</f>
        <v>665.24254816429084</v>
      </c>
      <c r="G208" s="56">
        <f>240.0807341775*Deflactores!$D$5</f>
        <v>730.49439821134581</v>
      </c>
      <c r="H208" s="56">
        <f>220.86262768081*Deflactores!$E$5</f>
        <v>637.00343618443219</v>
      </c>
      <c r="I208" s="56">
        <f>234.80758071328*Deflactores!$F$5</f>
        <v>645.86511013205654</v>
      </c>
      <c r="J208" s="56">
        <f>317.7859931594*Deflactores!$G$5</f>
        <v>836.6423146070299</v>
      </c>
      <c r="K208" s="56">
        <f>394.45126918492*Deflactores!$H$5</f>
        <v>982.53086769534661</v>
      </c>
      <c r="L208" s="56">
        <f>687.23236389085*Deflactores!$I$5</f>
        <v>1589.8058989776393</v>
      </c>
      <c r="M208" s="56">
        <f>319.81854770821*Deflactores!$J$5</f>
        <v>725.33106406150648</v>
      </c>
      <c r="N208" s="56">
        <f>380.49384098087*Deflactores!$K$5</f>
        <v>836.41475707977906</v>
      </c>
      <c r="O208" s="56">
        <f>267.38194129043*Deflactores!$L$5</f>
        <v>566.65095904013265</v>
      </c>
      <c r="P208" s="56">
        <f>328.90855245094*Deflactores!$M$5</f>
        <v>680.43892944593847</v>
      </c>
      <c r="Q208" s="56">
        <f>1140.51579363006*Deflactores!$N$5</f>
        <v>2314.571816769364</v>
      </c>
      <c r="R208" s="56">
        <f>350.46455353008*Deflactores!$O$5</f>
        <v>686.12343289206501</v>
      </c>
      <c r="S208" s="56">
        <f>471.155924374379*Deflactores!$P$5</f>
        <v>863.92007550361643</v>
      </c>
      <c r="T208" s="56">
        <f>459.73960827667*Deflactores!$Q$5</f>
        <v>797.15074287440405</v>
      </c>
      <c r="U208" s="56">
        <f>485.80056465561*Deflactores!$R$5</f>
        <v>809.2403708456992</v>
      </c>
      <c r="V208" s="56">
        <f>532.932947303866*Deflactores!$S$5</f>
        <v>860.39241266750184</v>
      </c>
    </row>
    <row r="209" spans="3:22" x14ac:dyDescent="0.2">
      <c r="C209" s="88" t="s">
        <v>124</v>
      </c>
      <c r="D209" s="57">
        <f>77.9205900544899*Deflactores!$A$5</f>
        <v>290.79306346907856</v>
      </c>
      <c r="E209" s="57">
        <f>86.69498750176*Deflactores!$B$5</f>
        <v>300.55129704178336</v>
      </c>
      <c r="F209" s="57">
        <f>88.51588976996*Deflactores!$C$5</f>
        <v>286.81060093018198</v>
      </c>
      <c r="G209" s="57">
        <f>93.3216623667799*Deflactores!$D$5</f>
        <v>283.95011296617469</v>
      </c>
      <c r="H209" s="57">
        <f>98.6642969653599*Deflactores!$E$5</f>
        <v>284.56374378776934</v>
      </c>
      <c r="I209" s="57">
        <f>107.57368463658*Deflactores!$F$5</f>
        <v>295.89372482805186</v>
      </c>
      <c r="J209" s="57">
        <f>111.37607583569*Deflactores!$G$5</f>
        <v>293.22229388593649</v>
      </c>
      <c r="K209" s="57">
        <f>119.61262557922*Deflactores!$H$5</f>
        <v>297.9407241875914</v>
      </c>
      <c r="L209" s="57">
        <f>1042.77443049745*Deflactores!$I$5</f>
        <v>2412.2975401245753</v>
      </c>
      <c r="M209" s="57">
        <f>1250.18980882238*Deflactores!$J$5</f>
        <v>2835.3624604015104</v>
      </c>
      <c r="N209" s="57">
        <f>1349.56004971954*Deflactores!$K$5</f>
        <v>2966.6497051327979</v>
      </c>
      <c r="O209" s="57">
        <f>1088.63916073869*Deflactores!$L$5</f>
        <v>2307.1057884614988</v>
      </c>
      <c r="P209" s="57">
        <f>186.45614076496*Deflactores!$M$5</f>
        <v>385.73644821733484</v>
      </c>
      <c r="Q209" s="57">
        <f>211.32842344426*Deflactores!$N$5</f>
        <v>428.87158224223867</v>
      </c>
      <c r="R209" s="57">
        <f>234.06842265035*Deflactores!$O$5</f>
        <v>458.2484250199779</v>
      </c>
      <c r="S209" s="57">
        <f>233.97042085248*Deflactores!$P$5</f>
        <v>429.01242071165001</v>
      </c>
      <c r="T209" s="57">
        <f>246.41467479507*Deflactores!$Q$5</f>
        <v>427.26281906481705</v>
      </c>
      <c r="U209" s="57">
        <f>260.13502856489*Deflactores!$R$5</f>
        <v>433.32960540101988</v>
      </c>
      <c r="V209" s="57">
        <f>276.37884380539*Deflactores!$S$5</f>
        <v>446.1992103040111</v>
      </c>
    </row>
    <row r="210" spans="3:22" x14ac:dyDescent="0.2">
      <c r="C210" s="87" t="s">
        <v>125</v>
      </c>
      <c r="D210" s="56">
        <f>6.33798051839999*Deflactores!$A$5</f>
        <v>23.652808196960937</v>
      </c>
      <c r="E210" s="56">
        <f>3.554264065*Deflactores!$B$5</f>
        <v>12.321804357409533</v>
      </c>
      <c r="F210" s="56">
        <f>3.972081537*Deflactores!$C$5</f>
        <v>12.870402088612094</v>
      </c>
      <c r="G210" s="56">
        <f>4.39576342712*Deflactores!$D$5</f>
        <v>13.375003081252679</v>
      </c>
      <c r="H210" s="56">
        <f>4.455573171*Deflactores!$E$5</f>
        <v>12.850591564091809</v>
      </c>
      <c r="I210" s="56">
        <f>4.629562808*Deflactores!$F$5</f>
        <v>12.734142073987492</v>
      </c>
      <c r="J210" s="56">
        <f>4.7170987258*Deflactores!$G$5</f>
        <v>12.41881165669761</v>
      </c>
      <c r="K210" s="56">
        <f>4.955500806*Deflactores!$H$5</f>
        <v>12.343558982191025</v>
      </c>
      <c r="L210" s="56">
        <f>5.143187316*Deflactores!$I$5</f>
        <v>11.897969251958038</v>
      </c>
      <c r="M210" s="56">
        <f>6.442328415*Deflactores!$J$5</f>
        <v>14.610850301743376</v>
      </c>
      <c r="N210" s="56">
        <f>8.76900223808*Deflactores!$K$5</f>
        <v>19.276324835871598</v>
      </c>
      <c r="O210" s="56">
        <f>9.162576116*Deflactores!$L$5</f>
        <v>19.417850429061275</v>
      </c>
      <c r="P210" s="56">
        <f>11.89081820297*Deflactores!$M$5</f>
        <v>24.599468599929562</v>
      </c>
      <c r="Q210" s="56">
        <f>15.49360572838*Deflactores!$N$5</f>
        <v>31.442846613202352</v>
      </c>
      <c r="R210" s="56">
        <f>19.91089945656*Deflactores!$O$5</f>
        <v>38.980645972606638</v>
      </c>
      <c r="S210" s="56">
        <f>19.39479378514*Deflactores!$P$5</f>
        <v>35.562646768124495</v>
      </c>
      <c r="T210" s="56">
        <f>20.15224293803*Deflactores!$Q$5</f>
        <v>34.942335051037368</v>
      </c>
      <c r="U210" s="56">
        <f>21.13743153684*Deflactores!$R$5</f>
        <v>35.210463264331757</v>
      </c>
      <c r="V210" s="56">
        <f>21.83056839667*Deflactores!$S$5</f>
        <v>35.244312643339484</v>
      </c>
    </row>
    <row r="211" spans="3:22" x14ac:dyDescent="0.2">
      <c r="C211" s="88" t="s">
        <v>126</v>
      </c>
      <c r="D211" s="57">
        <f>91.84214100567*Deflactores!$A$5</f>
        <v>342.74711626184552</v>
      </c>
      <c r="E211" s="57">
        <f>106.328685986959*Deflactores!$B$5</f>
        <v>368.61674944563845</v>
      </c>
      <c r="F211" s="57">
        <f>108.334963511579*Deflactores!$C$5</f>
        <v>351.02868046918979</v>
      </c>
      <c r="G211" s="57">
        <f>105.580068922059*Deflactores!$D$5</f>
        <v>321.24880480126421</v>
      </c>
      <c r="H211" s="57">
        <f>104.20152409346*Deflactores!$E$5</f>
        <v>300.53399979971431</v>
      </c>
      <c r="I211" s="57">
        <f>119.12197498223*Deflactores!$F$5</f>
        <v>327.6586184199578</v>
      </c>
      <c r="J211" s="57">
        <f>152.31987986323*Deflactores!$G$5</f>
        <v>401.0159654378333</v>
      </c>
      <c r="K211" s="57">
        <f>170.588728237069*Deflactores!$H$5</f>
        <v>424.91609044674561</v>
      </c>
      <c r="L211" s="57">
        <f>151.494195207539*Deflactores!$I$5</f>
        <v>350.45841531419501</v>
      </c>
      <c r="M211" s="57">
        <f>180.295183787739*Deflactores!$J$5</f>
        <v>408.89966651101935</v>
      </c>
      <c r="N211" s="57">
        <f>130.76485644268*Deflactores!$K$5</f>
        <v>287.45184246379256</v>
      </c>
      <c r="O211" s="57">
        <f>247.571045715879*Deflactores!$L$5</f>
        <v>524.66658671272205</v>
      </c>
      <c r="P211" s="57">
        <f>321.859467761919*Deflactores!$M$5</f>
        <v>665.85593486088078</v>
      </c>
      <c r="Q211" s="57">
        <f>424.311254813609*Deflactores!$N$5</f>
        <v>861.10063307740506</v>
      </c>
      <c r="R211" s="57">
        <f>375.688677383497*Deflactores!$O$5</f>
        <v>735.50606595916531</v>
      </c>
      <c r="S211" s="57">
        <f>353.804253219889*Deflactores!$P$5</f>
        <v>648.74191608880585</v>
      </c>
      <c r="T211" s="57">
        <f>351.65991617186*Deflactores!$Q$5</f>
        <v>609.74942852182846</v>
      </c>
      <c r="U211" s="57">
        <f>387.921177734899*Deflactores!$R$5</f>
        <v>646.19413925883941</v>
      </c>
      <c r="V211" s="57">
        <f>374.499325710399*Deflactores!$S$5</f>
        <v>604.60960430469038</v>
      </c>
    </row>
    <row r="212" spans="3:22" x14ac:dyDescent="0.2">
      <c r="C212" s="87" t="s">
        <v>127</v>
      </c>
      <c r="D212" s="56">
        <f>162.36267304875*Deflactores!$A$5</f>
        <v>605.92378799823859</v>
      </c>
      <c r="E212" s="56">
        <f>176.212293919919*Deflactores!$B$5</f>
        <v>610.88691536248803</v>
      </c>
      <c r="F212" s="56">
        <f>183.29421470424*Deflactores!$C$5</f>
        <v>593.91284438277228</v>
      </c>
      <c r="G212" s="56">
        <f>202.09252200271*Deflactores!$D$5</f>
        <v>614.90754661820017</v>
      </c>
      <c r="H212" s="56">
        <f>212.161283088139*Deflactores!$E$5</f>
        <v>611.9073551355068</v>
      </c>
      <c r="I212" s="56">
        <f>231.94569825457*Deflactores!$F$5</f>
        <v>637.99317506179671</v>
      </c>
      <c r="J212" s="56">
        <f>242.99062646452*Deflactores!$G$5</f>
        <v>639.72687446647717</v>
      </c>
      <c r="K212" s="56">
        <f>268.66944381075*Deflactores!$H$5</f>
        <v>669.22340571009693</v>
      </c>
      <c r="L212" s="56">
        <f>289.04270815675*Deflactores!$I$5</f>
        <v>668.65564928059337</v>
      </c>
      <c r="M212" s="56">
        <f>316.38868377417*Deflactores!$J$5</f>
        <v>717.55231928672492</v>
      </c>
      <c r="N212" s="56">
        <f>328.81422351707*Deflactores!$K$5</f>
        <v>722.81082967972043</v>
      </c>
      <c r="O212" s="56">
        <f>345.454967359439*Deflactores!$L$5</f>
        <v>732.1077392686658</v>
      </c>
      <c r="P212" s="56">
        <f>367.166575577604*Deflactores!$M$5</f>
        <v>759.58630370860124</v>
      </c>
      <c r="Q212" s="56">
        <f>382.795632382603*Deflactores!$N$5</f>
        <v>776.84849893675948</v>
      </c>
      <c r="R212" s="56">
        <f>396.431686182995*Deflactores!$O$5</f>
        <v>776.11577744829128</v>
      </c>
      <c r="S212" s="56">
        <f>406.117934026556*Deflactores!$P$5</f>
        <v>744.66523305097598</v>
      </c>
      <c r="T212" s="56">
        <f>433.734510099165*Deflactores!$Q$5</f>
        <v>752.06003727166922</v>
      </c>
      <c r="U212" s="56">
        <f>469.19364448913*Deflactores!$R$5</f>
        <v>781.57677551074062</v>
      </c>
      <c r="V212" s="56">
        <f>494.88406861495*Deflactores!$S$5</f>
        <v>798.96448500780775</v>
      </c>
    </row>
    <row r="213" spans="3:22" x14ac:dyDescent="0.2">
      <c r="C213" s="88" t="s">
        <v>128</v>
      </c>
      <c r="D213" s="57">
        <f>32.86034452761*Deflactores!$A$5</f>
        <v>122.63203147141051</v>
      </c>
      <c r="E213" s="57">
        <f>38.2875147046499*Deflactores!$B$5</f>
        <v>132.73388158404509</v>
      </c>
      <c r="F213" s="57">
        <f>37.19979481571*Deflactores!$C$5</f>
        <v>120.53536978842116</v>
      </c>
      <c r="G213" s="57">
        <f>44.18954541571*Deflactores!$D$5</f>
        <v>134.45566757479227</v>
      </c>
      <c r="H213" s="57">
        <f>47.95293273514*Deflactores!$E$5</f>
        <v>138.30399125537153</v>
      </c>
      <c r="I213" s="57">
        <f>60.60692285921*Deflactores!$F$5</f>
        <v>166.70627408331737</v>
      </c>
      <c r="J213" s="57">
        <f>66.81997903808*Deflactores!$G$5</f>
        <v>175.91845810639956</v>
      </c>
      <c r="K213" s="57">
        <f>75.80015068328*Deflactores!$H$5</f>
        <v>188.80909668810452</v>
      </c>
      <c r="L213" s="57">
        <f>91.07809049364*Deflactores!$I$5</f>
        <v>210.69509112554758</v>
      </c>
      <c r="M213" s="57">
        <f>91.79113710796*Deflactores!$J$5</f>
        <v>208.17730437159108</v>
      </c>
      <c r="N213" s="57">
        <f>101.32260183592*Deflactores!$K$5</f>
        <v>222.73085730589537</v>
      </c>
      <c r="O213" s="57">
        <f>110.415107144769*Deflactores!$L$5</f>
        <v>233.99795084942676</v>
      </c>
      <c r="P213" s="57">
        <f>135.706278626989*Deflactores!$M$5</f>
        <v>280.74622645093433</v>
      </c>
      <c r="Q213" s="57">
        <f>195.719251468519*Deflactores!$N$5</f>
        <v>397.19420456808518</v>
      </c>
      <c r="R213" s="57">
        <f>186.19187554746*Deflactores!$O$5</f>
        <v>364.51791640683194</v>
      </c>
      <c r="S213" s="57">
        <f>211.31479571114*Deflactores!$P$5</f>
        <v>387.47065423874085</v>
      </c>
      <c r="T213" s="57">
        <f>196.188194422519*Deflactores!$Q$5</f>
        <v>340.17422495601687</v>
      </c>
      <c r="U213" s="57">
        <f>194.207832147579*Deflactores!$R$5</f>
        <v>323.50892432506612</v>
      </c>
      <c r="V213" s="57">
        <f>248.073415535839*Deflactores!$S$5</f>
        <v>400.50157452518971</v>
      </c>
    </row>
    <row r="214" spans="3:22" x14ac:dyDescent="0.2">
      <c r="C214" s="87" t="s">
        <v>129</v>
      </c>
      <c r="D214" s="56">
        <f>4824.80088900603*Deflactores!$A$5</f>
        <v>18005.749573524346</v>
      </c>
      <c r="E214" s="56">
        <f>5714.30374510999*Deflactores!$B$5</f>
        <v>19810.158023826487</v>
      </c>
      <c r="F214" s="56">
        <f>6231.34185930912*Deflactores!$C$5</f>
        <v>20190.893498495687</v>
      </c>
      <c r="G214" s="56">
        <f>7134.45738836671*Deflactores!$D$5</f>
        <v>21708.03573362223</v>
      </c>
      <c r="H214" s="56">
        <f>7987.73038966481*Deflactores!$E$5</f>
        <v>23037.90260471213</v>
      </c>
      <c r="I214" s="56">
        <f>8961.93128999678*Deflactores!$F$5</f>
        <v>24650.817158571965</v>
      </c>
      <c r="J214" s="56">
        <f>10164.5337503961*Deflactores!$G$5</f>
        <v>26760.396074370277</v>
      </c>
      <c r="K214" s="56">
        <f>11939.2889092015*Deflactores!$H$5</f>
        <v>29739.338691603443</v>
      </c>
      <c r="L214" s="56">
        <f>13530.2768215586*Deflactores!$I$5</f>
        <v>31300.205048449527</v>
      </c>
      <c r="M214" s="56">
        <f>15054.9943211553*Deflactores!$J$5</f>
        <v>34143.907939843317</v>
      </c>
      <c r="N214" s="56">
        <f>16317.1720566695*Deflactores!$K$5</f>
        <v>35868.973507758703</v>
      </c>
      <c r="O214" s="56">
        <f>17690.7538679215*Deflactores!$L$5</f>
        <v>37491.247901862116</v>
      </c>
      <c r="P214" s="56">
        <f>19275.0694648838*Deflactores!$M$5</f>
        <v>39875.848572341209</v>
      </c>
      <c r="Q214" s="56">
        <f>20802.0685359096*Deflactores!$N$5</f>
        <v>42215.883228126913</v>
      </c>
      <c r="R214" s="56">
        <f>21770.3360362536*Deflactores!$O$5</f>
        <v>42620.965646747245</v>
      </c>
      <c r="S214" s="56">
        <f>22543.5187651304*Deflactores!$P$5</f>
        <v>41336.206181742164</v>
      </c>
      <c r="T214" s="56">
        <f>24171.8287510089*Deflactores!$Q$5</f>
        <v>41911.966901715889</v>
      </c>
      <c r="U214" s="56">
        <f>25480.5799513828*Deflactores!$R$5</f>
        <v>42445.224376876169</v>
      </c>
      <c r="V214" s="56">
        <f>27507.5468583789*Deflactores!$S$5</f>
        <v>44409.497907342644</v>
      </c>
    </row>
    <row r="215" spans="3:22" x14ac:dyDescent="0.2">
      <c r="C215" s="88" t="s">
        <v>130</v>
      </c>
      <c r="D215" s="57">
        <f>5.234617253*Deflactores!$A$5</f>
        <v>19.535149644317297</v>
      </c>
      <c r="E215" s="57">
        <f>5.65264882324*Deflactores!$B$5</f>
        <v>19.596414792862191</v>
      </c>
      <c r="F215" s="57">
        <f>4.61849465302*Deflactores!$C$5</f>
        <v>14.96492019984241</v>
      </c>
      <c r="G215" s="57">
        <f>4.95865452890999*Deflactores!$D$5</f>
        <v>15.087713591195529</v>
      </c>
      <c r="H215" s="57">
        <f>6.08440611472999*Deflactores!$E$5</f>
        <v>17.54840845154596</v>
      </c>
      <c r="I215" s="57">
        <f>6.203210653*Deflactores!$F$5</f>
        <v>17.062640479501347</v>
      </c>
      <c r="J215" s="57">
        <f>5.257346271*Deflactores!$G$5</f>
        <v>13.841133490908145</v>
      </c>
      <c r="K215" s="57">
        <f>5.975413728*Deflactores!$H$5</f>
        <v>14.8840399148473</v>
      </c>
      <c r="L215" s="57">
        <f>6.276086411*Deflactores!$I$5</f>
        <v>14.518756279478598</v>
      </c>
      <c r="M215" s="57">
        <f>6.8499299144*Deflactores!$J$5</f>
        <v>15.535268323748163</v>
      </c>
      <c r="N215" s="57">
        <f>9.505003788*Deflactores!$K$5</f>
        <v>20.894228968037634</v>
      </c>
      <c r="O215" s="57">
        <f>8.42833242*Deflactores!$L$5</f>
        <v>17.861799588456272</v>
      </c>
      <c r="P215" s="57">
        <f>15.06537560569*Deflactores!$M$5</f>
        <v>31.166924582679282</v>
      </c>
      <c r="Q215" s="57">
        <f>21.74828914771*Deflactores!$N$5</f>
        <v>44.13615085857225</v>
      </c>
      <c r="R215" s="57">
        <f>23.99024368324*Deflactores!$O$5</f>
        <v>46.966999047591379</v>
      </c>
      <c r="S215" s="57">
        <f>27.1787077522399*Deflactores!$P$5</f>
        <v>49.835373044674917</v>
      </c>
      <c r="T215" s="57">
        <f>57.40816521729*Deflactores!$Q$5</f>
        <v>99.541046118608989</v>
      </c>
      <c r="U215" s="57">
        <f>54.23050693398*Deflactores!$R$5</f>
        <v>90.336485247840784</v>
      </c>
      <c r="V215" s="57">
        <f>36.46642153386*Deflactores!$S$5</f>
        <v>58.87313322172669</v>
      </c>
    </row>
    <row r="216" spans="3:22" x14ac:dyDescent="0.2">
      <c r="C216" s="87" t="s">
        <v>131</v>
      </c>
      <c r="D216" s="56">
        <f>4476.10492947814*Deflactores!$A$5</f>
        <v>16704.445691976514</v>
      </c>
      <c r="E216" s="56">
        <f>7198.47927485531*Deflactores!$B$5</f>
        <v>24955.448349793442</v>
      </c>
      <c r="F216" s="56">
        <f>8041.73101258467*Deflactores!$C$5</f>
        <v>26056.945371417831</v>
      </c>
      <c r="G216" s="56">
        <f>9420.98033797129*Deflactores!$D$5</f>
        <v>28665.24623945534</v>
      </c>
      <c r="H216" s="56">
        <f>10801.9562632341*Deflactores!$E$5</f>
        <v>31154.583867118992</v>
      </c>
      <c r="I216" s="56">
        <f>11866.4841818878*Deflactores!$F$5</f>
        <v>32640.122136319977</v>
      </c>
      <c r="J216" s="56">
        <f>12701.5744866034*Deflactores!$G$5</f>
        <v>33439.720146177671</v>
      </c>
      <c r="K216" s="56">
        <f>13574.4027946816*Deflactores!$H$5</f>
        <v>33812.211541020792</v>
      </c>
      <c r="L216" s="56">
        <f>14996.1483184049*Deflactores!$I$5</f>
        <v>34691.272284624632</v>
      </c>
      <c r="M216" s="56">
        <f>17545.867864041*Deflactores!$J$5</f>
        <v>39793.073600342497</v>
      </c>
      <c r="N216" s="56">
        <f>19122.8327912726*Deflactores!$K$5</f>
        <v>42036.474237157665</v>
      </c>
      <c r="O216" s="56">
        <f>20547.6032308361*Deflactores!$L$5</f>
        <v>43545.644932252326</v>
      </c>
      <c r="P216" s="56">
        <f>21501.8562934668*Deflactores!$M$5</f>
        <v>44482.577203915302</v>
      </c>
      <c r="Q216" s="56">
        <f>23458.484202917*Deflactores!$N$5</f>
        <v>47606.834296774941</v>
      </c>
      <c r="R216" s="56">
        <f>24460.6249382057*Deflactores!$O$5</f>
        <v>47887.88989995954</v>
      </c>
      <c r="S216" s="56">
        <f>26483.4074902814*Deflactores!$P$5</f>
        <v>48560.457833523767</v>
      </c>
      <c r="T216" s="56">
        <f>28740.369286571*Deflactores!$Q$5</f>
        <v>49833.441180224261</v>
      </c>
      <c r="U216" s="56">
        <f>32282.5909599334*Deflactores!$R$5</f>
        <v>53775.927368047451</v>
      </c>
      <c r="V216" s="56">
        <f>34654.8563010278*Deflactores!$S$5</f>
        <v>55948.455756641481</v>
      </c>
    </row>
    <row r="217" spans="3:22" x14ac:dyDescent="0.2">
      <c r="C217" s="88" t="s">
        <v>132</v>
      </c>
      <c r="D217" s="57">
        <f>6.87251134135*Deflactores!$A$5</f>
        <v>25.647632099290004</v>
      </c>
      <c r="E217" s="57">
        <f>7.22846594450999*Deflactores!$B$5</f>
        <v>25.059405138050604</v>
      </c>
      <c r="F217" s="57">
        <f>6.78687900776*Deflactores!$C$5</f>
        <v>21.990953846985914</v>
      </c>
      <c r="G217" s="57">
        <f>6.93880014991*Deflactores!$D$5</f>
        <v>21.112708844308163</v>
      </c>
      <c r="H217" s="57">
        <f>6.48204996417*Deflactores!$E$5</f>
        <v>18.695277440340931</v>
      </c>
      <c r="I217" s="57">
        <f>7.36623687984*Deflactores!$F$5</f>
        <v>20.26167715371211</v>
      </c>
      <c r="J217" s="57">
        <f>8.60732535857*Deflactores!$G$5</f>
        <v>22.660698600890424</v>
      </c>
      <c r="K217" s="57">
        <f>8.89000961652*Deflactores!$H$5</f>
        <v>22.143949188928865</v>
      </c>
      <c r="L217" s="57">
        <f>9.63536955518999*Deflactores!$I$5</f>
        <v>22.289938836616759</v>
      </c>
      <c r="M217" s="57">
        <f>10.12018617203*Deflactores!$J$5</f>
        <v>22.952031573091364</v>
      </c>
      <c r="N217" s="57">
        <f>10.37091172891*Deflactores!$K$5</f>
        <v>22.797697834137107</v>
      </c>
      <c r="O217" s="57">
        <f>11.61682207942*Deflactores!$L$5</f>
        <v>24.619027524943526</v>
      </c>
      <c r="P217" s="57">
        <f>14.77261144907*Deflactores!$M$5</f>
        <v>30.561260400868839</v>
      </c>
      <c r="Q217" s="57">
        <f>16.29143286218*Deflactores!$N$5</f>
        <v>33.061963339915856</v>
      </c>
      <c r="R217" s="57">
        <f>19.01014406669*Deflactores!$O$5</f>
        <v>37.217188373062015</v>
      </c>
      <c r="S217" s="57">
        <f>19.13849300468*Deflactores!$P$5</f>
        <v>35.092688993740879</v>
      </c>
      <c r="T217" s="57">
        <f>20.7659230249*Deflactores!$Q$5</f>
        <v>36.006405947537665</v>
      </c>
      <c r="U217" s="57">
        <f>23.03634999217*Deflactores!$R$5</f>
        <v>38.373657354248799</v>
      </c>
      <c r="V217" s="57">
        <f>24.61812143194*Deflactores!$S$5</f>
        <v>39.744671447553308</v>
      </c>
    </row>
    <row r="218" spans="3:22" x14ac:dyDescent="0.2">
      <c r="C218" s="87" t="s">
        <v>133</v>
      </c>
      <c r="D218" s="56">
        <f>553.74942161969*Deflactores!$A$5</f>
        <v>2066.5460899925697</v>
      </c>
      <c r="E218" s="56">
        <f>607.95180908918*Deflactores!$B$5</f>
        <v>2107.6270961679566</v>
      </c>
      <c r="F218" s="56">
        <f>627.33802273342*Deflactores!$C$5</f>
        <v>2032.7106890540119</v>
      </c>
      <c r="G218" s="56">
        <f>652.199049671869*Deflactores!$D$5</f>
        <v>1984.4480813351065</v>
      </c>
      <c r="H218" s="56">
        <f>704.10252096554*Deflactores!$E$5</f>
        <v>2030.7452192833807</v>
      </c>
      <c r="I218" s="56">
        <f>798.230295894449*Deflactores!$F$5</f>
        <v>2195.6237375408318</v>
      </c>
      <c r="J218" s="56">
        <f>869.46156812799*Deflactores!$G$5</f>
        <v>2289.0509792090952</v>
      </c>
      <c r="K218" s="56">
        <f>976.90331371477*Deflactores!$H$5</f>
        <v>2433.3491497238847</v>
      </c>
      <c r="L218" s="56">
        <f>1131.86290591627*Deflactores!$I$5</f>
        <v>2618.3899641627704</v>
      </c>
      <c r="M218" s="56">
        <f>1305.7618257428*Deflactores!$J$5</f>
        <v>2961.396770962222</v>
      </c>
      <c r="N218" s="56">
        <f>1372.32797883925*Deflactores!$K$5</f>
        <v>3016.6989565340291</v>
      </c>
      <c r="O218" s="56">
        <f>1453.93112152833*Deflactores!$L$5</f>
        <v>3081.2532081118952</v>
      </c>
      <c r="P218" s="56">
        <f>1712.52093976825*Deflactores!$M$5</f>
        <v>3542.8264367904249</v>
      </c>
      <c r="Q218" s="56">
        <f>1962.06801553851*Deflactores!$N$5</f>
        <v>3981.8364258645865</v>
      </c>
      <c r="R218" s="56">
        <f>2247.52245109335*Deflactores!$O$5</f>
        <v>4400.0963980906627</v>
      </c>
      <c r="S218" s="56">
        <f>2492.64277529107*Deflactores!$P$5</f>
        <v>4570.5551458202299</v>
      </c>
      <c r="T218" s="56">
        <f>2816.66772660883*Deflactores!$Q$5</f>
        <v>4883.8706308405926</v>
      </c>
      <c r="U218" s="56">
        <f>3026.39295027115*Deflactores!$R$5</f>
        <v>5041.3266916196717</v>
      </c>
      <c r="V218" s="56">
        <f>3348.31757700366*Deflactores!$S$5</f>
        <v>5405.6838726703454</v>
      </c>
    </row>
    <row r="219" spans="3:22" x14ac:dyDescent="0.2">
      <c r="C219" s="88" t="s">
        <v>134</v>
      </c>
      <c r="D219" s="57">
        <f>4417.7572673885*Deflactores!$A$5</f>
        <v>16486.697143185498</v>
      </c>
      <c r="E219" s="57">
        <f>4413.44607310971*Deflactores!$B$5</f>
        <v>15300.387945383349</v>
      </c>
      <c r="F219" s="57">
        <f>4229.92385188695*Deflactores!$C$5</f>
        <v>13705.866878833889</v>
      </c>
      <c r="G219" s="57">
        <f>3371.35675277266*Deflactores!$D$5</f>
        <v>10258.037700149733</v>
      </c>
      <c r="H219" s="57">
        <f>4074.33725341507*Deflactores!$E$5</f>
        <v>11751.045696832231</v>
      </c>
      <c r="I219" s="57">
        <f>4977.45054065022*Deflactores!$F$5</f>
        <v>13691.047077135961</v>
      </c>
      <c r="J219" s="57">
        <f>5053.70222477071*Deflactores!$G$5</f>
        <v>13304.995241077373</v>
      </c>
      <c r="K219" s="57">
        <f>5355.73855425348*Deflactores!$H$5</f>
        <v>13340.503276193458</v>
      </c>
      <c r="L219" s="57">
        <f>5399.38220326598*Deflactores!$I$5</f>
        <v>12490.636542475888</v>
      </c>
      <c r="M219" s="57">
        <f>5209.23165346287*Deflactores!$J$5</f>
        <v>11814.253942508629</v>
      </c>
      <c r="N219" s="57">
        <f>6039.2340233981*Deflactores!$K$5</f>
        <v>13275.65367577769</v>
      </c>
      <c r="O219" s="57">
        <f>5812.20255904915*Deflactores!$L$5</f>
        <v>12317.548965071384</v>
      </c>
      <c r="P219" s="57">
        <f>6388.49088336853*Deflactores!$M$5</f>
        <v>13216.372347456108</v>
      </c>
      <c r="Q219" s="57">
        <f>6539.75394529706*Deflactores!$N$5</f>
        <v>13271.82863659722</v>
      </c>
      <c r="R219" s="57">
        <f>9854.95457508648*Deflactores!$O$5</f>
        <v>19293.5781834306</v>
      </c>
      <c r="S219" s="57">
        <f>13074.0888148323*Deflactores!$P$5</f>
        <v>23972.887130834337</v>
      </c>
      <c r="T219" s="57">
        <f>14947.8174652382*Deflactores!$Q$5</f>
        <v>25918.28848819745</v>
      </c>
      <c r="U219" s="57">
        <f>17914.0617139759*Deflactores!$R$5</f>
        <v>29841.015016208446</v>
      </c>
      <c r="V219" s="57">
        <f>9794.84955875815*Deflactores!$S$5</f>
        <v>15813.273107263953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18.5810739091699*Deflactores!$A$5</f>
        <v>69.342999081685448</v>
      </c>
      <c r="E221" s="57">
        <f>16.99300950684*Deflactores!$B$5</f>
        <v>58.910799748606401</v>
      </c>
      <c r="F221" s="57">
        <f>18.30890684736*Deflactores!$C$5</f>
        <v>59.324812628705708</v>
      </c>
      <c r="G221" s="57">
        <f>15.71869685459*Deflactores!$D$5</f>
        <v>47.827327914496237</v>
      </c>
      <c r="H221" s="57">
        <f>14.6124878024599*Deflactores!$E$5</f>
        <v>42.144771340954293</v>
      </c>
      <c r="I221" s="57">
        <f>16.44318570099*Deflactores!$F$5</f>
        <v>45.228863188449537</v>
      </c>
      <c r="J221" s="57">
        <f>18.88601739115*Deflactores!$G$5</f>
        <v>49.721641746226133</v>
      </c>
      <c r="K221" s="57">
        <f>51.84993916825*Deflactores!$H$5</f>
        <v>129.15198834624314</v>
      </c>
      <c r="L221" s="57">
        <f>35.19959872022*Deflactores!$I$5</f>
        <v>81.428833430114011</v>
      </c>
      <c r="M221" s="57">
        <f>238.71762310307*Deflactores!$J$5</f>
        <v>541.39857996465582</v>
      </c>
      <c r="N221" s="57">
        <f>354.02051908218*Deflactores!$K$5</f>
        <v>778.22018276576046</v>
      </c>
      <c r="O221" s="57">
        <f>555.83789596437*Deflactores!$L$5</f>
        <v>1177.9631612328817</v>
      </c>
      <c r="P221" s="57">
        <f>917.85912240266*Deflactores!$M$5</f>
        <v>1898.8471840452125</v>
      </c>
      <c r="Q221" s="57">
        <f>821.26643410165*Deflactores!$N$5</f>
        <v>1666.6846290485712</v>
      </c>
      <c r="R221" s="57">
        <f>815.387646684877*Deflactores!$O$5</f>
        <v>1596.3285463423977</v>
      </c>
      <c r="S221" s="57">
        <f>773.526945632059*Deflactores!$P$5</f>
        <v>1418.353081651009</v>
      </c>
      <c r="T221" s="57">
        <f>696.04380378115*Deflactores!$Q$5</f>
        <v>1206.8828207713643</v>
      </c>
      <c r="U221" s="57">
        <f>793.21628958906*Deflactores!$R$5</f>
        <v>1321.3295558908071</v>
      </c>
      <c r="V221" s="57">
        <f>771.0979064293*Deflactores!$S$5</f>
        <v>1244.8973017562059</v>
      </c>
    </row>
    <row r="222" spans="3:22" x14ac:dyDescent="0.2">
      <c r="C222" s="87" t="s">
        <v>137</v>
      </c>
      <c r="D222" s="56">
        <f>35.95324207099*Deflactores!$A$5</f>
        <v>134.17446397874281</v>
      </c>
      <c r="E222" s="56">
        <f>33.97478672581*Deflactores!$B$5</f>
        <v>117.78265977549005</v>
      </c>
      <c r="F222" s="56">
        <f>35.48492929766*Deflactores!$C$5</f>
        <v>114.97883512527093</v>
      </c>
      <c r="G222" s="56">
        <f>36.37505368427*Deflactores!$D$5</f>
        <v>110.67848922584008</v>
      </c>
      <c r="H222" s="56">
        <f>38.23164309257*Deflactores!$E$5</f>
        <v>110.26622419859906</v>
      </c>
      <c r="I222" s="56">
        <f>39.50337900637*Deflactores!$F$5</f>
        <v>108.65856270497548</v>
      </c>
      <c r="J222" s="56">
        <f>41.68179885531*Deflactores!$G$5</f>
        <v>109.73660709394197</v>
      </c>
      <c r="K222" s="56">
        <f>42.56360278622*Deflactores!$H$5</f>
        <v>106.02083665290334</v>
      </c>
      <c r="L222" s="56">
        <f>45.35792418*Deflactores!$I$5</f>
        <v>104.92854995722735</v>
      </c>
      <c r="M222" s="56">
        <f>49.43304919362*Deflactores!$J$5</f>
        <v>112.11146579317905</v>
      </c>
      <c r="N222" s="56">
        <f>48.633295019*Deflactores!$K$5</f>
        <v>106.90739575296109</v>
      </c>
      <c r="O222" s="56">
        <f>49.99333779172*Deflactores!$L$5</f>
        <v>105.94871392052897</v>
      </c>
      <c r="P222" s="56">
        <f>82.85712434163*Deflactores!$M$5</f>
        <v>171.41303430350064</v>
      </c>
      <c r="Q222" s="56">
        <f>109.04224274688*Deflactores!$N$5</f>
        <v>221.29119413239493</v>
      </c>
      <c r="R222" s="56">
        <f>113.954154590009*Deflactores!$O$5</f>
        <v>223.09421866511062</v>
      </c>
      <c r="S222" s="56">
        <f>113.92791632488*Deflactores!$P$5</f>
        <v>208.90030026482728</v>
      </c>
      <c r="T222" s="56">
        <f>129.80541594029*Deflactores!$Q$5</f>
        <v>225.07193612009283</v>
      </c>
      <c r="U222" s="56">
        <f>135.22303499527*Deflactores!$R$5</f>
        <v>225.25280320336407</v>
      </c>
      <c r="V222" s="56">
        <f>139.64785912901*Deflactores!$S$5</f>
        <v>225.45417589157324</v>
      </c>
    </row>
    <row r="223" spans="3:22" x14ac:dyDescent="0.2">
      <c r="C223" s="88" t="s">
        <v>138</v>
      </c>
      <c r="D223" s="57">
        <f>130.72557398484*Deflactores!$A$5</f>
        <v>487.85680532221363</v>
      </c>
      <c r="E223" s="57">
        <f>144.93533183195*Deflactores!$B$5</f>
        <v>502.45698424478724</v>
      </c>
      <c r="F223" s="57">
        <f>158.024145276669*Deflactores!$C$5</f>
        <v>512.03236148975896</v>
      </c>
      <c r="G223" s="57">
        <f>168.605080704179*Deflactores!$D$5</f>
        <v>513.01520459910967</v>
      </c>
      <c r="H223" s="57">
        <f>178.69529184586*Deflactores!$E$5</f>
        <v>515.38603941767303</v>
      </c>
      <c r="I223" s="57">
        <f>208.27327020891*Deflactores!$F$5</f>
        <v>572.87945385927389</v>
      </c>
      <c r="J223" s="57">
        <f>211.5811642222*Deflactores!$G$5</f>
        <v>557.03447846211463</v>
      </c>
      <c r="K223" s="57">
        <f>215.222254229569*Deflactores!$H$5</f>
        <v>536.09285788960813</v>
      </c>
      <c r="L223" s="57">
        <f>239.48912769375*Deflactores!$I$5</f>
        <v>554.02109672617837</v>
      </c>
      <c r="M223" s="57">
        <f>232.48545138972*Deflactores!$J$5</f>
        <v>527.2643536270939</v>
      </c>
      <c r="N223" s="57">
        <f>233.11617673579*Deflactores!$K$5</f>
        <v>512.44406435907513</v>
      </c>
      <c r="O223" s="57">
        <f>249.21480242823*Deflactores!$L$5</f>
        <v>528.15012906785296</v>
      </c>
      <c r="P223" s="57">
        <f>92.32975159442*Deflactores!$M$5</f>
        <v>191.00980154746057</v>
      </c>
      <c r="Q223" s="57">
        <f>116.74487349446*Deflactores!$N$5</f>
        <v>236.92297419445396</v>
      </c>
      <c r="R223" s="57">
        <f>76.58836630816*Deflactores!$O$5</f>
        <v>149.94119171723733</v>
      </c>
      <c r="S223" s="57">
        <f>61.06332925316*Deflactores!$P$5</f>
        <v>111.96683155144653</v>
      </c>
      <c r="T223" s="57">
        <f>79.27123751715*Deflactores!$Q$5</f>
        <v>137.44981884906727</v>
      </c>
      <c r="U223" s="57">
        <f>80.5239965851*Deflactores!$R$5</f>
        <v>134.13584421150102</v>
      </c>
      <c r="V223" s="57">
        <f>85.16624505572*Deflactores!$S$5</f>
        <v>137.49645510196265</v>
      </c>
    </row>
    <row r="224" spans="3:22" x14ac:dyDescent="0.2">
      <c r="C224" s="87" t="s">
        <v>139</v>
      </c>
      <c r="D224" s="56">
        <f>312.6081267764*Deflactores!$A$5</f>
        <v>1166.6271365125706</v>
      </c>
      <c r="E224" s="56">
        <f>384.55220022066*Deflactores!$B$5</f>
        <v>1333.1527679641754</v>
      </c>
      <c r="F224" s="56">
        <f>401.8284849527*Deflactores!$C$5</f>
        <v>1302.0110800406924</v>
      </c>
      <c r="G224" s="56">
        <f>439.059924378969*Deflactores!$D$5</f>
        <v>1335.9290004536831</v>
      </c>
      <c r="H224" s="56">
        <f>543.92674486251*Deflactores!$E$5</f>
        <v>1568.7724498631262</v>
      </c>
      <c r="I224" s="56">
        <f>652.74391396122*Deflactores!$F$5</f>
        <v>1795.4468020067181</v>
      </c>
      <c r="J224" s="56">
        <f>711.74554852588*Deflactores!$G$5</f>
        <v>1873.8284756032472</v>
      </c>
      <c r="K224" s="56">
        <f>693.15099544349*Deflactores!$H$5</f>
        <v>1726.5561102243803</v>
      </c>
      <c r="L224" s="56">
        <f>753.09909788788*Deflactores!$I$5</f>
        <v>1742.1784119105441</v>
      </c>
      <c r="M224" s="56">
        <f>889.712921154109*Deflactores!$J$5</f>
        <v>2017.820493634287</v>
      </c>
      <c r="N224" s="56">
        <f>1350.51347202445*Deflactores!$K$5</f>
        <v>2968.7455511089115</v>
      </c>
      <c r="O224" s="56">
        <f>1475.83703762606*Deflactores!$L$5</f>
        <v>3127.6774666295946</v>
      </c>
      <c r="P224" s="56">
        <f>1368.57142262286*Deflactores!$M$5</f>
        <v>2831.271083529231</v>
      </c>
      <c r="Q224" s="56">
        <f>1716.96036802382*Deflactores!$N$5</f>
        <v>3484.4130178059709</v>
      </c>
      <c r="R224" s="56">
        <f>1916.67771333352*Deflactores!$O$5</f>
        <v>3752.3837408773388</v>
      </c>
      <c r="S224" s="56">
        <f>1903.90258221444*Deflactores!$P$5</f>
        <v>3491.0304158061708</v>
      </c>
      <c r="T224" s="56">
        <f>1943.29826349402*Deflactores!$Q$5</f>
        <v>3369.5196726198806</v>
      </c>
      <c r="U224" s="56">
        <f>2145.39151270555*Deflactores!$R$5</f>
        <v>3573.7657583453492</v>
      </c>
      <c r="V224" s="56">
        <f>2545.44417704937*Deflactores!$S$5</f>
        <v>4109.4866959937044</v>
      </c>
    </row>
    <row r="225" spans="2:22" x14ac:dyDescent="0.2">
      <c r="C225" s="88" t="s">
        <v>140</v>
      </c>
      <c r="D225" s="57">
        <f>73.97255930735*Deflactores!$A$5</f>
        <v>276.05934604178378</v>
      </c>
      <c r="E225" s="57">
        <f>72.27647323021*Deflactores!$B$5</f>
        <v>250.56567168320262</v>
      </c>
      <c r="F225" s="57">
        <f>84.92162624563*Deflactores!$C$5</f>
        <v>275.16441080552062</v>
      </c>
      <c r="G225" s="57">
        <f>56.73694043944*Deflactores!$D$5</f>
        <v>172.6336655236118</v>
      </c>
      <c r="H225" s="57">
        <f>72.84066675056*Deflactores!$E$5</f>
        <v>210.08422973726741</v>
      </c>
      <c r="I225" s="57">
        <f>74.13168125725*Deflactores!$F$5</f>
        <v>203.90766913932256</v>
      </c>
      <c r="J225" s="57">
        <f>63.87160313778*Deflactores!$G$5</f>
        <v>168.1562027186321</v>
      </c>
      <c r="K225" s="57">
        <f>62.0302097471199*Deflactores!$H$5</f>
        <v>154.50982305647011</v>
      </c>
      <c r="L225" s="57">
        <f>54.37228109749*Deflactores!$I$5</f>
        <v>125.7818720007038</v>
      </c>
      <c r="M225" s="57">
        <f>43.7081252553399*Deflactores!$J$5</f>
        <v>99.127649808833951</v>
      </c>
      <c r="N225" s="57">
        <f>55.52031812993*Deflactores!$K$5</f>
        <v>122.04668880296595</v>
      </c>
      <c r="O225" s="57">
        <f>45.4609497573999*Deflactores!$L$5</f>
        <v>96.343420406709214</v>
      </c>
      <c r="P225" s="57">
        <f>58.8309974194299*Deflactores!$M$5</f>
        <v>121.70830038931462</v>
      </c>
      <c r="Q225" s="57">
        <f>84.9235795872899*Deflactores!$N$5</f>
        <v>172.34458741363858</v>
      </c>
      <c r="R225" s="57">
        <f>102.356255258739*Deflactores!$O$5</f>
        <v>200.38838315805538</v>
      </c>
      <c r="S225" s="57">
        <f>102.46995141674*Deflactores!$P$5</f>
        <v>187.89076733429667</v>
      </c>
      <c r="T225" s="57">
        <f>123.140257048039*Deflactores!$Q$5</f>
        <v>213.51509771269508</v>
      </c>
      <c r="U225" s="57">
        <f>149.07096558529*Deflactores!$R$5</f>
        <v>248.32050896870743</v>
      </c>
      <c r="V225" s="57">
        <f>167.10609145485*Deflactores!$S$5</f>
        <v>269.78405806142894</v>
      </c>
    </row>
    <row r="226" spans="2:22" x14ac:dyDescent="0.2">
      <c r="C226" s="87" t="s">
        <v>141</v>
      </c>
      <c r="D226" s="56">
        <f>327.3265947114*Deflactores!$A$5</f>
        <v>1221.5552162075139</v>
      </c>
      <c r="E226" s="56">
        <f>319.68330121126*Deflactores!$B$5</f>
        <v>1108.267428029709</v>
      </c>
      <c r="F226" s="56">
        <f>340.02209714601*Deflactores!$C$5</f>
        <v>1101.745034314554</v>
      </c>
      <c r="G226" s="56">
        <f>347.72853745346*Deflactores!$D$5</f>
        <v>1058.0347047763337</v>
      </c>
      <c r="H226" s="56">
        <f>370.59715404499*Deflactores!$E$5</f>
        <v>1068.8619575241134</v>
      </c>
      <c r="I226" s="56">
        <f>423.874480165119*Deflactores!$F$5</f>
        <v>1165.9152442284392</v>
      </c>
      <c r="J226" s="56">
        <f>468.69624723294*Deflactores!$G$5</f>
        <v>1233.947126599455</v>
      </c>
      <c r="K226" s="56">
        <f>532.33202201124*Deflactores!$H$5</f>
        <v>1325.975308862608</v>
      </c>
      <c r="L226" s="56">
        <f>613.071352639099*Deflactores!$I$5</f>
        <v>1418.2458570514027</v>
      </c>
      <c r="M226" s="56">
        <f>681.31751643049*Deflactores!$J$5</f>
        <v>1545.1910550451923</v>
      </c>
      <c r="N226" s="56">
        <f>761.06222607424*Deflactores!$K$5</f>
        <v>1672.993379612906</v>
      </c>
      <c r="O226" s="56">
        <f>811.83734283705*Deflactores!$L$5</f>
        <v>1720.491693204983</v>
      </c>
      <c r="P226" s="56">
        <f>925.892537831999*Deflactores!$M$5</f>
        <v>1915.4665408658268</v>
      </c>
      <c r="Q226" s="56">
        <f>1030.08200631091*Deflactores!$N$5</f>
        <v>2090.4566110215728</v>
      </c>
      <c r="R226" s="56">
        <f>1173.51884326684*Deflactores!$O$5</f>
        <v>2297.4613814593995</v>
      </c>
      <c r="S226" s="56">
        <f>1237.24905452442*Deflactores!$P$5</f>
        <v>2268.6423778302801</v>
      </c>
      <c r="T226" s="56">
        <f>1361.48009016172*Deflactores!$Q$5</f>
        <v>2360.6947187982814</v>
      </c>
      <c r="U226" s="56">
        <f>1417.12892165939*Deflactores!$R$5</f>
        <v>2360.6352432150625</v>
      </c>
      <c r="V226" s="56">
        <f>1529.79479867709*Deflactores!$S$5</f>
        <v>2469.7738137205029</v>
      </c>
    </row>
    <row r="227" spans="2:22" x14ac:dyDescent="0.2">
      <c r="C227" s="88" t="s">
        <v>142</v>
      </c>
      <c r="D227" s="57">
        <f>17.0953122067999*Deflactores!$A$5</f>
        <v>63.798261847084511</v>
      </c>
      <c r="E227" s="57">
        <f>19.76909328135*Deflactores!$B$5</f>
        <v>68.53483457655642</v>
      </c>
      <c r="F227" s="57">
        <f>23.0353911629499*Deflactores!$C$5</f>
        <v>74.639642659386553</v>
      </c>
      <c r="G227" s="57">
        <f>22.99900057732*Deflactores!$D$5</f>
        <v>69.979130744287346</v>
      </c>
      <c r="H227" s="57">
        <f>21.6239209703199*Deflactores!$E$5</f>
        <v>62.366875313017026</v>
      </c>
      <c r="I227" s="57">
        <f>20.34276746716*Deflactores!$F$5</f>
        <v>55.955108905157367</v>
      </c>
      <c r="J227" s="57">
        <f>21.4478856333199*Deflactores!$G$5</f>
        <v>56.466329750055699</v>
      </c>
      <c r="K227" s="57">
        <f>23.95852548049*Deflactores!$H$5</f>
        <v>59.67781743404985</v>
      </c>
      <c r="L227" s="57">
        <f>26.4434710502799*Deflactores!$I$5</f>
        <v>61.172884855371031</v>
      </c>
      <c r="M227" s="57">
        <f>28.25190809362*Deflactores!$J$5</f>
        <v>64.073790298145468</v>
      </c>
      <c r="N227" s="57">
        <f>29.88439057908*Deflactores!$K$5</f>
        <v>65.692903785885832</v>
      </c>
      <c r="O227" s="57">
        <f>29.19266501349*Deflactores!$L$5</f>
        <v>61.866749665279279</v>
      </c>
      <c r="P227" s="57">
        <f>42.89552286756*Deflactores!$M$5</f>
        <v>88.74133384652545</v>
      </c>
      <c r="Q227" s="57">
        <f>66.33024663686*Deflactores!$N$5</f>
        <v>134.61112973840596</v>
      </c>
      <c r="R227" s="57">
        <f>72.92351198066*Deflactores!$O$5</f>
        <v>142.76630796107503</v>
      </c>
      <c r="S227" s="57">
        <f>69.2075648100899*Deflactores!$P$5</f>
        <v>126.90025005107546</v>
      </c>
      <c r="T227" s="57">
        <f>68.83007430544*Deflactores!$Q$5</f>
        <v>119.34569890628728</v>
      </c>
      <c r="U227" s="57">
        <f>70.70133468932*Deflactores!$R$5</f>
        <v>117.77337958392698</v>
      </c>
      <c r="V227" s="57">
        <f>74.232908911838*Deflactores!$S$5</f>
        <v>119.84515485691361</v>
      </c>
    </row>
    <row r="228" spans="2:22" x14ac:dyDescent="0.2">
      <c r="C228" s="87" t="s">
        <v>143</v>
      </c>
      <c r="D228" s="56">
        <f>40.77466491261*Deflactores!$A$5</f>
        <v>152.16760696462143</v>
      </c>
      <c r="E228" s="56">
        <f>48.7188006844499*Deflactores!$B$5</f>
        <v>168.89671661506711</v>
      </c>
      <c r="F228" s="56">
        <f>44.26091933012*Deflactores!$C$5</f>
        <v>143.41493830977916</v>
      </c>
      <c r="G228" s="56">
        <f>42.17268777616*Deflactores!$D$5</f>
        <v>128.31896854840656</v>
      </c>
      <c r="H228" s="56">
        <f>70.79457489002*Deflactores!$E$5</f>
        <v>204.1829708434513</v>
      </c>
      <c r="I228" s="56">
        <f>83.1010246837999*Deflactores!$F$5</f>
        <v>228.57887422735004</v>
      </c>
      <c r="J228" s="56">
        <f>152.87978478614*Deflactores!$G$5</f>
        <v>402.49003969140909</v>
      </c>
      <c r="K228" s="56">
        <f>207.68690929004*Deflactores!$H$5</f>
        <v>517.32321616144759</v>
      </c>
      <c r="L228" s="56">
        <f>229.72081069987*Deflactores!$I$5</f>
        <v>531.42360453004471</v>
      </c>
      <c r="M228" s="56">
        <f>241.66311817121*Deflactores!$J$5</f>
        <v>548.07880250731807</v>
      </c>
      <c r="N228" s="56">
        <f>232.685649338499*Deflactores!$K$5</f>
        <v>511.49766410331</v>
      </c>
      <c r="O228" s="56">
        <f>201.756110405469*Deflactores!$L$5</f>
        <v>427.57298006631595</v>
      </c>
      <c r="P228" s="56">
        <f>251.16504944744*Deflactores!$M$5</f>
        <v>519.60484483219409</v>
      </c>
      <c r="Q228" s="56">
        <f>322.3086015684*Deflactores!$N$5</f>
        <v>654.09563783256192</v>
      </c>
      <c r="R228" s="56">
        <f>303.423241096969*Deflactores!$O$5</f>
        <v>594.02810841702046</v>
      </c>
      <c r="S228" s="56">
        <f>386.89641640346*Deflactores!$P$5</f>
        <v>709.42030860629427</v>
      </c>
      <c r="T228" s="56">
        <f>441.58890057785*Deflactores!$Q$5</f>
        <v>765.6789056314766</v>
      </c>
      <c r="U228" s="56">
        <f>913.481582068379*Deflactores!$R$5</f>
        <v>1521.6659428088099</v>
      </c>
      <c r="V228" s="56">
        <f>535.46146471208*Deflactores!$S$5</f>
        <v>864.47457197915844</v>
      </c>
    </row>
    <row r="229" spans="2:22" x14ac:dyDescent="0.2">
      <c r="C229" s="88" t="s">
        <v>144</v>
      </c>
      <c r="D229" s="57">
        <f>648.293309847219*Deflactores!$A$5</f>
        <v>2419.3758987855431</v>
      </c>
      <c r="E229" s="57">
        <f>733.86382156283*Deflactores!$B$5</f>
        <v>2544.134670049647</v>
      </c>
      <c r="F229" s="57">
        <f>742.22168605816*Deflactores!$C$5</f>
        <v>2404.9585713366314</v>
      </c>
      <c r="G229" s="57">
        <f>743.62049048253*Deflactores!$D$5</f>
        <v>2262.6163842495048</v>
      </c>
      <c r="H229" s="57">
        <f>833.20222115808*Deflactores!$E$5</f>
        <v>2403.0895742182347</v>
      </c>
      <c r="I229" s="57">
        <f>975.651544951769*Deflactores!$F$5</f>
        <v>2683.6411780939857</v>
      </c>
      <c r="J229" s="57">
        <f>1101.31913948581*Deflactores!$G$5</f>
        <v>2899.4676096949793</v>
      </c>
      <c r="K229" s="57">
        <f>1200.63062102362*Deflactores!$H$5</f>
        <v>2990.6270761748096</v>
      </c>
      <c r="L229" s="57">
        <f>1321.76166911568*Deflactores!$I$5</f>
        <v>3057.6914141610268</v>
      </c>
      <c r="M229" s="57">
        <f>1532.83931403791*Deflactores!$J$5</f>
        <v>3476.3961585517691</v>
      </c>
      <c r="N229" s="57">
        <f>1649.70477634329*Deflactores!$K$5</f>
        <v>3626.4382524601701</v>
      </c>
      <c r="O229" s="57">
        <f>1808.57890573014*Deflactores!$L$5</f>
        <v>3832.8428856702958</v>
      </c>
      <c r="P229" s="57">
        <f>2085.50490399103*Deflactores!$M$5</f>
        <v>4314.4476288362184</v>
      </c>
      <c r="Q229" s="57">
        <f>2468.78211351965*Deflactores!$N$5</f>
        <v>5010.1660438297695</v>
      </c>
      <c r="R229" s="57">
        <f>2699.52904492785*Deflactores!$O$5</f>
        <v>5285.014181437783</v>
      </c>
      <c r="S229" s="57">
        <f>2859.14267356723*Deflactores!$P$5</f>
        <v>5242.5760276784767</v>
      </c>
      <c r="T229" s="57">
        <f>3103.56997730652*Deflactores!$Q$5</f>
        <v>5381.3355830845339</v>
      </c>
      <c r="U229" s="57">
        <f>3372.54167358996*Deflactores!$R$5</f>
        <v>5617.9368102696117</v>
      </c>
      <c r="V229" s="57">
        <f>3909.73623852785*Deflactores!$S$5</f>
        <v>6312.0649833693224</v>
      </c>
    </row>
    <row r="230" spans="2:22" x14ac:dyDescent="0.2">
      <c r="C230" s="87" t="s">
        <v>145</v>
      </c>
      <c r="D230" s="56">
        <f>144.670216053309*Deflactores!$A$5</f>
        <v>539.89703221518528</v>
      </c>
      <c r="E230" s="56">
        <f>121.0981130667*Deflactores!$B$5</f>
        <v>419.81890764757696</v>
      </c>
      <c r="F230" s="56">
        <f>169.85648766476*Deflactores!$C$5</f>
        <v>550.37170643177592</v>
      </c>
      <c r="G230" s="56">
        <f>226.252586854489*Deflactores!$D$5</f>
        <v>688.41945124941071</v>
      </c>
      <c r="H230" s="56">
        <f>120.79846306602*Deflactores!$E$5</f>
        <v>348.40224834261903</v>
      </c>
      <c r="I230" s="56">
        <f>133.89494983884*Deflactores!$F$5</f>
        <v>368.29337562736384</v>
      </c>
      <c r="J230" s="56">
        <f>383.12020906353*Deflactores!$G$5</f>
        <v>1008.649170773434</v>
      </c>
      <c r="K230" s="56">
        <f>314.31271844536*Deflactores!$H$5</f>
        <v>782.91533608179623</v>
      </c>
      <c r="L230" s="56">
        <f>242.38297840458*Deflactores!$I$5</f>
        <v>560.7155732563449</v>
      </c>
      <c r="M230" s="56">
        <f>280.69805417166*Deflactores!$J$5</f>
        <v>636.60791336617638</v>
      </c>
      <c r="N230" s="56">
        <f>642.14325209635*Deflactores!$K$5</f>
        <v>1411.5815668080459</v>
      </c>
      <c r="O230" s="56">
        <f>482.22954234466*Deflactores!$L$5</f>
        <v>1021.9681678138301</v>
      </c>
      <c r="P230" s="56">
        <f>355.14217045314*Deflactores!$M$5</f>
        <v>734.71047336261188</v>
      </c>
      <c r="Q230" s="56">
        <f>464.15078265013*Deflactores!$N$5</f>
        <v>941.95128752587812</v>
      </c>
      <c r="R230" s="56">
        <f>1009.01960311971*Deflactores!$O$5</f>
        <v>1975.4123119571464</v>
      </c>
      <c r="S230" s="56">
        <f>758.66596002025*Deflactores!$P$5</f>
        <v>1391.1037080410731</v>
      </c>
      <c r="T230" s="56">
        <f>634.37486902129*Deflactores!$Q$5</f>
        <v>1099.9539500126118</v>
      </c>
      <c r="U230" s="56">
        <f>650.10060043326*Deflactores!$R$5</f>
        <v>1082.9292702748771</v>
      </c>
      <c r="V230" s="56">
        <f>1711.05630732292*Deflactores!$S$5</f>
        <v>2762.4110536144262</v>
      </c>
    </row>
    <row r="231" spans="2:22" x14ac:dyDescent="0.2">
      <c r="C231" s="88" t="s">
        <v>146</v>
      </c>
      <c r="D231" s="57">
        <f>137.35289434502*Deflactores!$A$5</f>
        <v>512.58940538055583</v>
      </c>
      <c r="E231" s="57">
        <f>152.140573639659*Deflactores!$B$5</f>
        <v>527.43587671838793</v>
      </c>
      <c r="F231" s="57">
        <f>155.9885152445*Deflactores!$C$5</f>
        <v>505.43648052064452</v>
      </c>
      <c r="G231" s="57">
        <f>178.60079000935*Deflactores!$D$5</f>
        <v>543.42918045848853</v>
      </c>
      <c r="H231" s="57">
        <f>173.932490894929*Deflactores!$E$5</f>
        <v>501.64935339041926</v>
      </c>
      <c r="I231" s="57">
        <f>218.36880579789*Deflactores!$F$5</f>
        <v>600.64837931394459</v>
      </c>
      <c r="J231" s="57">
        <f>217.56150351853*Deflactores!$G$5</f>
        <v>572.77905191317689</v>
      </c>
      <c r="K231" s="57">
        <f>203.22299751712*Deflactores!$H$5</f>
        <v>506.20414658252224</v>
      </c>
      <c r="L231" s="57">
        <f>206.50323624515*Deflactores!$I$5</f>
        <v>477.71333305928954</v>
      </c>
      <c r="M231" s="57">
        <f>199.543718655069*Deflactores!$J$5</f>
        <v>452.55429622837852</v>
      </c>
      <c r="N231" s="57">
        <f>212.58031661698*Deflactores!$K$5</f>
        <v>467.30142444558868</v>
      </c>
      <c r="O231" s="57">
        <f>241.842333267978*Deflactores!$L$5</f>
        <v>512.52597472149466</v>
      </c>
      <c r="P231" s="57">
        <f>363.992632703793*Deflactores!$M$5</f>
        <v>753.02011905002303</v>
      </c>
      <c r="Q231" s="57">
        <f>360.326240147269*Deflactores!$N$5</f>
        <v>731.24893574061002</v>
      </c>
      <c r="R231" s="57">
        <f>428.132020051839*Deflactores!$O$5</f>
        <v>838.17723752701795</v>
      </c>
      <c r="S231" s="57">
        <f>559.433141271853*Deflactores!$P$5</f>
        <v>1025.7867865899345</v>
      </c>
      <c r="T231" s="57">
        <f>622.943899731648*Deflactores!$Q$5</f>
        <v>1080.1335875792561</v>
      </c>
      <c r="U231" s="57">
        <f>576.679271005247*Deflactores!$R$5</f>
        <v>960.62495822363474</v>
      </c>
      <c r="V231" s="57">
        <f>551.515725007955*Deflactores!$S$5</f>
        <v>890.39333684336964</v>
      </c>
    </row>
    <row r="232" spans="2:22" x14ac:dyDescent="0.2">
      <c r="C232" s="90" t="s">
        <v>147</v>
      </c>
      <c r="D232" s="58">
        <f>3812.82278971848*Deflactores!$A$5</f>
        <v>14229.132745422115</v>
      </c>
      <c r="E232" s="58">
        <f>4947.18863823246*Deflactores!$B$5</f>
        <v>17150.748904611752</v>
      </c>
      <c r="F232" s="58">
        <f>6163.28443961917*Deflactores!$C$5</f>
        <v>19970.372759340709</v>
      </c>
      <c r="G232" s="58">
        <f>6942.95613954505*Deflactores!$D$5</f>
        <v>21125.354286924914</v>
      </c>
      <c r="H232" s="58">
        <f>8656.95981466345*Deflactores!$E$5</f>
        <v>24968.06819133168</v>
      </c>
      <c r="I232" s="58">
        <f>11581.8811912988*Deflactores!$F$5</f>
        <v>31857.289055282738</v>
      </c>
      <c r="J232" s="58">
        <f>12701.6088315993*Deflactores!$G$5</f>
        <v>33439.810567018998</v>
      </c>
      <c r="K232" s="58">
        <f>14349.1628478734*Deflactores!$H$5</f>
        <v>35742.046039693341</v>
      </c>
      <c r="L232" s="58">
        <f>16521.0688138027*Deflactores!$I$5</f>
        <v>38218.940256094575</v>
      </c>
      <c r="M232" s="58">
        <f>17093.6303600135*Deflactores!$J$5</f>
        <v>38767.423548601095</v>
      </c>
      <c r="N232" s="58">
        <f>16093.1360612613*Deflactores!$K$5</f>
        <v>35376.489812902008</v>
      </c>
      <c r="O232" s="58">
        <f>16654.9025877897*Deflactores!$L$5</f>
        <v>35296.013180785456</v>
      </c>
      <c r="P232" s="58">
        <f>18123.0562197432*Deflactores!$M$5</f>
        <v>37492.588382267757</v>
      </c>
      <c r="Q232" s="58">
        <f>21487.4436243359*Deflactores!$N$5</f>
        <v>43606.788880154985</v>
      </c>
      <c r="R232" s="58">
        <f>23893.5215959023*Deflactores!$O$5</f>
        <v>46777.640980043092</v>
      </c>
      <c r="S232" s="58">
        <f>23297.1732915*Deflactores!$P$5</f>
        <v>42718.120833859553</v>
      </c>
      <c r="T232" s="58">
        <f>25266.5658402812*Deflactores!$Q$5</f>
        <v>43810.151152659098</v>
      </c>
      <c r="U232" s="58">
        <f>31957.280932998*Deflactores!$R$5</f>
        <v>53234.030083461847</v>
      </c>
      <c r="V232" s="58">
        <f>40694.5682510053*Deflactores!$S$5</f>
        <v>65699.255294833565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0.137947055*Deflactores!$R$5</f>
        <v>0.22979044090739087</v>
      </c>
      <c r="V233" s="59">
        <f>108.008317615179*Deflactores!$S$5</f>
        <v>174.37378839348705</v>
      </c>
    </row>
    <row r="234" spans="2:22" x14ac:dyDescent="0.2">
      <c r="C234" s="87" t="s">
        <v>149</v>
      </c>
      <c r="D234" s="56">
        <f>28.95794787721*Deflactores!$A$5</f>
        <v>108.0686166403918</v>
      </c>
      <c r="E234" s="56">
        <f>15.53363079752*Deflactores!$B$5</f>
        <v>53.851474214331589</v>
      </c>
      <c r="F234" s="56">
        <f>14.51047796839*Deflactores!$C$5</f>
        <v>47.017082658423384</v>
      </c>
      <c r="G234" s="56">
        <f>16.93381097986*Deflactores!$D$5</f>
        <v>51.524559450954946</v>
      </c>
      <c r="H234" s="56">
        <f>18.43188031436*Deflactores!$E$5</f>
        <v>53.160515288968753</v>
      </c>
      <c r="I234" s="56">
        <f>36.17477738854*Deflactores!$F$5</f>
        <v>99.502863200066244</v>
      </c>
      <c r="J234" s="56">
        <f>29.99841820145*Deflactores!$G$5</f>
        <v>78.97750869725013</v>
      </c>
      <c r="K234" s="56">
        <f>27.85175057704*Deflactores!$H$5</f>
        <v>69.375374853882363</v>
      </c>
      <c r="L234" s="56">
        <f>31.20294143852*Deflactores!$I$5</f>
        <v>72.183184277816864</v>
      </c>
      <c r="M234" s="56">
        <f>36.7646862425*Deflactores!$J$5</f>
        <v>83.380307937891985</v>
      </c>
      <c r="N234" s="56">
        <f>94.04790039644*Deflactores!$K$5</f>
        <v>206.73935630907241</v>
      </c>
      <c r="O234" s="56">
        <f>98.9973749221599*Deflactores!$L$5</f>
        <v>209.80084582887002</v>
      </c>
      <c r="P234" s="56">
        <f>91.2697243041099*Deflactores!$M$5</f>
        <v>188.81683991959389</v>
      </c>
      <c r="Q234" s="56">
        <f>37.02590532524*Deflactores!$N$5</f>
        <v>75.140666560527052</v>
      </c>
      <c r="R234" s="56">
        <f>55.1108298646199*Deflactores!$O$5</f>
        <v>107.89345568723289</v>
      </c>
      <c r="S234" s="56">
        <f>55.59232782266*Deflactores!$P$5</f>
        <v>101.93510378490298</v>
      </c>
      <c r="T234" s="56">
        <f>59.93456808385*Deflactores!$Q$5</f>
        <v>103.92162130861168</v>
      </c>
      <c r="U234" s="56">
        <f>57.05265722654*Deflactores!$R$5</f>
        <v>95.03758713098199</v>
      </c>
      <c r="V234" s="56">
        <f>59.05262584467*Deflactores!$S$5</f>
        <v>95.337380587725448</v>
      </c>
    </row>
    <row r="235" spans="2:22" x14ac:dyDescent="0.2">
      <c r="C235" s="88" t="s">
        <v>150</v>
      </c>
      <c r="D235" s="57">
        <f>117.56130828305*Deflactores!$A$5</f>
        <v>438.72887714472608</v>
      </c>
      <c r="E235" s="57">
        <f>133.58240192273*Deflactores!$B$5</f>
        <v>463.09902471602834</v>
      </c>
      <c r="F235" s="57">
        <f>106.33274050864*Deflactores!$C$5</f>
        <v>344.54104549018678</v>
      </c>
      <c r="G235" s="57">
        <f>103.18497578472*Deflactores!$D$5</f>
        <v>313.96124744679929</v>
      </c>
      <c r="H235" s="57">
        <f>150.184389420209*Deflactores!$E$5</f>
        <v>433.15599894153701</v>
      </c>
      <c r="I235" s="57">
        <f>115.9925041225*Deflactores!$F$5</f>
        <v>319.05065084355039</v>
      </c>
      <c r="J235" s="57">
        <f>101.17746355149*Deflactores!$G$5</f>
        <v>266.37217849097357</v>
      </c>
      <c r="K235" s="57">
        <f>109.29000914165*Deflactores!$H$5</f>
        <v>272.22832299225604</v>
      </c>
      <c r="L235" s="57">
        <f>103.9034179784*Deflactores!$I$5</f>
        <v>240.36450479540483</v>
      </c>
      <c r="M235" s="57">
        <f>186.43437388848*Deflactores!$J$5</f>
        <v>422.82301561055004</v>
      </c>
      <c r="N235" s="57">
        <f>159.90946428225*Deflactores!$K$5</f>
        <v>351.51853017542089</v>
      </c>
      <c r="O235" s="57">
        <f>146.72720618723*Deflactores!$L$5</f>
        <v>310.95260847464334</v>
      </c>
      <c r="P235" s="57">
        <f>272.75172895697*Deflactores!$M$5</f>
        <v>564.26290247862187</v>
      </c>
      <c r="Q235" s="57">
        <f>198.7315765016*Deflactores!$N$5</f>
        <v>403.307440933122</v>
      </c>
      <c r="R235" s="57">
        <f>203.2558347579*Deflactores!$O$5</f>
        <v>397.92495330761909</v>
      </c>
      <c r="S235" s="57">
        <f>187.750250199529*Deflactores!$P$5</f>
        <v>344.2622748373114</v>
      </c>
      <c r="T235" s="57">
        <f>182.27748504479*Deflactores!$Q$5</f>
        <v>316.05419676020108</v>
      </c>
      <c r="U235" s="57">
        <f>188.942170419639*Deflactores!$R$5</f>
        <v>314.73745232711372</v>
      </c>
      <c r="V235" s="57">
        <f>197.271200076219*Deflactores!$S$5</f>
        <v>318.48405065227672</v>
      </c>
    </row>
    <row r="236" spans="2:22" x14ac:dyDescent="0.2">
      <c r="C236" s="87" t="s">
        <v>151</v>
      </c>
      <c r="D236" s="56">
        <f>16.46091882001*Deflactores!$A$5</f>
        <v>61.430759287617832</v>
      </c>
      <c r="E236" s="56">
        <f>18.10944899374*Deflactores!$B$5</f>
        <v>62.781235001274794</v>
      </c>
      <c r="F236" s="56">
        <f>17.47866282195*Deflactores!$C$5</f>
        <v>56.634642666392928</v>
      </c>
      <c r="G236" s="56">
        <f>16.009800203*Deflactores!$D$5</f>
        <v>48.713068980069842</v>
      </c>
      <c r="H236" s="56">
        <f>9.35166163069*Deflactores!$E$5</f>
        <v>26.971700261543287</v>
      </c>
      <c r="I236" s="56">
        <f>8.50765923445*Deflactores!$F$5</f>
        <v>23.401289906111142</v>
      </c>
      <c r="J236" s="56">
        <f>13.2880476868099*Deflactores!$G$5</f>
        <v>34.983741299525484</v>
      </c>
      <c r="K236" s="56">
        <f>12.5065585275899*Deflactores!$H$5</f>
        <v>31.152339368528814</v>
      </c>
      <c r="L236" s="56">
        <f>8.44150337384*Deflactores!$I$5</f>
        <v>19.528113874017098</v>
      </c>
      <c r="M236" s="56">
        <f>6.877948654*Deflactores!$J$5</f>
        <v>15.59881330059007</v>
      </c>
      <c r="N236" s="56">
        <f>8.81691673772999*Deflactores!$K$5</f>
        <v>19.381652150715993</v>
      </c>
      <c r="O236" s="56">
        <f>322.19907733797*Deflactores!$L$5</f>
        <v>682.82253952631152</v>
      </c>
      <c r="P236" s="56">
        <f>1351.0575654521*Deflactores!$M$5</f>
        <v>2795.0387930188817</v>
      </c>
      <c r="Q236" s="56">
        <f>1460.99136627098*Deflactores!$N$5</f>
        <v>2964.9474911270108</v>
      </c>
      <c r="R236" s="56">
        <f>1515.81470727709*Deflactores!$O$5</f>
        <v>2967.5925285721437</v>
      </c>
      <c r="S236" s="56">
        <f>1587.73106439595*Deflactores!$P$5</f>
        <v>2911.2925680681019</v>
      </c>
      <c r="T236" s="56">
        <f>1737.21182061143*Deflactores!$Q$5</f>
        <v>3012.1826973350894</v>
      </c>
      <c r="U236" s="56">
        <f>1937.02395482534*Deflactores!$R$5</f>
        <v>3226.6697438919073</v>
      </c>
      <c r="V236" s="56">
        <f>1955.82088193534*Deflactores!$S$5</f>
        <v>3157.5706772626131</v>
      </c>
    </row>
    <row r="237" spans="2:22" x14ac:dyDescent="0.2">
      <c r="C237" s="79" t="s">
        <v>179</v>
      </c>
      <c r="D237" s="44">
        <f t="shared" ref="D237:V237" si="63">+SUM(D208:D236)</f>
        <v>77287.269234086794</v>
      </c>
      <c r="E237" s="44">
        <f t="shared" si="63"/>
        <v>89200.92195878402</v>
      </c>
      <c r="F237" s="44">
        <f t="shared" si="63"/>
        <v>91516.416161490153</v>
      </c>
      <c r="G237" s="44">
        <f t="shared" si="63"/>
        <v>93220.834380796878</v>
      </c>
      <c r="H237" s="44">
        <f t="shared" si="63"/>
        <v>102512.24729157871</v>
      </c>
      <c r="I237" s="44">
        <f t="shared" si="63"/>
        <v>115430.18284232856</v>
      </c>
      <c r="J237" s="44">
        <f t="shared" si="63"/>
        <v>120942.02972064003</v>
      </c>
      <c r="K237" s="44">
        <f t="shared" si="63"/>
        <v>126888.05098573028</v>
      </c>
      <c r="L237" s="44">
        <f t="shared" si="63"/>
        <v>133647.4405888835</v>
      </c>
      <c r="M237" s="44">
        <f t="shared" si="63"/>
        <v>142970.90346276274</v>
      </c>
      <c r="N237" s="44">
        <f t="shared" si="63"/>
        <v>147494.82504607085</v>
      </c>
      <c r="O237" s="44">
        <f t="shared" si="63"/>
        <v>149975.06322618766</v>
      </c>
      <c r="P237" s="44">
        <f t="shared" si="63"/>
        <v>158557.2633190632</v>
      </c>
      <c r="Q237" s="44">
        <f t="shared" si="63"/>
        <v>174357.98081082871</v>
      </c>
      <c r="R237" s="44">
        <f t="shared" si="63"/>
        <v>184652.25410647731</v>
      </c>
      <c r="S237" s="44">
        <f t="shared" si="63"/>
        <v>183892.58893627557</v>
      </c>
      <c r="T237" s="44">
        <f t="shared" si="63"/>
        <v>188846.34569893259</v>
      </c>
      <c r="U237" s="44">
        <f t="shared" si="63"/>
        <v>208296.33860620798</v>
      </c>
      <c r="V237" s="44">
        <f t="shared" si="63"/>
        <v>213672.54284095851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64" t="s">
        <v>193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1.5" customHeight="1" x14ac:dyDescent="0.2">
      <c r="H243" s="27"/>
      <c r="I243" s="27"/>
      <c r="J243" s="27"/>
      <c r="L243" s="179"/>
      <c r="M243" s="160"/>
      <c r="N243" s="160"/>
      <c r="O243" s="160"/>
      <c r="P243" s="160"/>
      <c r="Q243" s="160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1" t="s">
        <v>120</v>
      </c>
      <c r="D245" s="155">
        <v>2000</v>
      </c>
      <c r="E245" s="155">
        <v>2001</v>
      </c>
      <c r="F245" s="155">
        <v>2002</v>
      </c>
      <c r="G245" s="155">
        <v>2003</v>
      </c>
      <c r="H245" s="155">
        <v>2004</v>
      </c>
      <c r="I245" s="155">
        <v>2005</v>
      </c>
      <c r="J245" s="155">
        <v>2006</v>
      </c>
      <c r="K245" s="155">
        <v>2007</v>
      </c>
      <c r="L245" s="155">
        <v>2008</v>
      </c>
      <c r="M245" s="155">
        <v>2009</v>
      </c>
      <c r="N245" s="155">
        <v>2010</v>
      </c>
      <c r="O245" s="155">
        <v>2011</v>
      </c>
      <c r="P245" s="155">
        <v>2012</v>
      </c>
      <c r="Q245" s="155">
        <v>2013</v>
      </c>
      <c r="R245" s="155">
        <v>2014</v>
      </c>
      <c r="S245" s="155">
        <v>2015</v>
      </c>
      <c r="T245" s="155">
        <v>2016</v>
      </c>
      <c r="U245" s="155">
        <v>2017</v>
      </c>
      <c r="V245" s="155">
        <v>2018</v>
      </c>
    </row>
    <row r="246" spans="3:22" ht="12" customHeight="1" thickBot="1" x14ac:dyDescent="0.25">
      <c r="C246" s="162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</row>
    <row r="247" spans="3:22" x14ac:dyDescent="0.2">
      <c r="C247" s="87" t="s">
        <v>123</v>
      </c>
      <c r="D247" s="60">
        <f t="shared" ref="D247:V247" si="64">+IFERROR(IF(D208&gt;0,+((D208/D14)*100)," "),"")</f>
        <v>84.374993281080847</v>
      </c>
      <c r="E247" s="60">
        <f t="shared" si="64"/>
        <v>91.457003170426304</v>
      </c>
      <c r="F247" s="60">
        <f t="shared" si="64"/>
        <v>88.054493433205721</v>
      </c>
      <c r="G247" s="60">
        <f t="shared" si="64"/>
        <v>86.933825221952404</v>
      </c>
      <c r="H247" s="60">
        <f t="shared" si="64"/>
        <v>83.321242349260444</v>
      </c>
      <c r="I247" s="60">
        <f t="shared" si="64"/>
        <v>82.593340497349246</v>
      </c>
      <c r="J247" s="60">
        <f t="shared" si="64"/>
        <v>80.871844328172955</v>
      </c>
      <c r="K247" s="60">
        <f t="shared" si="64"/>
        <v>91.593982336966008</v>
      </c>
      <c r="L247" s="60">
        <f t="shared" si="64"/>
        <v>93.319200850866196</v>
      </c>
      <c r="M247" s="60">
        <f t="shared" si="64"/>
        <v>94.818166827072432</v>
      </c>
      <c r="N247" s="60">
        <f t="shared" si="64"/>
        <v>93.290625962250147</v>
      </c>
      <c r="O247" s="60">
        <f t="shared" si="64"/>
        <v>95.245164677840137</v>
      </c>
      <c r="P247" s="60">
        <f t="shared" si="64"/>
        <v>75.821857037201525</v>
      </c>
      <c r="Q247" s="60">
        <f t="shared" si="64"/>
        <v>81.477740167826084</v>
      </c>
      <c r="R247" s="60">
        <f t="shared" si="64"/>
        <v>86.928872975039084</v>
      </c>
      <c r="S247" s="60">
        <f t="shared" si="64"/>
        <v>90.767905673643185</v>
      </c>
      <c r="T247" s="60">
        <f t="shared" si="64"/>
        <v>88.855903831331901</v>
      </c>
      <c r="U247" s="60">
        <f t="shared" si="64"/>
        <v>83.080370324784781</v>
      </c>
      <c r="V247" s="60">
        <f t="shared" si="64"/>
        <v>78.913595009818522</v>
      </c>
    </row>
    <row r="248" spans="3:22" x14ac:dyDescent="0.2">
      <c r="C248" s="88" t="s">
        <v>124</v>
      </c>
      <c r="D248" s="62">
        <f t="shared" ref="D248:V248" si="65">+IFERROR(IF(D209&gt;0,+((D209/D15)*100)," "),"")</f>
        <v>83.092431804818716</v>
      </c>
      <c r="E248" s="62">
        <f t="shared" si="65"/>
        <v>89.145319930130455</v>
      </c>
      <c r="F248" s="62">
        <f t="shared" si="65"/>
        <v>86.088423068644843</v>
      </c>
      <c r="G248" s="62">
        <f t="shared" si="65"/>
        <v>84.458374532707339</v>
      </c>
      <c r="H248" s="62">
        <f t="shared" si="65"/>
        <v>88.633242852497418</v>
      </c>
      <c r="I248" s="62">
        <f t="shared" si="65"/>
        <v>90.514275495045979</v>
      </c>
      <c r="J248" s="62">
        <f t="shared" si="65"/>
        <v>89.678668363308063</v>
      </c>
      <c r="K248" s="62">
        <f t="shared" si="65"/>
        <v>89.208132896003775</v>
      </c>
      <c r="L248" s="62">
        <f t="shared" si="65"/>
        <v>98.986238044864152</v>
      </c>
      <c r="M248" s="62">
        <f t="shared" si="65"/>
        <v>98.964542802924711</v>
      </c>
      <c r="N248" s="62">
        <f t="shared" si="65"/>
        <v>96.543851912870551</v>
      </c>
      <c r="O248" s="62">
        <f t="shared" si="65"/>
        <v>98.335271298807214</v>
      </c>
      <c r="P248" s="62">
        <f t="shared" si="65"/>
        <v>80.918101315842122</v>
      </c>
      <c r="Q248" s="62">
        <f t="shared" si="65"/>
        <v>84.13486565019646</v>
      </c>
      <c r="R248" s="62">
        <f t="shared" si="65"/>
        <v>92.546196511313852</v>
      </c>
      <c r="S248" s="62">
        <f t="shared" si="65"/>
        <v>92.077788324114394</v>
      </c>
      <c r="T248" s="62">
        <f t="shared" si="65"/>
        <v>93.651428074469578</v>
      </c>
      <c r="U248" s="62">
        <f t="shared" si="65"/>
        <v>93.293937343321943</v>
      </c>
      <c r="V248" s="62">
        <f t="shared" si="65"/>
        <v>94.621763924193729</v>
      </c>
    </row>
    <row r="249" spans="3:22" x14ac:dyDescent="0.2">
      <c r="C249" s="87" t="s">
        <v>125</v>
      </c>
      <c r="D249" s="60">
        <f t="shared" ref="D249:V249" si="66">+IFERROR(IF(D210&gt;0,+((D210/D16)*100)," "),"")</f>
        <v>96.617071685740996</v>
      </c>
      <c r="E249" s="60">
        <f t="shared" si="66"/>
        <v>95.217952059984043</v>
      </c>
      <c r="F249" s="60">
        <f t="shared" si="66"/>
        <v>96.236960896021415</v>
      </c>
      <c r="G249" s="60">
        <f t="shared" si="66"/>
        <v>96.788200665292294</v>
      </c>
      <c r="H249" s="60">
        <f t="shared" si="66"/>
        <v>92.964720642537173</v>
      </c>
      <c r="I249" s="60">
        <f t="shared" si="66"/>
        <v>96.377774519670069</v>
      </c>
      <c r="J249" s="60">
        <f t="shared" si="66"/>
        <v>93.432215022393507</v>
      </c>
      <c r="K249" s="60">
        <f t="shared" si="66"/>
        <v>90.231416320115613</v>
      </c>
      <c r="L249" s="60">
        <f t="shared" si="66"/>
        <v>97.304454520164271</v>
      </c>
      <c r="M249" s="60">
        <f t="shared" si="66"/>
        <v>24.934300810663387</v>
      </c>
      <c r="N249" s="60">
        <f t="shared" si="66"/>
        <v>33.326930658897268</v>
      </c>
      <c r="O249" s="60">
        <f t="shared" si="66"/>
        <v>87.429890425665533</v>
      </c>
      <c r="P249" s="60">
        <f t="shared" si="66"/>
        <v>70.200020596130742</v>
      </c>
      <c r="Q249" s="60">
        <f t="shared" si="66"/>
        <v>87.892022511799411</v>
      </c>
      <c r="R249" s="60">
        <f t="shared" si="66"/>
        <v>87.385997176036852</v>
      </c>
      <c r="S249" s="60">
        <f t="shared" si="66"/>
        <v>91.036208855582487</v>
      </c>
      <c r="T249" s="60">
        <f t="shared" si="66"/>
        <v>92.133528138737958</v>
      </c>
      <c r="U249" s="60">
        <f t="shared" si="66"/>
        <v>90.208215217937735</v>
      </c>
      <c r="V249" s="60">
        <f t="shared" si="66"/>
        <v>92.111940480501588</v>
      </c>
    </row>
    <row r="250" spans="3:22" x14ac:dyDescent="0.2">
      <c r="C250" s="88" t="s">
        <v>126</v>
      </c>
      <c r="D250" s="62">
        <f t="shared" ref="D250:V250" si="67">+IFERROR(IF(D211&gt;0,+((D211/D17)*100)," "),"")</f>
        <v>76.918680448558447</v>
      </c>
      <c r="E250" s="62">
        <f t="shared" si="67"/>
        <v>89.54406972122591</v>
      </c>
      <c r="F250" s="62">
        <f t="shared" si="67"/>
        <v>92.1543684634794</v>
      </c>
      <c r="G250" s="62">
        <f t="shared" si="67"/>
        <v>86.591240974535339</v>
      </c>
      <c r="H250" s="62">
        <f t="shared" si="67"/>
        <v>89.233508705093257</v>
      </c>
      <c r="I250" s="62">
        <f t="shared" si="67"/>
        <v>91.570038777680622</v>
      </c>
      <c r="J250" s="62">
        <f t="shared" si="67"/>
        <v>73.213542572440389</v>
      </c>
      <c r="K250" s="62">
        <f t="shared" si="67"/>
        <v>88.458453080030054</v>
      </c>
      <c r="L250" s="62">
        <f t="shared" si="67"/>
        <v>89.625160850076142</v>
      </c>
      <c r="M250" s="62">
        <f t="shared" si="67"/>
        <v>87.016091595951053</v>
      </c>
      <c r="N250" s="62">
        <f t="shared" si="67"/>
        <v>90.015665037055399</v>
      </c>
      <c r="O250" s="62">
        <f t="shared" si="67"/>
        <v>90.709088646583396</v>
      </c>
      <c r="P250" s="62">
        <f t="shared" si="67"/>
        <v>86.327353009203904</v>
      </c>
      <c r="Q250" s="62">
        <f t="shared" si="67"/>
        <v>77.239468689906232</v>
      </c>
      <c r="R250" s="62">
        <f t="shared" si="67"/>
        <v>83.430509275102523</v>
      </c>
      <c r="S250" s="62">
        <f t="shared" si="67"/>
        <v>87.107509545126334</v>
      </c>
      <c r="T250" s="62">
        <f t="shared" si="67"/>
        <v>93.355134749701179</v>
      </c>
      <c r="U250" s="62">
        <f t="shared" si="67"/>
        <v>87.911107171153645</v>
      </c>
      <c r="V250" s="62">
        <f t="shared" si="67"/>
        <v>95.964797455600987</v>
      </c>
    </row>
    <row r="251" spans="3:22" x14ac:dyDescent="0.2">
      <c r="C251" s="87" t="s">
        <v>127</v>
      </c>
      <c r="D251" s="60">
        <f t="shared" ref="D251:V251" si="68">+IFERROR(IF(D212&gt;0,+((D212/D18)*100)," "),"")</f>
        <v>83.645771919463215</v>
      </c>
      <c r="E251" s="60">
        <f t="shared" si="68"/>
        <v>88.763520598214711</v>
      </c>
      <c r="F251" s="60">
        <f t="shared" si="68"/>
        <v>94.253791505514869</v>
      </c>
      <c r="G251" s="60">
        <f t="shared" si="68"/>
        <v>94.712412022184381</v>
      </c>
      <c r="H251" s="60">
        <f t="shared" si="68"/>
        <v>92.166551913861113</v>
      </c>
      <c r="I251" s="60">
        <f t="shared" si="68"/>
        <v>95.134793392056352</v>
      </c>
      <c r="J251" s="60">
        <f t="shared" si="68"/>
        <v>93.726610348659406</v>
      </c>
      <c r="K251" s="60">
        <f t="shared" si="68"/>
        <v>97.179322703567564</v>
      </c>
      <c r="L251" s="60">
        <f t="shared" si="68"/>
        <v>95.674974316140862</v>
      </c>
      <c r="M251" s="60">
        <f t="shared" si="68"/>
        <v>96.336797194101905</v>
      </c>
      <c r="N251" s="60">
        <f t="shared" si="68"/>
        <v>96.800393736583572</v>
      </c>
      <c r="O251" s="60">
        <f t="shared" si="68"/>
        <v>97.642136345622745</v>
      </c>
      <c r="P251" s="60">
        <f t="shared" si="68"/>
        <v>95.881928516000542</v>
      </c>
      <c r="Q251" s="60">
        <f t="shared" si="68"/>
        <v>94.427675514042946</v>
      </c>
      <c r="R251" s="60">
        <f t="shared" si="68"/>
        <v>96.302275137462686</v>
      </c>
      <c r="S251" s="60">
        <f t="shared" si="68"/>
        <v>96.479269296368159</v>
      </c>
      <c r="T251" s="60">
        <f t="shared" si="68"/>
        <v>96.752422817067938</v>
      </c>
      <c r="U251" s="60">
        <f t="shared" si="68"/>
        <v>96.46616276405318</v>
      </c>
      <c r="V251" s="60">
        <f t="shared" si="68"/>
        <v>95.994180668059457</v>
      </c>
    </row>
    <row r="252" spans="3:22" x14ac:dyDescent="0.2">
      <c r="C252" s="88" t="s">
        <v>128</v>
      </c>
      <c r="D252" s="62">
        <f t="shared" ref="D252:V252" si="69">+IFERROR(IF(D213&gt;0,+((D213/D19)*100)," "),"")</f>
        <v>82.341632019808856</v>
      </c>
      <c r="E252" s="62">
        <f t="shared" si="69"/>
        <v>89.427230720217267</v>
      </c>
      <c r="F252" s="62">
        <f t="shared" si="69"/>
        <v>75.203411530750742</v>
      </c>
      <c r="G252" s="62">
        <f t="shared" si="69"/>
        <v>81.944646655209297</v>
      </c>
      <c r="H252" s="62">
        <f t="shared" si="69"/>
        <v>80.402466908600047</v>
      </c>
      <c r="I252" s="62">
        <f t="shared" si="69"/>
        <v>84.689654796925481</v>
      </c>
      <c r="J252" s="62">
        <f t="shared" si="69"/>
        <v>90.676556177813552</v>
      </c>
      <c r="K252" s="62">
        <f t="shared" si="69"/>
        <v>90.038152500225024</v>
      </c>
      <c r="L252" s="62">
        <f t="shared" si="69"/>
        <v>85.951124929754329</v>
      </c>
      <c r="M252" s="62">
        <f t="shared" si="69"/>
        <v>87.702255444122898</v>
      </c>
      <c r="N252" s="62">
        <f t="shared" si="69"/>
        <v>87.795075799091691</v>
      </c>
      <c r="O252" s="62">
        <f t="shared" si="69"/>
        <v>90.856548909731544</v>
      </c>
      <c r="P252" s="62">
        <f t="shared" si="69"/>
        <v>88.613646739245397</v>
      </c>
      <c r="Q252" s="62">
        <f t="shared" si="69"/>
        <v>91.498560078730733</v>
      </c>
      <c r="R252" s="62">
        <f t="shared" si="69"/>
        <v>93.977238290998329</v>
      </c>
      <c r="S252" s="62">
        <f t="shared" si="69"/>
        <v>96.802638538546901</v>
      </c>
      <c r="T252" s="62">
        <f t="shared" si="69"/>
        <v>95.245490462158529</v>
      </c>
      <c r="U252" s="62">
        <f t="shared" si="69"/>
        <v>91.13251073290408</v>
      </c>
      <c r="V252" s="62">
        <f t="shared" si="69"/>
        <v>96.207397627409279</v>
      </c>
    </row>
    <row r="253" spans="3:22" x14ac:dyDescent="0.2">
      <c r="C253" s="87" t="s">
        <v>129</v>
      </c>
      <c r="D253" s="60">
        <f t="shared" ref="D253:V253" si="70">+IFERROR(IF(D214&gt;0,+((D214/D20)*100)," "),"")</f>
        <v>87.555792425268223</v>
      </c>
      <c r="E253" s="60">
        <f t="shared" si="70"/>
        <v>92.197783496161307</v>
      </c>
      <c r="F253" s="60">
        <f t="shared" si="70"/>
        <v>89.608958210176453</v>
      </c>
      <c r="G253" s="60">
        <f t="shared" si="70"/>
        <v>88.937442889400458</v>
      </c>
      <c r="H253" s="60">
        <f t="shared" si="70"/>
        <v>85.899550556304746</v>
      </c>
      <c r="I253" s="60">
        <f t="shared" si="70"/>
        <v>88.233512292489522</v>
      </c>
      <c r="J253" s="60">
        <f t="shared" si="70"/>
        <v>91.647564025541669</v>
      </c>
      <c r="K253" s="60">
        <f t="shared" si="70"/>
        <v>95.255399053380131</v>
      </c>
      <c r="L253" s="60">
        <f t="shared" si="70"/>
        <v>96.572537699504309</v>
      </c>
      <c r="M253" s="60">
        <f t="shared" si="70"/>
        <v>94.528320970159982</v>
      </c>
      <c r="N253" s="60">
        <f t="shared" si="70"/>
        <v>94.76328701151769</v>
      </c>
      <c r="O253" s="60">
        <f t="shared" si="70"/>
        <v>95.064453717235736</v>
      </c>
      <c r="P253" s="60">
        <f t="shared" si="70"/>
        <v>96.208473684851299</v>
      </c>
      <c r="Q253" s="60">
        <f t="shared" si="70"/>
        <v>96.83192780259084</v>
      </c>
      <c r="R253" s="60">
        <f t="shared" si="70"/>
        <v>95.772982748723265</v>
      </c>
      <c r="S253" s="60">
        <f t="shared" si="70"/>
        <v>95.039982881193708</v>
      </c>
      <c r="T253" s="60">
        <f t="shared" si="70"/>
        <v>94.065956340883702</v>
      </c>
      <c r="U253" s="60">
        <f t="shared" si="70"/>
        <v>94.878542892785774</v>
      </c>
      <c r="V253" s="60">
        <f t="shared" si="70"/>
        <v>96.170582915459775</v>
      </c>
    </row>
    <row r="254" spans="3:22" x14ac:dyDescent="0.2">
      <c r="C254" s="88" t="s">
        <v>130</v>
      </c>
      <c r="D254" s="62">
        <f t="shared" ref="D254:V254" si="71">+IFERROR(IF(D215&gt;0,+((D215/D21)*100)," "),"")</f>
        <v>88.372624194891046</v>
      </c>
      <c r="E254" s="62">
        <f t="shared" si="71"/>
        <v>94.930110225200863</v>
      </c>
      <c r="F254" s="62">
        <f t="shared" si="71"/>
        <v>87.319297430263475</v>
      </c>
      <c r="G254" s="62">
        <f t="shared" si="71"/>
        <v>89.134518931164806</v>
      </c>
      <c r="H254" s="62">
        <f t="shared" si="71"/>
        <v>90.03404087169649</v>
      </c>
      <c r="I254" s="62">
        <f t="shared" si="71"/>
        <v>91.480836512115502</v>
      </c>
      <c r="J254" s="62">
        <f t="shared" si="71"/>
        <v>88.206205511813451</v>
      </c>
      <c r="K254" s="62">
        <f t="shared" si="71"/>
        <v>94.2645013749339</v>
      </c>
      <c r="L254" s="62">
        <f t="shared" si="71"/>
        <v>93.803385261395718</v>
      </c>
      <c r="M254" s="62">
        <f t="shared" si="71"/>
        <v>94.874166743696733</v>
      </c>
      <c r="N254" s="62">
        <f t="shared" si="71"/>
        <v>88.306674442939098</v>
      </c>
      <c r="O254" s="62">
        <f t="shared" si="71"/>
        <v>92.164079388089789</v>
      </c>
      <c r="P254" s="62">
        <f t="shared" si="71"/>
        <v>73.561451676250854</v>
      </c>
      <c r="Q254" s="62">
        <f t="shared" si="71"/>
        <v>88.217921579711984</v>
      </c>
      <c r="R254" s="62">
        <f t="shared" si="71"/>
        <v>94.983421742921777</v>
      </c>
      <c r="S254" s="62">
        <f t="shared" si="71"/>
        <v>94.726846150602583</v>
      </c>
      <c r="T254" s="62">
        <f t="shared" si="71"/>
        <v>90.343816120660279</v>
      </c>
      <c r="U254" s="62">
        <f t="shared" si="71"/>
        <v>96.143624091004767</v>
      </c>
      <c r="V254" s="62">
        <f t="shared" si="71"/>
        <v>95.776017388130214</v>
      </c>
    </row>
    <row r="255" spans="3:22" x14ac:dyDescent="0.2">
      <c r="C255" s="87" t="s">
        <v>131</v>
      </c>
      <c r="D255" s="60">
        <f t="shared" ref="D255:V255" si="72">+IFERROR(IF(D216&gt;0,+((D216/D22)*100)," "),"")</f>
        <v>90.074932640915179</v>
      </c>
      <c r="E255" s="60">
        <f t="shared" si="72"/>
        <v>96.48002051068903</v>
      </c>
      <c r="F255" s="60">
        <f t="shared" si="72"/>
        <v>95.665175755172498</v>
      </c>
      <c r="G255" s="60">
        <f t="shared" si="72"/>
        <v>95.806574638462422</v>
      </c>
      <c r="H255" s="60">
        <f t="shared" si="72"/>
        <v>97.442715257938971</v>
      </c>
      <c r="I255" s="60">
        <f t="shared" si="72"/>
        <v>99.365670947628473</v>
      </c>
      <c r="J255" s="60">
        <f t="shared" si="72"/>
        <v>99.001379058872018</v>
      </c>
      <c r="K255" s="60">
        <f t="shared" si="72"/>
        <v>99.176904580275263</v>
      </c>
      <c r="L255" s="60">
        <f t="shared" si="72"/>
        <v>97.43908832152222</v>
      </c>
      <c r="M255" s="60">
        <f t="shared" si="72"/>
        <v>98.366284465841758</v>
      </c>
      <c r="N255" s="60">
        <f t="shared" si="72"/>
        <v>96.507772543799391</v>
      </c>
      <c r="O255" s="60">
        <f t="shared" si="72"/>
        <v>98.704187172307314</v>
      </c>
      <c r="P255" s="60">
        <f t="shared" si="72"/>
        <v>97.07225398402953</v>
      </c>
      <c r="Q255" s="60">
        <f t="shared" si="72"/>
        <v>99.003627720906493</v>
      </c>
      <c r="R255" s="60">
        <f t="shared" si="72"/>
        <v>97.783405575004352</v>
      </c>
      <c r="S255" s="60">
        <f t="shared" si="72"/>
        <v>99.605150038482776</v>
      </c>
      <c r="T255" s="60">
        <f t="shared" si="72"/>
        <v>99.101755103856064</v>
      </c>
      <c r="U255" s="60">
        <f t="shared" si="72"/>
        <v>99.926157123128064</v>
      </c>
      <c r="V255" s="60">
        <f t="shared" si="72"/>
        <v>99.572596192715707</v>
      </c>
    </row>
    <row r="256" spans="3:22" x14ac:dyDescent="0.2">
      <c r="C256" s="88" t="s">
        <v>132</v>
      </c>
      <c r="D256" s="62">
        <f t="shared" ref="D256:V256" si="73">+IFERROR(IF(D217&gt;0,+((D217/D23)*100)," "),"")</f>
        <v>89.576768831390837</v>
      </c>
      <c r="E256" s="62">
        <f t="shared" si="73"/>
        <v>93.308450495912481</v>
      </c>
      <c r="F256" s="62">
        <f t="shared" si="73"/>
        <v>93.58055210283537</v>
      </c>
      <c r="G256" s="62">
        <f t="shared" si="73"/>
        <v>89.083224537274489</v>
      </c>
      <c r="H256" s="62">
        <f t="shared" si="73"/>
        <v>88.345721321989615</v>
      </c>
      <c r="I256" s="62">
        <f t="shared" si="73"/>
        <v>84.326778127515794</v>
      </c>
      <c r="J256" s="62">
        <f t="shared" si="73"/>
        <v>92.692109801052808</v>
      </c>
      <c r="K256" s="62">
        <f t="shared" si="73"/>
        <v>90.612223183474043</v>
      </c>
      <c r="L256" s="62">
        <f t="shared" si="73"/>
        <v>90.750239136098074</v>
      </c>
      <c r="M256" s="62">
        <f t="shared" si="73"/>
        <v>83.060533242408567</v>
      </c>
      <c r="N256" s="62">
        <f t="shared" si="73"/>
        <v>74.216472327797462</v>
      </c>
      <c r="O256" s="62">
        <f t="shared" si="73"/>
        <v>81.093611812889165</v>
      </c>
      <c r="P256" s="62">
        <f t="shared" si="73"/>
        <v>87.717996828640906</v>
      </c>
      <c r="Q256" s="62">
        <f t="shared" si="73"/>
        <v>88.686579428559156</v>
      </c>
      <c r="R256" s="62">
        <f t="shared" si="73"/>
        <v>92.076711606106471</v>
      </c>
      <c r="S256" s="62">
        <f t="shared" si="73"/>
        <v>93.67437510500713</v>
      </c>
      <c r="T256" s="62">
        <f t="shared" si="73"/>
        <v>95.122919080238475</v>
      </c>
      <c r="U256" s="62">
        <f t="shared" si="73"/>
        <v>96.427548768749688</v>
      </c>
      <c r="V256" s="62">
        <f t="shared" si="73"/>
        <v>96.459909161697212</v>
      </c>
    </row>
    <row r="257" spans="3:22" x14ac:dyDescent="0.2">
      <c r="C257" s="87" t="s">
        <v>133</v>
      </c>
      <c r="D257" s="60">
        <f t="shared" ref="D257:V257" si="74">+IFERROR(IF(D218&gt;0,+((D218/D24)*100)," "),"")</f>
        <v>89.556255437807522</v>
      </c>
      <c r="E257" s="60">
        <f t="shared" si="74"/>
        <v>95.939521088850327</v>
      </c>
      <c r="F257" s="60">
        <f t="shared" si="74"/>
        <v>92.87954070688636</v>
      </c>
      <c r="G257" s="60">
        <f t="shared" si="74"/>
        <v>92.258520678268511</v>
      </c>
      <c r="H257" s="60">
        <f t="shared" si="74"/>
        <v>93.759398672545828</v>
      </c>
      <c r="I257" s="60">
        <f t="shared" si="74"/>
        <v>96.423839701089221</v>
      </c>
      <c r="J257" s="60">
        <f t="shared" si="74"/>
        <v>95.459373872506575</v>
      </c>
      <c r="K257" s="60">
        <f t="shared" si="74"/>
        <v>94.823244563751601</v>
      </c>
      <c r="L257" s="60">
        <f t="shared" si="74"/>
        <v>94.971686366243375</v>
      </c>
      <c r="M257" s="60">
        <f t="shared" si="74"/>
        <v>94.741680202634399</v>
      </c>
      <c r="N257" s="60">
        <f t="shared" si="74"/>
        <v>90.973086383379766</v>
      </c>
      <c r="O257" s="60">
        <f t="shared" si="74"/>
        <v>91.082730069211024</v>
      </c>
      <c r="P257" s="60">
        <f t="shared" si="74"/>
        <v>89.727436781051821</v>
      </c>
      <c r="Q257" s="60">
        <f t="shared" si="74"/>
        <v>92.028316601131877</v>
      </c>
      <c r="R257" s="60">
        <f t="shared" si="74"/>
        <v>88.409759058258416</v>
      </c>
      <c r="S257" s="60">
        <f t="shared" si="74"/>
        <v>87.358124968367207</v>
      </c>
      <c r="T257" s="60">
        <f t="shared" si="74"/>
        <v>91.932832299776962</v>
      </c>
      <c r="U257" s="60">
        <f t="shared" si="74"/>
        <v>92.597522757136744</v>
      </c>
      <c r="V257" s="60">
        <f t="shared" si="74"/>
        <v>92.973746374044239</v>
      </c>
    </row>
    <row r="258" spans="3:22" x14ac:dyDescent="0.2">
      <c r="C258" s="88" t="s">
        <v>134</v>
      </c>
      <c r="D258" s="62">
        <f t="shared" ref="D258:V258" si="75">+IFERROR(IF(D219&gt;0,+((D219/D25)*100)," "),"")</f>
        <v>69.439987586864092</v>
      </c>
      <c r="E258" s="62">
        <f t="shared" si="75"/>
        <v>82.724068421865553</v>
      </c>
      <c r="F258" s="62">
        <f t="shared" si="75"/>
        <v>80.996606065919423</v>
      </c>
      <c r="G258" s="62">
        <f t="shared" si="75"/>
        <v>85.58471131306888</v>
      </c>
      <c r="H258" s="62">
        <f t="shared" si="75"/>
        <v>84.421782382328658</v>
      </c>
      <c r="I258" s="62">
        <f t="shared" si="75"/>
        <v>90.488518639817357</v>
      </c>
      <c r="J258" s="62">
        <f t="shared" si="75"/>
        <v>91.64664406086338</v>
      </c>
      <c r="K258" s="62">
        <f t="shared" si="75"/>
        <v>80.216390438413754</v>
      </c>
      <c r="L258" s="62">
        <f t="shared" si="75"/>
        <v>75.515043491092513</v>
      </c>
      <c r="M258" s="62">
        <f t="shared" si="75"/>
        <v>69.069857954746723</v>
      </c>
      <c r="N258" s="62">
        <f t="shared" si="75"/>
        <v>70.992242763381213</v>
      </c>
      <c r="O258" s="62">
        <f t="shared" si="75"/>
        <v>83.348663464644176</v>
      </c>
      <c r="P258" s="62">
        <f t="shared" si="75"/>
        <v>84.524766317670611</v>
      </c>
      <c r="Q258" s="62">
        <f t="shared" si="75"/>
        <v>56.5817239221305</v>
      </c>
      <c r="R258" s="62">
        <f t="shared" si="75"/>
        <v>68.665922651114414</v>
      </c>
      <c r="S258" s="62">
        <f t="shared" si="75"/>
        <v>87.919713107276138</v>
      </c>
      <c r="T258" s="62">
        <f t="shared" si="75"/>
        <v>90.934381189913466</v>
      </c>
      <c r="U258" s="62">
        <f t="shared" si="75"/>
        <v>92.025433941594486</v>
      </c>
      <c r="V258" s="62">
        <f t="shared" si="75"/>
        <v>87.380676217437497</v>
      </c>
    </row>
    <row r="259" spans="3:22" x14ac:dyDescent="0.2">
      <c r="C259" s="87" t="s">
        <v>135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3:22" x14ac:dyDescent="0.2">
      <c r="C260" s="88" t="s">
        <v>136</v>
      </c>
      <c r="D260" s="62">
        <f t="shared" ref="D260:V260" si="76">+IFERROR(IF(D221&gt;0,+((D221/D27)*100)," "),"")</f>
        <v>81.475434583387141</v>
      </c>
      <c r="E260" s="62">
        <f t="shared" si="76"/>
        <v>91.117898204911313</v>
      </c>
      <c r="F260" s="62">
        <f t="shared" si="76"/>
        <v>89.39076798775271</v>
      </c>
      <c r="G260" s="62">
        <f t="shared" si="76"/>
        <v>84.427891146065335</v>
      </c>
      <c r="H260" s="62">
        <f t="shared" si="76"/>
        <v>88.725388311609223</v>
      </c>
      <c r="I260" s="62">
        <f t="shared" si="76"/>
        <v>91.565233013477297</v>
      </c>
      <c r="J260" s="62">
        <f t="shared" si="76"/>
        <v>12.633986058414184</v>
      </c>
      <c r="K260" s="62">
        <f t="shared" si="76"/>
        <v>90.340452370996928</v>
      </c>
      <c r="L260" s="62">
        <f t="shared" si="76"/>
        <v>35.070189720152641</v>
      </c>
      <c r="M260" s="62">
        <f t="shared" si="76"/>
        <v>93.913977112991688</v>
      </c>
      <c r="N260" s="62">
        <f t="shared" si="76"/>
        <v>96.363771444593965</v>
      </c>
      <c r="O260" s="62">
        <f t="shared" si="76"/>
        <v>97.117422088426252</v>
      </c>
      <c r="P260" s="62">
        <f t="shared" si="76"/>
        <v>81.609660962346197</v>
      </c>
      <c r="Q260" s="62">
        <f t="shared" si="76"/>
        <v>94.769457681642137</v>
      </c>
      <c r="R260" s="62">
        <f t="shared" si="76"/>
        <v>94.399573804459692</v>
      </c>
      <c r="S260" s="62">
        <f t="shared" si="76"/>
        <v>94.767954565021327</v>
      </c>
      <c r="T260" s="62">
        <f t="shared" si="76"/>
        <v>79.647989505000183</v>
      </c>
      <c r="U260" s="62">
        <f t="shared" si="76"/>
        <v>95.074423267244839</v>
      </c>
      <c r="V260" s="62">
        <f t="shared" si="76"/>
        <v>93.58963065500123</v>
      </c>
    </row>
    <row r="261" spans="3:22" x14ac:dyDescent="0.2">
      <c r="C261" s="87" t="s">
        <v>137</v>
      </c>
      <c r="D261" s="60">
        <f t="shared" ref="D261:V261" si="77">+IFERROR(IF(D222&gt;0,+((D222/D28)*100)," "),"")</f>
        <v>96.025803185326012</v>
      </c>
      <c r="E261" s="60">
        <f t="shared" si="77"/>
        <v>96.765591753827252</v>
      </c>
      <c r="F261" s="60">
        <f t="shared" si="77"/>
        <v>96.286527163721985</v>
      </c>
      <c r="G261" s="60">
        <f t="shared" si="77"/>
        <v>96.838573021660665</v>
      </c>
      <c r="H261" s="60">
        <f t="shared" si="77"/>
        <v>96.153753594123629</v>
      </c>
      <c r="I261" s="60">
        <f t="shared" si="77"/>
        <v>95.67525299953455</v>
      </c>
      <c r="J261" s="60">
        <f t="shared" si="77"/>
        <v>98.169819419173976</v>
      </c>
      <c r="K261" s="60">
        <f t="shared" si="77"/>
        <v>96.650095138133324</v>
      </c>
      <c r="L261" s="60">
        <f t="shared" si="77"/>
        <v>97.988559225733979</v>
      </c>
      <c r="M261" s="60">
        <f t="shared" si="77"/>
        <v>93.621610499980918</v>
      </c>
      <c r="N261" s="60">
        <f t="shared" si="77"/>
        <v>93.144497085491068</v>
      </c>
      <c r="O261" s="60">
        <f t="shared" si="77"/>
        <v>93.638344485924492</v>
      </c>
      <c r="P261" s="60">
        <f t="shared" si="77"/>
        <v>77.112831769587189</v>
      </c>
      <c r="Q261" s="60">
        <f t="shared" si="77"/>
        <v>72.677101065027728</v>
      </c>
      <c r="R261" s="60">
        <f t="shared" si="77"/>
        <v>88.644404279987086</v>
      </c>
      <c r="S261" s="60">
        <f t="shared" si="77"/>
        <v>91.22238950491159</v>
      </c>
      <c r="T261" s="60">
        <f t="shared" si="77"/>
        <v>97.095935687180969</v>
      </c>
      <c r="U261" s="60">
        <f t="shared" si="77"/>
        <v>93.381435871874487</v>
      </c>
      <c r="V261" s="60">
        <f t="shared" si="77"/>
        <v>92.585815817011266</v>
      </c>
    </row>
    <row r="262" spans="3:22" x14ac:dyDescent="0.2">
      <c r="C262" s="88" t="s">
        <v>138</v>
      </c>
      <c r="D262" s="62">
        <f t="shared" ref="D262:V262" si="78">+IFERROR(IF(D223&gt;0,+((D223/D29)*100)," "),"")</f>
        <v>91.556454621597311</v>
      </c>
      <c r="E262" s="62">
        <f t="shared" si="78"/>
        <v>92.931523888293782</v>
      </c>
      <c r="F262" s="62">
        <f t="shared" si="78"/>
        <v>93.544006335444934</v>
      </c>
      <c r="G262" s="62">
        <f t="shared" si="78"/>
        <v>90.686283242740032</v>
      </c>
      <c r="H262" s="62">
        <f t="shared" si="78"/>
        <v>92.224873167610326</v>
      </c>
      <c r="I262" s="62">
        <f t="shared" si="78"/>
        <v>90.552815033137733</v>
      </c>
      <c r="J262" s="62">
        <f t="shared" si="78"/>
        <v>86.100957819743982</v>
      </c>
      <c r="K262" s="62">
        <f t="shared" si="78"/>
        <v>89.822007278735953</v>
      </c>
      <c r="L262" s="62">
        <f t="shared" si="78"/>
        <v>88.967381752356872</v>
      </c>
      <c r="M262" s="62">
        <f t="shared" si="78"/>
        <v>86.589799659944902</v>
      </c>
      <c r="N262" s="62">
        <f t="shared" si="78"/>
        <v>82.691951112367605</v>
      </c>
      <c r="O262" s="62">
        <f t="shared" si="78"/>
        <v>87.3880904468148</v>
      </c>
      <c r="P262" s="62">
        <f t="shared" si="78"/>
        <v>73.753189192512636</v>
      </c>
      <c r="Q262" s="62">
        <f t="shared" si="78"/>
        <v>70.126848291204965</v>
      </c>
      <c r="R262" s="62">
        <f t="shared" si="78"/>
        <v>83.77505552243241</v>
      </c>
      <c r="S262" s="62">
        <f t="shared" si="78"/>
        <v>93.826555497580799</v>
      </c>
      <c r="T262" s="62">
        <f t="shared" si="78"/>
        <v>94.72857230263196</v>
      </c>
      <c r="U262" s="62">
        <f t="shared" si="78"/>
        <v>94.774253313285627</v>
      </c>
      <c r="V262" s="62">
        <f t="shared" si="78"/>
        <v>95.776340816163767</v>
      </c>
    </row>
    <row r="263" spans="3:22" x14ac:dyDescent="0.2">
      <c r="C263" s="87" t="s">
        <v>139</v>
      </c>
      <c r="D263" s="60">
        <f t="shared" ref="D263:V263" si="79">+IFERROR(IF(D224&gt;0,+((D224/D30)*100)," "),"")</f>
        <v>84.637364196739355</v>
      </c>
      <c r="E263" s="60">
        <f t="shared" si="79"/>
        <v>88.15870841358857</v>
      </c>
      <c r="F263" s="60">
        <f t="shared" si="79"/>
        <v>85.431239096267902</v>
      </c>
      <c r="G263" s="60">
        <f t="shared" si="79"/>
        <v>83.196431852029789</v>
      </c>
      <c r="H263" s="60">
        <f t="shared" si="79"/>
        <v>89.398438374788597</v>
      </c>
      <c r="I263" s="60">
        <f t="shared" si="79"/>
        <v>89.738783228751288</v>
      </c>
      <c r="J263" s="60">
        <f t="shared" si="79"/>
        <v>80.216067377594655</v>
      </c>
      <c r="K263" s="60">
        <f t="shared" si="79"/>
        <v>86.864813089398623</v>
      </c>
      <c r="L263" s="60">
        <f t="shared" si="79"/>
        <v>89.643667997763615</v>
      </c>
      <c r="M263" s="60">
        <f t="shared" si="79"/>
        <v>87.621637221936766</v>
      </c>
      <c r="N263" s="60">
        <f t="shared" si="79"/>
        <v>66.476113042495783</v>
      </c>
      <c r="O263" s="60">
        <f t="shared" si="79"/>
        <v>76.198045493343272</v>
      </c>
      <c r="P263" s="60">
        <f t="shared" si="79"/>
        <v>85.631661720579672</v>
      </c>
      <c r="Q263" s="60">
        <f t="shared" si="79"/>
        <v>89.320878132272199</v>
      </c>
      <c r="R263" s="60">
        <f t="shared" si="79"/>
        <v>86.379993243472271</v>
      </c>
      <c r="S263" s="60">
        <f t="shared" si="79"/>
        <v>84.527143877927287</v>
      </c>
      <c r="T263" s="60">
        <f t="shared" si="79"/>
        <v>85.178545257075825</v>
      </c>
      <c r="U263" s="60">
        <f t="shared" si="79"/>
        <v>83.287517726237354</v>
      </c>
      <c r="V263" s="60">
        <f t="shared" si="79"/>
        <v>87.987960308936522</v>
      </c>
    </row>
    <row r="264" spans="3:22" x14ac:dyDescent="0.2">
      <c r="C264" s="88" t="s">
        <v>140</v>
      </c>
      <c r="D264" s="62">
        <f t="shared" ref="D264:V264" si="80">+IFERROR(IF(D225&gt;0,+((D225/D31)*100)," "),"")</f>
        <v>74.567540552755247</v>
      </c>
      <c r="E264" s="62">
        <f t="shared" si="80"/>
        <v>72.724230933383055</v>
      </c>
      <c r="F264" s="62">
        <f t="shared" si="80"/>
        <v>78.509305992427699</v>
      </c>
      <c r="G264" s="62">
        <f t="shared" si="80"/>
        <v>72.075767164007814</v>
      </c>
      <c r="H264" s="62">
        <f t="shared" si="80"/>
        <v>71.061460105736359</v>
      </c>
      <c r="I264" s="62">
        <f t="shared" si="80"/>
        <v>68.860053757271132</v>
      </c>
      <c r="J264" s="62">
        <f t="shared" si="80"/>
        <v>66.901897071636142</v>
      </c>
      <c r="K264" s="62">
        <f t="shared" si="80"/>
        <v>79.3660727667353</v>
      </c>
      <c r="L264" s="62">
        <f t="shared" si="80"/>
        <v>90.891324643253569</v>
      </c>
      <c r="M264" s="62">
        <f t="shared" si="80"/>
        <v>77.842273596499183</v>
      </c>
      <c r="N264" s="62">
        <f t="shared" si="80"/>
        <v>84.132401896498948</v>
      </c>
      <c r="O264" s="62">
        <f t="shared" si="80"/>
        <v>84.116068419017125</v>
      </c>
      <c r="P264" s="62">
        <f t="shared" si="80"/>
        <v>80.626627956817416</v>
      </c>
      <c r="Q264" s="62">
        <f t="shared" si="80"/>
        <v>87.29979264324642</v>
      </c>
      <c r="R264" s="62">
        <f t="shared" si="80"/>
        <v>82.938713728175941</v>
      </c>
      <c r="S264" s="62">
        <f t="shared" si="80"/>
        <v>89.915297851926084</v>
      </c>
      <c r="T264" s="62">
        <f t="shared" si="80"/>
        <v>92.401198011711031</v>
      </c>
      <c r="U264" s="62">
        <f t="shared" si="80"/>
        <v>86.034437317781169</v>
      </c>
      <c r="V264" s="62">
        <f t="shared" si="80"/>
        <v>89.317157999382928</v>
      </c>
    </row>
    <row r="265" spans="3:22" x14ac:dyDescent="0.2">
      <c r="C265" s="87" t="s">
        <v>141</v>
      </c>
      <c r="D265" s="60">
        <f t="shared" ref="D265:V265" si="81">+IFERROR(IF(D226&gt;0,+((D226/D32)*100)," "),"")</f>
        <v>89.882901232603828</v>
      </c>
      <c r="E265" s="60">
        <f t="shared" si="81"/>
        <v>89.479785378333816</v>
      </c>
      <c r="F265" s="60">
        <f t="shared" si="81"/>
        <v>88.747959025168271</v>
      </c>
      <c r="G265" s="60">
        <f t="shared" si="81"/>
        <v>88.323748569034748</v>
      </c>
      <c r="H265" s="60">
        <f t="shared" si="81"/>
        <v>82.582673115964198</v>
      </c>
      <c r="I265" s="60">
        <f t="shared" si="81"/>
        <v>91.232981983817069</v>
      </c>
      <c r="J265" s="60">
        <f t="shared" si="81"/>
        <v>91.456658514954583</v>
      </c>
      <c r="K265" s="60">
        <f t="shared" si="81"/>
        <v>91.879405447329631</v>
      </c>
      <c r="L265" s="60">
        <f t="shared" si="81"/>
        <v>92.462867054461753</v>
      </c>
      <c r="M265" s="60">
        <f t="shared" si="81"/>
        <v>90.343847955486297</v>
      </c>
      <c r="N265" s="60">
        <f t="shared" si="81"/>
        <v>88.600468082765403</v>
      </c>
      <c r="O265" s="60">
        <f t="shared" si="81"/>
        <v>91.568773422289937</v>
      </c>
      <c r="P265" s="60">
        <f t="shared" si="81"/>
        <v>86.112662054681849</v>
      </c>
      <c r="Q265" s="60">
        <f t="shared" si="81"/>
        <v>87.24867738146024</v>
      </c>
      <c r="R265" s="60">
        <f t="shared" si="81"/>
        <v>90.478909441812348</v>
      </c>
      <c r="S265" s="60">
        <f t="shared" si="81"/>
        <v>90.930310203762929</v>
      </c>
      <c r="T265" s="60">
        <f t="shared" si="81"/>
        <v>93.897093819782228</v>
      </c>
      <c r="U265" s="60">
        <f t="shared" si="81"/>
        <v>92.879288976086713</v>
      </c>
      <c r="V265" s="60">
        <f t="shared" si="81"/>
        <v>93.265938735291371</v>
      </c>
    </row>
    <row r="266" spans="3:22" x14ac:dyDescent="0.2">
      <c r="C266" s="88" t="s">
        <v>142</v>
      </c>
      <c r="D266" s="62">
        <f t="shared" ref="D266:V266" si="82">+IFERROR(IF(D227&gt;0,+((D227/D33)*100)," "),"")</f>
        <v>75.96131268601934</v>
      </c>
      <c r="E266" s="62">
        <f t="shared" si="82"/>
        <v>85.975525679082239</v>
      </c>
      <c r="F266" s="62">
        <f t="shared" si="82"/>
        <v>93.610305469389601</v>
      </c>
      <c r="G266" s="62">
        <f t="shared" si="82"/>
        <v>93.483023151156601</v>
      </c>
      <c r="H266" s="62">
        <f t="shared" si="82"/>
        <v>82.898038443209686</v>
      </c>
      <c r="I266" s="62">
        <f t="shared" si="82"/>
        <v>82.090549428772803</v>
      </c>
      <c r="J266" s="62">
        <f t="shared" si="82"/>
        <v>72.700909098293579</v>
      </c>
      <c r="K266" s="62">
        <f t="shared" si="82"/>
        <v>67.891414082804673</v>
      </c>
      <c r="L266" s="62">
        <f t="shared" si="82"/>
        <v>80.457351107732819</v>
      </c>
      <c r="M266" s="62">
        <f t="shared" si="82"/>
        <v>73.923041743733307</v>
      </c>
      <c r="N266" s="62">
        <f t="shared" si="82"/>
        <v>21.088679866597289</v>
      </c>
      <c r="O266" s="62">
        <f t="shared" si="82"/>
        <v>86.910565363322533</v>
      </c>
      <c r="P266" s="62">
        <f t="shared" si="82"/>
        <v>82.751294052758183</v>
      </c>
      <c r="Q266" s="62">
        <f t="shared" si="82"/>
        <v>71.441865548935084</v>
      </c>
      <c r="R266" s="62">
        <f t="shared" si="82"/>
        <v>81.970987181771946</v>
      </c>
      <c r="S266" s="62">
        <f t="shared" si="82"/>
        <v>86.235628096839505</v>
      </c>
      <c r="T266" s="62">
        <f t="shared" si="82"/>
        <v>90.226122281818377</v>
      </c>
      <c r="U266" s="62">
        <f t="shared" si="82"/>
        <v>90.666204815822084</v>
      </c>
      <c r="V266" s="62">
        <f t="shared" si="82"/>
        <v>92.637304461595321</v>
      </c>
    </row>
    <row r="267" spans="3:22" x14ac:dyDescent="0.2">
      <c r="C267" s="87" t="s">
        <v>143</v>
      </c>
      <c r="D267" s="60">
        <f t="shared" ref="D267:V267" si="83">+IFERROR(IF(D228&gt;0,+((D228/D34)*100)," "),"")</f>
        <v>85.507572243251104</v>
      </c>
      <c r="E267" s="60">
        <f t="shared" si="83"/>
        <v>94.604477988158706</v>
      </c>
      <c r="F267" s="60">
        <f t="shared" si="83"/>
        <v>88.42694591658406</v>
      </c>
      <c r="G267" s="60">
        <f t="shared" si="83"/>
        <v>89.070877072591898</v>
      </c>
      <c r="H267" s="60">
        <f t="shared" si="83"/>
        <v>93.824130920661901</v>
      </c>
      <c r="I267" s="60">
        <f t="shared" si="83"/>
        <v>91.013857595711997</v>
      </c>
      <c r="J267" s="60">
        <f t="shared" si="83"/>
        <v>90.462463283363761</v>
      </c>
      <c r="K267" s="60">
        <f t="shared" si="83"/>
        <v>92.300732973923559</v>
      </c>
      <c r="L267" s="60">
        <f t="shared" si="83"/>
        <v>96.383457287142107</v>
      </c>
      <c r="M267" s="60">
        <f t="shared" si="83"/>
        <v>90.536090582530363</v>
      </c>
      <c r="N267" s="60">
        <f t="shared" si="83"/>
        <v>90.348135031627777</v>
      </c>
      <c r="O267" s="60">
        <f t="shared" si="83"/>
        <v>80.826195251291182</v>
      </c>
      <c r="P267" s="60">
        <f t="shared" si="83"/>
        <v>51.162343130281108</v>
      </c>
      <c r="Q267" s="60">
        <f t="shared" si="83"/>
        <v>63.551122362474509</v>
      </c>
      <c r="R267" s="60">
        <f t="shared" si="83"/>
        <v>53.719107067394134</v>
      </c>
      <c r="S267" s="60">
        <f t="shared" si="83"/>
        <v>71.03220637934497</v>
      </c>
      <c r="T267" s="60">
        <f t="shared" si="83"/>
        <v>61.416622154839693</v>
      </c>
      <c r="U267" s="60">
        <f t="shared" si="83"/>
        <v>51.435139131465469</v>
      </c>
      <c r="V267" s="60">
        <f t="shared" si="83"/>
        <v>71.111358660028017</v>
      </c>
    </row>
    <row r="268" spans="3:22" x14ac:dyDescent="0.2">
      <c r="C268" s="88" t="s">
        <v>144</v>
      </c>
      <c r="D268" s="62">
        <f t="shared" ref="D268:V268" si="84">+IFERROR(IF(D229&gt;0,+((D229/D35)*100)," "),"")</f>
        <v>94.851678843242354</v>
      </c>
      <c r="E268" s="62">
        <f t="shared" si="84"/>
        <v>96.55208815103758</v>
      </c>
      <c r="F268" s="62">
        <f t="shared" si="84"/>
        <v>93.956492496096431</v>
      </c>
      <c r="G268" s="62">
        <f t="shared" si="84"/>
        <v>95.361019689010462</v>
      </c>
      <c r="H268" s="62">
        <f t="shared" si="84"/>
        <v>85.859171866621594</v>
      </c>
      <c r="I268" s="62">
        <f t="shared" si="84"/>
        <v>97.033369539644823</v>
      </c>
      <c r="J268" s="62">
        <f t="shared" si="84"/>
        <v>96.764740284827127</v>
      </c>
      <c r="K268" s="62">
        <f t="shared" si="84"/>
        <v>97.894354014673866</v>
      </c>
      <c r="L268" s="62">
        <f t="shared" si="84"/>
        <v>96.752565123296208</v>
      </c>
      <c r="M268" s="62">
        <f t="shared" si="84"/>
        <v>95.830914252418339</v>
      </c>
      <c r="N268" s="62">
        <f t="shared" si="84"/>
        <v>96.500329956555149</v>
      </c>
      <c r="O268" s="62">
        <f t="shared" si="84"/>
        <v>94.800994502082887</v>
      </c>
      <c r="P268" s="62">
        <f t="shared" si="84"/>
        <v>92.788429975371173</v>
      </c>
      <c r="Q268" s="62">
        <f t="shared" si="84"/>
        <v>98.733673552121402</v>
      </c>
      <c r="R268" s="62">
        <f t="shared" si="84"/>
        <v>97.896015258278965</v>
      </c>
      <c r="S268" s="62">
        <f t="shared" si="84"/>
        <v>95.690988017057848</v>
      </c>
      <c r="T268" s="62">
        <f t="shared" si="84"/>
        <v>93.12010826845875</v>
      </c>
      <c r="U268" s="62">
        <f t="shared" si="84"/>
        <v>94.245991873108409</v>
      </c>
      <c r="V268" s="62">
        <f t="shared" si="84"/>
        <v>98.450874930599852</v>
      </c>
    </row>
    <row r="269" spans="3:22" x14ac:dyDescent="0.2">
      <c r="C269" s="87" t="s">
        <v>145</v>
      </c>
      <c r="D269" s="60">
        <f t="shared" ref="D269:V269" si="85">+IFERROR(IF(D230&gt;0,+((D230/D36)*100)," "),"")</f>
        <v>81.552112403190819</v>
      </c>
      <c r="E269" s="60">
        <f t="shared" si="85"/>
        <v>66.713041015268232</v>
      </c>
      <c r="F269" s="60">
        <f t="shared" si="85"/>
        <v>75.035851360102569</v>
      </c>
      <c r="G269" s="60">
        <f t="shared" si="85"/>
        <v>71.078079829345526</v>
      </c>
      <c r="H269" s="60">
        <f t="shared" si="85"/>
        <v>88.949224998613488</v>
      </c>
      <c r="I269" s="60">
        <f t="shared" si="85"/>
        <v>95.048353913740925</v>
      </c>
      <c r="J269" s="60">
        <f t="shared" si="85"/>
        <v>84.574529163942032</v>
      </c>
      <c r="K269" s="60">
        <f t="shared" si="85"/>
        <v>88.512924375791897</v>
      </c>
      <c r="L269" s="60">
        <f t="shared" si="85"/>
        <v>93.091156496943412</v>
      </c>
      <c r="M269" s="60">
        <f t="shared" si="85"/>
        <v>92.136786888281605</v>
      </c>
      <c r="N269" s="60">
        <f t="shared" si="85"/>
        <v>96.894685488738517</v>
      </c>
      <c r="O269" s="60">
        <f t="shared" si="85"/>
        <v>85.207182286090159</v>
      </c>
      <c r="P269" s="60">
        <f t="shared" si="85"/>
        <v>89.204929687123752</v>
      </c>
      <c r="Q269" s="60">
        <f t="shared" si="85"/>
        <v>83.536251426718863</v>
      </c>
      <c r="R269" s="60">
        <f t="shared" si="85"/>
        <v>92.804490134284308</v>
      </c>
      <c r="S269" s="60">
        <f t="shared" si="85"/>
        <v>90.949737175447979</v>
      </c>
      <c r="T269" s="60">
        <f t="shared" si="85"/>
        <v>92.291334930447249</v>
      </c>
      <c r="U269" s="60">
        <f t="shared" si="85"/>
        <v>91.450349089140616</v>
      </c>
      <c r="V269" s="60">
        <f t="shared" si="85"/>
        <v>97.157641640582767</v>
      </c>
    </row>
    <row r="270" spans="3:22" x14ac:dyDescent="0.2">
      <c r="C270" s="88" t="s">
        <v>146</v>
      </c>
      <c r="D270" s="62">
        <f t="shared" ref="D270:V270" si="86">+IFERROR(IF(D231&gt;0,+((D231/D37)*100)," "),"")</f>
        <v>88.816709410608112</v>
      </c>
      <c r="E270" s="62">
        <f t="shared" si="86"/>
        <v>93.497216269104911</v>
      </c>
      <c r="F270" s="62">
        <f t="shared" si="86"/>
        <v>85.945561930225551</v>
      </c>
      <c r="G270" s="62">
        <f t="shared" si="86"/>
        <v>96.679558136761827</v>
      </c>
      <c r="H270" s="62">
        <f t="shared" si="86"/>
        <v>90.471992948685141</v>
      </c>
      <c r="I270" s="62">
        <f t="shared" si="86"/>
        <v>86.05831753262045</v>
      </c>
      <c r="J270" s="62">
        <f t="shared" si="86"/>
        <v>89.643625848886813</v>
      </c>
      <c r="K270" s="62">
        <f t="shared" si="86"/>
        <v>83.128564845577046</v>
      </c>
      <c r="L270" s="62">
        <f t="shared" si="86"/>
        <v>90.677301498549568</v>
      </c>
      <c r="M270" s="62">
        <f t="shared" si="86"/>
        <v>91.428945847855474</v>
      </c>
      <c r="N270" s="62">
        <f t="shared" si="86"/>
        <v>82.361852710935665</v>
      </c>
      <c r="O270" s="62">
        <f t="shared" si="86"/>
        <v>93.936946808400862</v>
      </c>
      <c r="P270" s="62">
        <f t="shared" si="86"/>
        <v>92.786702127846709</v>
      </c>
      <c r="Q270" s="62">
        <f t="shared" si="86"/>
        <v>90.080816870078067</v>
      </c>
      <c r="R270" s="62">
        <f t="shared" si="86"/>
        <v>97.245445422114727</v>
      </c>
      <c r="S270" s="62">
        <f t="shared" si="86"/>
        <v>98.01261765307062</v>
      </c>
      <c r="T270" s="62">
        <f t="shared" si="86"/>
        <v>95.943652374007755</v>
      </c>
      <c r="U270" s="62">
        <f t="shared" si="86"/>
        <v>94.779294677520582</v>
      </c>
      <c r="V270" s="62">
        <f t="shared" si="86"/>
        <v>92.376508973270916</v>
      </c>
    </row>
    <row r="271" spans="3:22" x14ac:dyDescent="0.2">
      <c r="C271" s="90" t="s">
        <v>147</v>
      </c>
      <c r="D271" s="61">
        <f t="shared" ref="D271:V271" si="87">+IFERROR(IF(D232&gt;0,+((D232/D38)*100)," "),"")</f>
        <v>92.271408406151963</v>
      </c>
      <c r="E271" s="61">
        <f t="shared" si="87"/>
        <v>97.441763172625798</v>
      </c>
      <c r="F271" s="61">
        <f t="shared" si="87"/>
        <v>98.300030739610705</v>
      </c>
      <c r="G271" s="61">
        <f t="shared" si="87"/>
        <v>96.567972457742755</v>
      </c>
      <c r="H271" s="61">
        <f t="shared" si="87"/>
        <v>92.47907496965378</v>
      </c>
      <c r="I271" s="61">
        <f t="shared" si="87"/>
        <v>93.496607291645589</v>
      </c>
      <c r="J271" s="61">
        <f t="shared" si="87"/>
        <v>92.951424473614907</v>
      </c>
      <c r="K271" s="61">
        <f t="shared" si="87"/>
        <v>96.009773240330844</v>
      </c>
      <c r="L271" s="61">
        <f t="shared" si="87"/>
        <v>97.281959228758936</v>
      </c>
      <c r="M271" s="61">
        <f t="shared" si="87"/>
        <v>85.646357163245028</v>
      </c>
      <c r="N271" s="61">
        <f t="shared" si="87"/>
        <v>71.471465088419166</v>
      </c>
      <c r="O271" s="61">
        <f t="shared" si="87"/>
        <v>80.8595686080523</v>
      </c>
      <c r="P271" s="61">
        <f t="shared" si="87"/>
        <v>77.800149098484184</v>
      </c>
      <c r="Q271" s="61">
        <f t="shared" si="87"/>
        <v>92.1188365085345</v>
      </c>
      <c r="R271" s="61">
        <f t="shared" si="87"/>
        <v>85.159844374399498</v>
      </c>
      <c r="S271" s="61">
        <f t="shared" si="87"/>
        <v>86.076087932281638</v>
      </c>
      <c r="T271" s="61">
        <f t="shared" si="87"/>
        <v>88.972412782024975</v>
      </c>
      <c r="U271" s="61">
        <f t="shared" si="87"/>
        <v>92.165653144677151</v>
      </c>
      <c r="V271" s="61">
        <f t="shared" si="87"/>
        <v>90.692210442734947</v>
      </c>
    </row>
    <row r="272" spans="3:22" ht="22.5" customHeight="1" x14ac:dyDescent="0.2">
      <c r="C272" s="89" t="s">
        <v>148</v>
      </c>
      <c r="D272" s="63" t="str">
        <f t="shared" ref="D272:V272" si="88">+IFERROR(IF(D233&gt;0,+((D233/D39)*100)," "),"")</f>
        <v xml:space="preserve"> </v>
      </c>
      <c r="E272" s="63" t="str">
        <f t="shared" si="88"/>
        <v xml:space="preserve"> </v>
      </c>
      <c r="F272" s="63" t="str">
        <f t="shared" si="88"/>
        <v xml:space="preserve"> </v>
      </c>
      <c r="G272" s="63" t="str">
        <f t="shared" si="88"/>
        <v xml:space="preserve"> </v>
      </c>
      <c r="H272" s="63" t="str">
        <f t="shared" si="88"/>
        <v xml:space="preserve"> </v>
      </c>
      <c r="I272" s="63" t="str">
        <f t="shared" si="88"/>
        <v xml:space="preserve"> </v>
      </c>
      <c r="J272" s="63" t="str">
        <f t="shared" si="88"/>
        <v xml:space="preserve"> </v>
      </c>
      <c r="K272" s="63" t="str">
        <f t="shared" si="88"/>
        <v xml:space="preserve"> </v>
      </c>
      <c r="L272" s="63" t="str">
        <f t="shared" si="88"/>
        <v xml:space="preserve"> </v>
      </c>
      <c r="M272" s="63" t="str">
        <f t="shared" si="88"/>
        <v xml:space="preserve"> </v>
      </c>
      <c r="N272" s="63" t="str">
        <f t="shared" si="88"/>
        <v xml:space="preserve"> </v>
      </c>
      <c r="O272" s="63" t="str">
        <f t="shared" si="88"/>
        <v xml:space="preserve"> </v>
      </c>
      <c r="P272" s="63" t="str">
        <f t="shared" si="88"/>
        <v xml:space="preserve"> </v>
      </c>
      <c r="Q272" s="63" t="str">
        <f t="shared" si="88"/>
        <v xml:space="preserve"> </v>
      </c>
      <c r="R272" s="63" t="str">
        <f t="shared" si="88"/>
        <v xml:space="preserve"> </v>
      </c>
      <c r="S272" s="63" t="str">
        <f t="shared" si="88"/>
        <v xml:space="preserve"> </v>
      </c>
      <c r="T272" s="63" t="str">
        <f t="shared" si="88"/>
        <v xml:space="preserve"> </v>
      </c>
      <c r="U272" s="63">
        <f t="shared" si="88"/>
        <v>55.081877894904977</v>
      </c>
      <c r="V272" s="63">
        <f t="shared" si="88"/>
        <v>77.692399336423705</v>
      </c>
    </row>
    <row r="273" spans="3:22" x14ac:dyDescent="0.2">
      <c r="C273" s="87" t="s">
        <v>149</v>
      </c>
      <c r="D273" s="60">
        <f t="shared" ref="D273:V273" si="89">+IFERROR(IF(D234&gt;0,+((D234/D40)*100)," "),"")</f>
        <v>74.158041048752338</v>
      </c>
      <c r="E273" s="60">
        <f t="shared" si="89"/>
        <v>81.073502624744023</v>
      </c>
      <c r="F273" s="60">
        <f t="shared" si="89"/>
        <v>82.038443748872055</v>
      </c>
      <c r="G273" s="60">
        <f t="shared" si="89"/>
        <v>86.120088139205237</v>
      </c>
      <c r="H273" s="60">
        <f t="shared" si="89"/>
        <v>88.022351071442216</v>
      </c>
      <c r="I273" s="60">
        <f t="shared" si="89"/>
        <v>86.04990422899526</v>
      </c>
      <c r="J273" s="60">
        <f t="shared" si="89"/>
        <v>67.567677978284081</v>
      </c>
      <c r="K273" s="60">
        <f t="shared" si="89"/>
        <v>76.742872859407967</v>
      </c>
      <c r="L273" s="60">
        <f t="shared" si="89"/>
        <v>82.281898208216873</v>
      </c>
      <c r="M273" s="60">
        <f t="shared" si="89"/>
        <v>29.717386369331301</v>
      </c>
      <c r="N273" s="60">
        <f t="shared" si="89"/>
        <v>76.822170378779646</v>
      </c>
      <c r="O273" s="60">
        <f t="shared" si="89"/>
        <v>89.967760626846456</v>
      </c>
      <c r="P273" s="60">
        <f t="shared" si="89"/>
        <v>53.628576945876461</v>
      </c>
      <c r="Q273" s="60">
        <f t="shared" si="89"/>
        <v>57.108425967140896</v>
      </c>
      <c r="R273" s="60">
        <f t="shared" si="89"/>
        <v>48.975911273257097</v>
      </c>
      <c r="S273" s="60">
        <f t="shared" si="89"/>
        <v>82.138398695799083</v>
      </c>
      <c r="T273" s="60">
        <f t="shared" si="89"/>
        <v>93.271615432079528</v>
      </c>
      <c r="U273" s="60">
        <f t="shared" si="89"/>
        <v>88.25243335245213</v>
      </c>
      <c r="V273" s="60">
        <f t="shared" si="89"/>
        <v>90.204177329018549</v>
      </c>
    </row>
    <row r="274" spans="3:22" x14ac:dyDescent="0.2">
      <c r="C274" s="88" t="s">
        <v>150</v>
      </c>
      <c r="D274" s="62">
        <f t="shared" ref="D274:V274" si="90">+IFERROR(IF(D235&gt;0,+((D235/D41)*100)," "),"")</f>
        <v>75.089815726498784</v>
      </c>
      <c r="E274" s="62">
        <f t="shared" si="90"/>
        <v>77.515638414481558</v>
      </c>
      <c r="F274" s="62">
        <f t="shared" si="90"/>
        <v>34.13795213749308</v>
      </c>
      <c r="G274" s="62">
        <f t="shared" si="90"/>
        <v>85.328992996552984</v>
      </c>
      <c r="H274" s="62">
        <f t="shared" si="90"/>
        <v>87.075175615146279</v>
      </c>
      <c r="I274" s="62">
        <f t="shared" si="90"/>
        <v>77.64070014649603</v>
      </c>
      <c r="J274" s="62">
        <f t="shared" si="90"/>
        <v>63.974597322499314</v>
      </c>
      <c r="K274" s="62">
        <f t="shared" si="90"/>
        <v>74.586033823763714</v>
      </c>
      <c r="L274" s="62">
        <f t="shared" si="90"/>
        <v>92.596628825745825</v>
      </c>
      <c r="M274" s="62">
        <f t="shared" si="90"/>
        <v>88.193174562133493</v>
      </c>
      <c r="N274" s="62">
        <f t="shared" si="90"/>
        <v>74.731288315547076</v>
      </c>
      <c r="O274" s="62">
        <f t="shared" si="90"/>
        <v>76.748238798759701</v>
      </c>
      <c r="P274" s="62">
        <f t="shared" si="90"/>
        <v>84.674711654243879</v>
      </c>
      <c r="Q274" s="62">
        <f t="shared" si="90"/>
        <v>80.286633289217036</v>
      </c>
      <c r="R274" s="62">
        <f t="shared" si="90"/>
        <v>85.79429850209857</v>
      </c>
      <c r="S274" s="62">
        <f t="shared" si="90"/>
        <v>84.301330472367852</v>
      </c>
      <c r="T274" s="62">
        <f t="shared" si="90"/>
        <v>89.378578450260051</v>
      </c>
      <c r="U274" s="62">
        <f t="shared" si="90"/>
        <v>89.802442207725335</v>
      </c>
      <c r="V274" s="62">
        <f t="shared" si="90"/>
        <v>92.900670726647633</v>
      </c>
    </row>
    <row r="275" spans="3:22" x14ac:dyDescent="0.2">
      <c r="C275" s="87" t="s">
        <v>151</v>
      </c>
      <c r="D275" s="60">
        <f t="shared" ref="D275:V275" si="91">+IFERROR(IF(D236&gt;0,+((D236/D42)*100)," "),"")</f>
        <v>77.853769245088316</v>
      </c>
      <c r="E275" s="60">
        <f t="shared" si="91"/>
        <v>83.438226263206332</v>
      </c>
      <c r="F275" s="60">
        <f t="shared" si="91"/>
        <v>86.37540159579396</v>
      </c>
      <c r="G275" s="60">
        <f t="shared" si="91"/>
        <v>87.102404494021116</v>
      </c>
      <c r="H275" s="60">
        <f t="shared" si="91"/>
        <v>90.043216708752539</v>
      </c>
      <c r="I275" s="60">
        <f t="shared" si="91"/>
        <v>74.674139147004112</v>
      </c>
      <c r="J275" s="60">
        <f t="shared" si="91"/>
        <v>76.899918699895025</v>
      </c>
      <c r="K275" s="60">
        <f t="shared" si="91"/>
        <v>83.053409534910415</v>
      </c>
      <c r="L275" s="60">
        <f t="shared" si="91"/>
        <v>81.411518646117969</v>
      </c>
      <c r="M275" s="60">
        <f t="shared" si="91"/>
        <v>90.643937565753575</v>
      </c>
      <c r="N275" s="60">
        <f t="shared" si="91"/>
        <v>72.580292234870427</v>
      </c>
      <c r="O275" s="60">
        <f t="shared" si="91"/>
        <v>98.006519659262878</v>
      </c>
      <c r="P275" s="60">
        <f t="shared" si="91"/>
        <v>99.077536123037987</v>
      </c>
      <c r="Q275" s="60">
        <f t="shared" si="91"/>
        <v>99.613262105117457</v>
      </c>
      <c r="R275" s="60">
        <f t="shared" si="91"/>
        <v>99.541800715356814</v>
      </c>
      <c r="S275" s="60">
        <f t="shared" si="91"/>
        <v>99.021884337048235</v>
      </c>
      <c r="T275" s="60">
        <f t="shared" si="91"/>
        <v>99.25622838323109</v>
      </c>
      <c r="U275" s="60">
        <f t="shared" si="91"/>
        <v>99.507595818516421</v>
      </c>
      <c r="V275" s="60">
        <f t="shared" si="91"/>
        <v>99.485005031816996</v>
      </c>
    </row>
    <row r="276" spans="3:22" x14ac:dyDescent="0.2">
      <c r="C276" s="91" t="s">
        <v>179</v>
      </c>
      <c r="D276" s="64">
        <f t="shared" ref="D276:V276" si="92">+IFERROR(IF(D237&gt;0,+((D237/D43)*100)," "),"")</f>
        <v>84.10397521806091</v>
      </c>
      <c r="E276" s="64">
        <f t="shared" si="92"/>
        <v>92.211563585526051</v>
      </c>
      <c r="F276" s="64">
        <f t="shared" si="92"/>
        <v>90.957888048915009</v>
      </c>
      <c r="G276" s="64">
        <f t="shared" si="92"/>
        <v>92.168210010275601</v>
      </c>
      <c r="H276" s="64">
        <f t="shared" si="92"/>
        <v>90.81525746153288</v>
      </c>
      <c r="I276" s="64">
        <f t="shared" si="92"/>
        <v>93.272477922209433</v>
      </c>
      <c r="J276" s="64">
        <f t="shared" si="92"/>
        <v>93.229649421860728</v>
      </c>
      <c r="K276" s="64">
        <f t="shared" si="92"/>
        <v>94.171277367232079</v>
      </c>
      <c r="L276" s="64">
        <f t="shared" si="92"/>
        <v>94.123025105197584</v>
      </c>
      <c r="M276" s="64">
        <f t="shared" si="92"/>
        <v>89.928641593335897</v>
      </c>
      <c r="N276" s="64">
        <f t="shared" si="92"/>
        <v>84.869130525320742</v>
      </c>
      <c r="O276" s="64">
        <f t="shared" si="92"/>
        <v>90.500197916782525</v>
      </c>
      <c r="P276" s="64">
        <f t="shared" si="92"/>
        <v>89.001779730633672</v>
      </c>
      <c r="Q276" s="64">
        <f t="shared" si="92"/>
        <v>90.160705962389585</v>
      </c>
      <c r="R276" s="64">
        <f t="shared" si="92"/>
        <v>88.965582954051101</v>
      </c>
      <c r="S276" s="64">
        <f t="shared" si="92"/>
        <v>92.320473138139477</v>
      </c>
      <c r="T276" s="64">
        <f t="shared" si="92"/>
        <v>93.123509947562184</v>
      </c>
      <c r="U276" s="64">
        <f t="shared" si="92"/>
        <v>94.023791501673458</v>
      </c>
      <c r="V276" s="64">
        <f t="shared" si="92"/>
        <v>94.108413260148865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S245:S246"/>
    <mergeCell ref="U245:U246"/>
    <mergeCell ref="K245:K246"/>
    <mergeCell ref="G51:G52"/>
    <mergeCell ref="Q90:Q91"/>
    <mergeCell ref="I51:I52"/>
    <mergeCell ref="M206:M207"/>
    <mergeCell ref="N206:N207"/>
    <mergeCell ref="I6:I7"/>
    <mergeCell ref="K6:K7"/>
    <mergeCell ref="N129:N130"/>
    <mergeCell ref="L6:L7"/>
    <mergeCell ref="N6:N7"/>
    <mergeCell ref="G90:G91"/>
    <mergeCell ref="J245:J246"/>
    <mergeCell ref="L12:L13"/>
    <mergeCell ref="K129:K130"/>
    <mergeCell ref="N12:N13"/>
    <mergeCell ref="D165:V165"/>
    <mergeCell ref="P6:P7"/>
    <mergeCell ref="M129:M130"/>
    <mergeCell ref="R6:R7"/>
    <mergeCell ref="T206:T207"/>
    <mergeCell ref="M90:M91"/>
    <mergeCell ref="R12:R13"/>
    <mergeCell ref="E245:E246"/>
    <mergeCell ref="T12:T13"/>
    <mergeCell ref="K90:K91"/>
    <mergeCell ref="J168:J169"/>
    <mergeCell ref="H90:H91"/>
    <mergeCell ref="L168:L169"/>
    <mergeCell ref="V245:V246"/>
    <mergeCell ref="D206:D207"/>
    <mergeCell ref="D12:D13"/>
    <mergeCell ref="C129:C130"/>
    <mergeCell ref="J206:J207"/>
    <mergeCell ref="C51:C52"/>
    <mergeCell ref="G206:G207"/>
    <mergeCell ref="H12:H13"/>
    <mergeCell ref="O51:O52"/>
    <mergeCell ref="G129:G130"/>
    <mergeCell ref="J12:J13"/>
    <mergeCell ref="S206:S207"/>
    <mergeCell ref="D168:D169"/>
    <mergeCell ref="P206:P207"/>
    <mergeCell ref="S129:S130"/>
    <mergeCell ref="V12:V13"/>
    <mergeCell ref="U206:U207"/>
    <mergeCell ref="V168:V169"/>
    <mergeCell ref="U129:U130"/>
    <mergeCell ref="S51:S52"/>
    <mergeCell ref="I245:I246"/>
    <mergeCell ref="U51:U52"/>
    <mergeCell ref="C245:C246"/>
    <mergeCell ref="Q168:Q169"/>
    <mergeCell ref="A7:C7"/>
    <mergeCell ref="F168:F169"/>
    <mergeCell ref="D87:V87"/>
    <mergeCell ref="D90:D91"/>
    <mergeCell ref="L166:Q166"/>
    <mergeCell ref="E51:E52"/>
    <mergeCell ref="I206:I207"/>
    <mergeCell ref="F129:F130"/>
    <mergeCell ref="H129:H130"/>
    <mergeCell ref="O206:O207"/>
    <mergeCell ref="S6:S7"/>
    <mergeCell ref="T90:T91"/>
    <mergeCell ref="T6:T7"/>
    <mergeCell ref="C206:C207"/>
    <mergeCell ref="C90:C91"/>
    <mergeCell ref="G168:G169"/>
    <mergeCell ref="C168:C169"/>
    <mergeCell ref="S168:S169"/>
    <mergeCell ref="S12:S13"/>
    <mergeCell ref="P129:P130"/>
    <mergeCell ref="Q12:Q13"/>
    <mergeCell ref="U6:U7"/>
    <mergeCell ref="P51:P52"/>
    <mergeCell ref="V206:V207"/>
    <mergeCell ref="L245:L246"/>
    <mergeCell ref="F51:F52"/>
    <mergeCell ref="H51:H52"/>
    <mergeCell ref="C12:C13"/>
    <mergeCell ref="L206:L207"/>
    <mergeCell ref="G6:G7"/>
    <mergeCell ref="M12:M13"/>
    <mergeCell ref="R51:R52"/>
    <mergeCell ref="L129:L130"/>
    <mergeCell ref="O168:O169"/>
    <mergeCell ref="M168:M169"/>
    <mergeCell ref="Q6:Q7"/>
    <mergeCell ref="O12:O13"/>
    <mergeCell ref="O6:O7"/>
    <mergeCell ref="R206:R207"/>
    <mergeCell ref="N245:N246"/>
    <mergeCell ref="P245:P246"/>
    <mergeCell ref="F245:F246"/>
    <mergeCell ref="P12:P13"/>
    <mergeCell ref="O129:O130"/>
    <mergeCell ref="J90:J91"/>
    <mergeCell ref="L90:L91"/>
    <mergeCell ref="Q129:Q130"/>
    <mergeCell ref="I90:I91"/>
    <mergeCell ref="R245:R246"/>
    <mergeCell ref="T245:T246"/>
    <mergeCell ref="L243:Q243"/>
    <mergeCell ref="D48:V48"/>
    <mergeCell ref="O90:O91"/>
    <mergeCell ref="D6:D7"/>
    <mergeCell ref="F206:F207"/>
    <mergeCell ref="F6:F7"/>
    <mergeCell ref="I129:I130"/>
    <mergeCell ref="M245:M246"/>
    <mergeCell ref="O245:O246"/>
    <mergeCell ref="S90:S91"/>
    <mergeCell ref="Q245:Q246"/>
    <mergeCell ref="G245:G246"/>
    <mergeCell ref="T129:T130"/>
    <mergeCell ref="D10:V10"/>
    <mergeCell ref="V90:V91"/>
    <mergeCell ref="T51:T52"/>
    <mergeCell ref="L51:L52"/>
    <mergeCell ref="V51:V52"/>
    <mergeCell ref="F90:F91"/>
    <mergeCell ref="D245:D246"/>
    <mergeCell ref="E168:E169"/>
    <mergeCell ref="D129:D130"/>
    <mergeCell ref="M51:M52"/>
    <mergeCell ref="D127:V127"/>
    <mergeCell ref="T168:T169"/>
    <mergeCell ref="R90:R91"/>
    <mergeCell ref="V6:V7"/>
    <mergeCell ref="Q51:Q52"/>
    <mergeCell ref="I12:I13"/>
    <mergeCell ref="K12:K13"/>
    <mergeCell ref="E90:E91"/>
    <mergeCell ref="M6:M7"/>
    <mergeCell ref="E6:E7"/>
    <mergeCell ref="R129:R130"/>
    <mergeCell ref="U12:U13"/>
    <mergeCell ref="P90:P91"/>
    <mergeCell ref="V129:V130"/>
    <mergeCell ref="N168:N169"/>
    <mergeCell ref="P168:P169"/>
    <mergeCell ref="N90:N91"/>
    <mergeCell ref="J129:J130"/>
    <mergeCell ref="J51:J52"/>
    <mergeCell ref="E12:E13"/>
    <mergeCell ref="G12:G13"/>
    <mergeCell ref="D242:V242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D4:V4"/>
    <mergeCell ref="E206:E207"/>
    <mergeCell ref="F12:F13"/>
    <mergeCell ref="K51:K52"/>
    <mergeCell ref="H6:H7"/>
    <mergeCell ref="H168:H169"/>
    <mergeCell ref="U90:U91"/>
    <mergeCell ref="J6:J7"/>
    <mergeCell ref="Q206:Q207"/>
    <mergeCell ref="L88:Q88"/>
    <mergeCell ref="R168:R169"/>
  </mergeCells>
  <pageMargins left="0.7" right="0.7" top="0.75" bottom="0.75" header="0.3" footer="0.3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L298"/>
  <sheetViews>
    <sheetView showGridLines="0" zoomScaleNormal="100" workbookViewId="0">
      <pane xSplit="3" ySplit="8" topLeftCell="D9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3" sqref="K223:K25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1" width="10.7109375" style="9" customWidth="1"/>
    <col min="12" max="12" width="43.85546875" style="9" customWidth="1"/>
    <col min="13" max="33" width="10.7109375" style="9" customWidth="1"/>
    <col min="34" max="34" width="11.42578125" style="9" customWidth="1"/>
    <col min="35" max="16384" width="11.42578125" style="9"/>
  </cols>
  <sheetData>
    <row r="1" spans="1:12" ht="16.5" customHeight="1" x14ac:dyDescent="0.2"/>
    <row r="2" spans="1:12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2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2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2" ht="16.5" customHeight="1" x14ac:dyDescent="0.2"/>
    <row r="6" spans="1:12" ht="18" customHeight="1" x14ac:dyDescent="0.2">
      <c r="A6" s="169" t="s">
        <v>17</v>
      </c>
      <c r="B6" s="160"/>
      <c r="C6" s="160"/>
      <c r="D6" s="165"/>
      <c r="E6" s="182"/>
      <c r="F6" s="182"/>
      <c r="G6" s="182"/>
      <c r="H6" s="182"/>
      <c r="I6" s="182"/>
      <c r="J6" s="182"/>
      <c r="K6" s="182"/>
    </row>
    <row r="7" spans="1:12" ht="18" customHeight="1" x14ac:dyDescent="0.2">
      <c r="A7" s="160"/>
      <c r="B7" s="160"/>
      <c r="C7" s="160"/>
      <c r="D7" s="157">
        <v>2019</v>
      </c>
      <c r="E7" s="157">
        <v>2020</v>
      </c>
      <c r="F7" s="157">
        <v>2021</v>
      </c>
      <c r="G7" s="157">
        <v>2022</v>
      </c>
      <c r="H7" s="157">
        <v>2023</v>
      </c>
      <c r="I7" s="157">
        <v>2024</v>
      </c>
      <c r="J7" s="157">
        <v>2025</v>
      </c>
      <c r="K7" s="157" t="s">
        <v>36</v>
      </c>
    </row>
    <row r="8" spans="1:12" ht="16.5" customHeight="1" x14ac:dyDescent="0.2">
      <c r="A8" s="166" t="s">
        <v>227</v>
      </c>
      <c r="B8" s="160"/>
      <c r="C8" s="160"/>
      <c r="D8" s="160"/>
      <c r="E8" s="182"/>
      <c r="F8" s="182"/>
      <c r="G8" s="182"/>
      <c r="H8" s="182"/>
      <c r="I8" s="182"/>
      <c r="J8" s="182"/>
      <c r="K8" s="182"/>
    </row>
    <row r="9" spans="1:12" ht="16.5" customHeight="1" x14ac:dyDescent="0.2"/>
    <row r="10" spans="1:12" ht="16.5" customHeight="1" x14ac:dyDescent="0.2">
      <c r="D10" s="187" t="s">
        <v>164</v>
      </c>
      <c r="E10" s="182"/>
      <c r="F10" s="182"/>
      <c r="G10" s="182"/>
      <c r="H10" s="182"/>
      <c r="I10" s="182"/>
      <c r="J10" s="182"/>
      <c r="K10" s="182"/>
      <c r="L10" s="182"/>
    </row>
    <row r="11" spans="1:12" ht="15.75" customHeight="1" x14ac:dyDescent="0.2">
      <c r="C11" s="2"/>
      <c r="D11" s="2"/>
      <c r="E11" s="2"/>
      <c r="F11" s="2"/>
      <c r="G11" s="2"/>
      <c r="H11" s="2"/>
      <c r="I11" s="2"/>
    </row>
    <row r="12" spans="1:12" ht="9.9499999999999993" customHeight="1" x14ac:dyDescent="0.2">
      <c r="C12" s="181" t="s">
        <v>120</v>
      </c>
      <c r="D12" s="155">
        <v>2019</v>
      </c>
      <c r="E12" s="155">
        <v>2020</v>
      </c>
      <c r="F12" s="155">
        <v>2021</v>
      </c>
      <c r="G12" s="155">
        <v>2022</v>
      </c>
      <c r="H12" s="155">
        <v>2023</v>
      </c>
      <c r="I12" s="155">
        <v>2024</v>
      </c>
      <c r="J12" s="155">
        <v>2025</v>
      </c>
      <c r="K12" s="155" t="s">
        <v>36</v>
      </c>
    </row>
    <row r="13" spans="1:12" ht="9.9499999999999993" customHeight="1" thickBot="1" x14ac:dyDescent="0.25">
      <c r="C13" s="162"/>
      <c r="D13" s="156"/>
      <c r="E13" s="156"/>
      <c r="F13" s="156"/>
      <c r="G13" s="156"/>
      <c r="H13" s="156"/>
      <c r="I13" s="156"/>
      <c r="J13" s="156"/>
      <c r="K13" s="156"/>
    </row>
    <row r="14" spans="1:12" x14ac:dyDescent="0.2">
      <c r="C14" s="87" t="s">
        <v>123</v>
      </c>
      <c r="D14" s="42">
        <f>727.067988028*Deflactores!$T$5</f>
        <v>1130.8413273814456</v>
      </c>
      <c r="E14" s="42">
        <f>713.203356274*Deflactores!$U$5</f>
        <v>1091.7006654254665</v>
      </c>
      <c r="F14" s="42">
        <f>625.079042*Deflactores!$V$5</f>
        <v>905.89731299324762</v>
      </c>
      <c r="G14" s="42">
        <f>751.278377641*Deflactores!$W$5</f>
        <v>962.51061289564996</v>
      </c>
      <c r="H14" s="42">
        <f>923.065160514*Deflactores!$X$5</f>
        <v>1082.1720437369447</v>
      </c>
      <c r="I14" s="42">
        <f>1047.353240643*Deflactores!$Y$5</f>
        <v>1167.1895532288702</v>
      </c>
      <c r="J14" s="42">
        <f>832.465454205*Deflactores!$Z$5</f>
        <v>882.68856409061459</v>
      </c>
      <c r="K14" s="42">
        <f>884.009304*Deflactores!$AA$5</f>
        <v>884.00930400000004</v>
      </c>
    </row>
    <row r="15" spans="1:12" x14ac:dyDescent="0.2">
      <c r="C15" s="88" t="s">
        <v>124</v>
      </c>
      <c r="D15" s="50">
        <f>289.536637269*Deflactores!$T$5</f>
        <v>450.32926852258396</v>
      </c>
      <c r="E15" s="50">
        <f>318.243484534*Deflactores!$U$5</f>
        <v>487.13543027637104</v>
      </c>
      <c r="F15" s="50">
        <f>359.443867139*Deflactores!$V$5</f>
        <v>520.92489354829786</v>
      </c>
      <c r="G15" s="50">
        <f>370.26844046*Deflactores!$W$5</f>
        <v>474.37449841444993</v>
      </c>
      <c r="H15" s="50">
        <f>431.866070766*Deflactores!$X$5</f>
        <v>506.30595586691294</v>
      </c>
      <c r="I15" s="50">
        <f>509.768148141*Deflactores!$Y$5</f>
        <v>568.09492155074372</v>
      </c>
      <c r="J15" s="50">
        <f>688.813192493*Deflactores!$Z$5</f>
        <v>730.36968049198163</v>
      </c>
      <c r="K15" s="50">
        <f>582.990471986*Deflactores!$AA$5</f>
        <v>582.99047198599999</v>
      </c>
    </row>
    <row r="16" spans="1:12" x14ac:dyDescent="0.2">
      <c r="C16" s="87" t="s">
        <v>125</v>
      </c>
      <c r="D16" s="42">
        <f>23.468888556*Deflactores!$T$5</f>
        <v>36.502210967665647</v>
      </c>
      <c r="E16" s="42">
        <f>24.172511265*Deflactores!$U$5</f>
        <v>37.000872753698658</v>
      </c>
      <c r="F16" s="42">
        <f>25.56990936*Deflactores!$V$5</f>
        <v>37.057252965305615</v>
      </c>
      <c r="G16" s="42">
        <f>27.602653*Deflactores!$W$5</f>
        <v>35.363518034418199</v>
      </c>
      <c r="H16" s="42">
        <f>27.224997*Deflactores!$X$5</f>
        <v>31.917714918214958</v>
      </c>
      <c r="I16" s="42">
        <f>27.813986*Deflactores!$Y$5</f>
        <v>30.996413275929104</v>
      </c>
      <c r="J16" s="42">
        <f>27.025604856*Deflactores!$Z$5</f>
        <v>28.656074823915137</v>
      </c>
      <c r="K16" s="42">
        <f>31.288669554*Deflactores!$AA$5</f>
        <v>31.288669553999998</v>
      </c>
    </row>
    <row r="17" spans="3:11" x14ac:dyDescent="0.2">
      <c r="C17" s="88" t="s">
        <v>126</v>
      </c>
      <c r="D17" s="50">
        <f>450.164471081*Deflactores!$T$5</f>
        <v>700.16091534702514</v>
      </c>
      <c r="E17" s="50">
        <f>515.72524978*Deflactores!$U$5</f>
        <v>789.42084807750064</v>
      </c>
      <c r="F17" s="50">
        <f>433.876844512*Deflactores!$V$5</f>
        <v>628.79706597715347</v>
      </c>
      <c r="G17" s="50">
        <f>409.097998*Deflactores!$W$5</f>
        <v>524.12151941037632</v>
      </c>
      <c r="H17" s="50">
        <f>492.15452855*Deflactores!$X$5</f>
        <v>576.98621373465664</v>
      </c>
      <c r="I17" s="50">
        <f>768.960681882*Deflactores!$Y$5</f>
        <v>856.94380836154585</v>
      </c>
      <c r="J17" s="50">
        <f>692.600138746*Deflactores!$Z$5</f>
        <v>734.3850953460925</v>
      </c>
      <c r="K17" s="50">
        <f>984.742846938*Deflactores!$AA$5</f>
        <v>984.74284693799996</v>
      </c>
    </row>
    <row r="18" spans="3:11" x14ac:dyDescent="0.2">
      <c r="C18" s="87" t="s">
        <v>127</v>
      </c>
      <c r="D18" s="42">
        <f>557.367*Deflactores!$T$5</f>
        <v>866.89779841378606</v>
      </c>
      <c r="E18" s="42">
        <f>607.3197*Deflactores!$U$5</f>
        <v>929.62451001321085</v>
      </c>
      <c r="F18" s="42">
        <f>660.634429179*Deflactores!$V$5</f>
        <v>957.42604383156402</v>
      </c>
      <c r="G18" s="42">
        <f>762.603828761*Deflactores!$W$5</f>
        <v>977.02037016173745</v>
      </c>
      <c r="H18" s="42">
        <f>907.149*Deflactores!$X$5</f>
        <v>1063.5124466806658</v>
      </c>
      <c r="I18" s="42">
        <f>1108.608*Deflactores!$Y$5</f>
        <v>1235.4529742339414</v>
      </c>
      <c r="J18" s="42">
        <f>1366.670325863*Deflactores!$Z$5</f>
        <v>1449.1223166411344</v>
      </c>
      <c r="K18" s="42">
        <f>1132.772*Deflactores!$AA$5</f>
        <v>1132.7719999999999</v>
      </c>
    </row>
    <row r="19" spans="3:11" x14ac:dyDescent="0.2">
      <c r="C19" s="88" t="s">
        <v>128</v>
      </c>
      <c r="D19" s="50">
        <f>233.461580475*Deflactores!$T$5</f>
        <v>363.11322724162079</v>
      </c>
      <c r="E19" s="50">
        <f>234.154731375*Deflactores!$U$5</f>
        <v>358.42074186257975</v>
      </c>
      <c r="F19" s="50">
        <f>237.56293997*Deflactores!$V$5</f>
        <v>344.288665153485</v>
      </c>
      <c r="G19" s="50">
        <f>190.565114364*Deflactores!$W$5</f>
        <v>244.14511382446756</v>
      </c>
      <c r="H19" s="50">
        <f>295.516717669*Deflactores!$X$5</f>
        <v>346.45433930169986</v>
      </c>
      <c r="I19" s="50">
        <f>334.796768508*Deflactores!$Y$5</f>
        <v>373.10362492163239</v>
      </c>
      <c r="J19" s="50">
        <f>337.653058691*Deflactores!$Z$5</f>
        <v>358.02385796464284</v>
      </c>
      <c r="K19" s="50">
        <f>412.719375004*Deflactores!$AA$5</f>
        <v>412.71937500400003</v>
      </c>
    </row>
    <row r="20" spans="3:11" x14ac:dyDescent="0.2">
      <c r="C20" s="87" t="s">
        <v>129</v>
      </c>
      <c r="D20" s="42">
        <f>30301.464155683*Deflactores!$T$5</f>
        <v>47129.221079245537</v>
      </c>
      <c r="E20" s="42">
        <f>32175.056162914*Deflactores!$U$5</f>
        <v>49250.371460198745</v>
      </c>
      <c r="F20" s="42">
        <f>34442.264549507*Deflactores!$V$5</f>
        <v>49915.535176111349</v>
      </c>
      <c r="G20" s="42">
        <f>37622.489945235*Deflactores!$W$5</f>
        <v>48200.569766900138</v>
      </c>
      <c r="H20" s="42">
        <f>43384.091355*Deflactores!$X$5</f>
        <v>50862.119832545221</v>
      </c>
      <c r="I20" s="42">
        <f>49957.582934234*Deflactores!$Y$5</f>
        <v>55673.641559178897</v>
      </c>
      <c r="J20" s="42">
        <f>55088.772196097*Deflactores!$Z$5</f>
        <v>58412.308861183461</v>
      </c>
      <c r="K20" s="42">
        <f>59057.028743991*Deflactores!$AA$5</f>
        <v>59057.028743991003</v>
      </c>
    </row>
    <row r="21" spans="3:11" x14ac:dyDescent="0.2">
      <c r="C21" s="88" t="s">
        <v>130</v>
      </c>
      <c r="D21" s="50">
        <f>37.630371065*Deflactores!$T$5</f>
        <v>58.528197452921212</v>
      </c>
      <c r="E21" s="50">
        <f>39.593952363*Deflactores!$U$5</f>
        <v>60.606478869268173</v>
      </c>
      <c r="F21" s="50">
        <f>39.882291951*Deflactores!$V$5</f>
        <v>57.799508041133663</v>
      </c>
      <c r="G21" s="50">
        <f>52.836845707*Deflactores!$W$5</f>
        <v>67.692650631852899</v>
      </c>
      <c r="H21" s="50">
        <f>57.071743554*Deflactores!$X$5</f>
        <v>66.909085082435254</v>
      </c>
      <c r="I21" s="50">
        <f>64.627885666*Deflactores!$Y$5</f>
        <v>72.022494483632457</v>
      </c>
      <c r="J21" s="50">
        <f>49.600696578*Deflactores!$Z$5</f>
        <v>52.593134548917249</v>
      </c>
      <c r="K21" s="50">
        <f>54.194708762*Deflactores!$AA$5</f>
        <v>54.194708761999998</v>
      </c>
    </row>
    <row r="22" spans="3:11" x14ac:dyDescent="0.2">
      <c r="C22" s="87" t="s">
        <v>131</v>
      </c>
      <c r="D22" s="42">
        <f>37383.621969135*Deflactores!$T$5</f>
        <v>58144.417559303613</v>
      </c>
      <c r="E22" s="42">
        <f>40601.292160617*Deflactores!$U$5</f>
        <v>62148.414304223617</v>
      </c>
      <c r="F22" s="42">
        <f>43215.477111369*Deflactores!$V$5</f>
        <v>62630.134694086213</v>
      </c>
      <c r="G22" s="42">
        <f>44200.443440359*Deflactores!$W$5</f>
        <v>56628.005240380953</v>
      </c>
      <c r="H22" s="42">
        <f>51624.760858448*Deflactores!$X$5</f>
        <v>60523.216946579108</v>
      </c>
      <c r="I22" s="42">
        <f>62013.957837231*Deflactores!$Y$5</f>
        <v>69109.48563786775</v>
      </c>
      <c r="J22" s="42">
        <f>73403.0920684763*Deflactores!$Z$5</f>
        <v>77831.541970243794</v>
      </c>
      <c r="K22" s="42">
        <f>81380.982664056*Deflactores!$AA$5</f>
        <v>81380.982664056006</v>
      </c>
    </row>
    <row r="23" spans="3:11" x14ac:dyDescent="0.2">
      <c r="C23" s="88" t="s">
        <v>132</v>
      </c>
      <c r="D23" s="50">
        <f>25.699*Deflactores!$T$5</f>
        <v>39.970802938523256</v>
      </c>
      <c r="E23" s="50">
        <f>25.966624037*Deflactores!$U$5</f>
        <v>39.747121898224918</v>
      </c>
      <c r="F23" s="50">
        <f>32.004322754*Deflactores!$V$5</f>
        <v>46.382342134288443</v>
      </c>
      <c r="G23" s="50">
        <f>34.817444432*Deflactores!$W$5</f>
        <v>44.606847178181951</v>
      </c>
      <c r="H23" s="50">
        <f>35.825842015*Deflactores!$X$5</f>
        <v>42.001070271551463</v>
      </c>
      <c r="I23" s="50">
        <f>41.510991839*Deflactores!$Y$5</f>
        <v>46.260606391883719</v>
      </c>
      <c r="J23" s="50">
        <f>46.050906398*Deflactores!$Z$5</f>
        <v>48.82918352731059</v>
      </c>
      <c r="K23" s="50">
        <f>52.315994349*Deflactores!$AA$5</f>
        <v>52.315994349</v>
      </c>
    </row>
    <row r="24" spans="3:11" x14ac:dyDescent="0.2">
      <c r="C24" s="87" t="s">
        <v>133</v>
      </c>
      <c r="D24" s="42">
        <f>3688.05016437*Deflactores!$T$5</f>
        <v>5736.1892037597399</v>
      </c>
      <c r="E24" s="42">
        <f>3815.563988827*Deflactores!$U$5</f>
        <v>5840.4853383437949</v>
      </c>
      <c r="F24" s="42">
        <f>4282.639367149*Deflactores!$V$5</f>
        <v>6206.6254578079124</v>
      </c>
      <c r="G24" s="42">
        <f>4556.72*Deflactores!$W$5</f>
        <v>5837.9044180207648</v>
      </c>
      <c r="H24" s="42">
        <f>5205.121*Deflactores!$X$5</f>
        <v>6102.317226804983</v>
      </c>
      <c r="I24" s="42">
        <f>5746.697624169*Deflactores!$Y$5</f>
        <v>6404.2246418957075</v>
      </c>
      <c r="J24" s="42">
        <f>6496.328023365*Deflactores!$Z$5</f>
        <v>6888.2551532205443</v>
      </c>
      <c r="K24" s="42">
        <f>6766.968119692*Deflactores!$AA$5</f>
        <v>6766.9681196920001</v>
      </c>
    </row>
    <row r="25" spans="3:11" x14ac:dyDescent="0.2">
      <c r="C25" s="88" t="s">
        <v>134</v>
      </c>
      <c r="D25" s="50">
        <f>8489.336368164*Deflactores!$T$5</f>
        <v>13203.844159333901</v>
      </c>
      <c r="E25" s="50">
        <f>38720.906004962*Deflactores!$U$5</f>
        <v>59270.106456501235</v>
      </c>
      <c r="F25" s="50">
        <f>21618.2562138231*Deflactores!$V$5</f>
        <v>31330.310088531052</v>
      </c>
      <c r="G25" s="50">
        <f>15365.545069323*Deflactores!$W$5</f>
        <v>19685.779123031021</v>
      </c>
      <c r="H25" s="50">
        <f>36519.595319728*Deflactores!$X$5</f>
        <v>42814.404436615943</v>
      </c>
      <c r="I25" s="50">
        <f>29099.868603216*Deflactores!$Y$5</f>
        <v>32429.424301159743</v>
      </c>
      <c r="J25" s="50">
        <f>21776.2361211836*Deflactores!$Z$5</f>
        <v>23090.008715691733</v>
      </c>
      <c r="K25" s="50">
        <f>27555.315704464*Deflactores!$AA$5</f>
        <v>27555.315704463999</v>
      </c>
    </row>
    <row r="26" spans="3:11" x14ac:dyDescent="0.2">
      <c r="C26" s="87" t="s">
        <v>135</v>
      </c>
      <c r="D26" s="42">
        <f>0*Deflactores!$T$5</f>
        <v>0</v>
      </c>
      <c r="E26" s="42">
        <f>0*Deflactores!$U$5</f>
        <v>0</v>
      </c>
      <c r="F26" s="42">
        <f>0*Deflactores!$V$5</f>
        <v>0</v>
      </c>
      <c r="G26" s="42">
        <f>0*Deflactores!$W$5</f>
        <v>0</v>
      </c>
      <c r="H26" s="42">
        <f>500*Deflactores!$X$5</f>
        <v>586.1839933024595</v>
      </c>
      <c r="I26" s="42">
        <f>1381.612947511*Deflactores!$Y$5</f>
        <v>1539.6946668638395</v>
      </c>
      <c r="J26" s="42">
        <f>112.269769677*Deflactores!$Z$5</f>
        <v>119.04306813742126</v>
      </c>
      <c r="K26" s="42">
        <f>341.91090145*Deflactores!$AA$5</f>
        <v>341.91090144999998</v>
      </c>
    </row>
    <row r="27" spans="3:11" x14ac:dyDescent="0.2">
      <c r="C27" s="88" t="s">
        <v>136</v>
      </c>
      <c r="D27" s="50">
        <f>844.587181865*Deflactores!$T$5</f>
        <v>1313.6241803466521</v>
      </c>
      <c r="E27" s="50">
        <f>6882.971452534*Deflactores!$U$5</f>
        <v>10535.76718159618</v>
      </c>
      <c r="F27" s="50">
        <f>8750.89389384*Deflactores!$V$5</f>
        <v>12682.254134379817</v>
      </c>
      <c r="G27" s="50">
        <f>927.2094056*Deflactores!$W$5</f>
        <v>1187.9070659120259</v>
      </c>
      <c r="H27" s="50">
        <f>1229.265655381*Deflactores!$X$5</f>
        <v>1441.1517014015992</v>
      </c>
      <c r="I27" s="50">
        <f>2204.145190735*Deflactores!$Y$5</f>
        <v>2456.3396002347035</v>
      </c>
      <c r="J27" s="50">
        <f>2034.640892403*Deflactores!$Z$5</f>
        <v>2157.3919238130757</v>
      </c>
      <c r="K27" s="50">
        <f>1926.603753656*Deflactores!$AA$5</f>
        <v>1926.603753656</v>
      </c>
    </row>
    <row r="28" spans="3:11" x14ac:dyDescent="0.2">
      <c r="C28" s="87" t="s">
        <v>137</v>
      </c>
      <c r="D28" s="42">
        <f>154.540731379*Deflactores!$T$5</f>
        <v>240.3641044369534</v>
      </c>
      <c r="E28" s="42">
        <f>161.943*Deflactores!$U$5</f>
        <v>247.88621548925454</v>
      </c>
      <c r="F28" s="42">
        <f>180.945256866*Deflactores!$V$5</f>
        <v>262.23535101946737</v>
      </c>
      <c r="G28" s="42">
        <f>187.367*Deflactores!$W$5</f>
        <v>240.04780567849164</v>
      </c>
      <c r="H28" s="42">
        <f>220.227*Deflactores!$X$5</f>
        <v>258.18708458604152</v>
      </c>
      <c r="I28" s="42">
        <f>239.855581223*Deflactores!$Y$5</f>
        <v>267.2994342531951</v>
      </c>
      <c r="J28" s="42">
        <f>263.438327117*Deflactores!$Z$5</f>
        <v>279.33170982020749</v>
      </c>
      <c r="K28" s="42">
        <f>294.324447*Deflactores!$AA$5</f>
        <v>294.32444700000002</v>
      </c>
    </row>
    <row r="29" spans="3:11" x14ac:dyDescent="0.2">
      <c r="C29" s="88" t="s">
        <v>138</v>
      </c>
      <c r="D29" s="50">
        <f>90.387*Deflactores!$T$5</f>
        <v>140.58293961649485</v>
      </c>
      <c r="E29" s="50">
        <f>92.601*Deflactores!$U$5</f>
        <v>141.74438809038028</v>
      </c>
      <c r="F29" s="50">
        <f>109.327*Deflactores!$V$5</f>
        <v>158.44241909107677</v>
      </c>
      <c r="G29" s="50">
        <f>103.804*Deflactores!$W$5</f>
        <v>132.98992042702369</v>
      </c>
      <c r="H29" s="50">
        <f>114.794*Deflactores!$X$5</f>
        <v>134.58081065432506</v>
      </c>
      <c r="I29" s="50">
        <f>128.047*Deflactores!$Y$5</f>
        <v>142.69791214904953</v>
      </c>
      <c r="J29" s="50">
        <f>140.651175014*Deflactores!$Z$5</f>
        <v>149.13673964924956</v>
      </c>
      <c r="K29" s="50">
        <f>154.503477808*Deflactores!$AA$5</f>
        <v>154.50347780800001</v>
      </c>
    </row>
    <row r="30" spans="3:11" x14ac:dyDescent="0.2">
      <c r="C30" s="87" t="s">
        <v>160</v>
      </c>
      <c r="D30" s="42">
        <f>1186.079361308*Deflactores!$T$5</f>
        <v>1844.7622250006455</v>
      </c>
      <c r="E30" s="42">
        <f>1460.645014439*Deflactores!$U$5</f>
        <v>2235.8099133802093</v>
      </c>
      <c r="F30" s="42">
        <f>1752.640581646*Deflactores!$V$5</f>
        <v>2540.0186006492827</v>
      </c>
      <c r="G30" s="42">
        <f>2229.878899244*Deflactores!$W$5</f>
        <v>2856.839980851978</v>
      </c>
      <c r="H30" s="42">
        <f>2716.479836*Deflactores!$X$5</f>
        <v>3184.7139959841807</v>
      </c>
      <c r="I30" s="42">
        <f>3327.528019971*Deflactores!$Y$5</f>
        <v>3708.257913635794</v>
      </c>
      <c r="J30" s="42">
        <f>3790.264639969*Deflactores!$Z$5</f>
        <v>4018.933441235371</v>
      </c>
      <c r="K30" s="42">
        <f>3911.573843343*Deflactores!$AA$5</f>
        <v>3911.5738433430001</v>
      </c>
    </row>
    <row r="31" spans="3:11" x14ac:dyDescent="0.2">
      <c r="C31" s="88" t="s">
        <v>161</v>
      </c>
      <c r="D31" s="50">
        <f>1982.379883804*Deflactores!$T$5</f>
        <v>3083.2840065692167</v>
      </c>
      <c r="E31" s="50">
        <f>2102.0194001*Deflactores!$U$5</f>
        <v>3217.5619444852946</v>
      </c>
      <c r="F31" s="50">
        <f>2499.320849*Deflactores!$V$5</f>
        <v>3622.1467835056651</v>
      </c>
      <c r="G31" s="50">
        <f>2725.439825119*Deflactores!$W$5</f>
        <v>3491.7346679435973</v>
      </c>
      <c r="H31" s="50">
        <f>2971.650059648*Deflactores!$X$5</f>
        <v>3483.8673973239133</v>
      </c>
      <c r="I31" s="50">
        <f>3399.756777892*Deflactores!$Y$5</f>
        <v>3788.7509587867607</v>
      </c>
      <c r="J31" s="50">
        <f>3764.579825209*Deflactores!$Z$5</f>
        <v>3991.6990471293848</v>
      </c>
      <c r="K31" s="50">
        <f>4114.389560285*Deflactores!$AA$5</f>
        <v>4114.3895602849998</v>
      </c>
    </row>
    <row r="32" spans="3:11" x14ac:dyDescent="0.2">
      <c r="C32" s="87" t="s">
        <v>140</v>
      </c>
      <c r="D32" s="42">
        <f>187.908314991*Deflactores!$T$5</f>
        <v>292.2621981016855</v>
      </c>
      <c r="E32" s="42">
        <f>217.811210451*Deflactores!$U$5</f>
        <v>333.40370778503518</v>
      </c>
      <c r="F32" s="42">
        <f>227.708876361*Deflactores!$V$5</f>
        <v>330.00763964206232</v>
      </c>
      <c r="G32" s="42">
        <f>294.182227074*Deflactores!$W$5</f>
        <v>376.89560103286846</v>
      </c>
      <c r="H32" s="42">
        <f>300.419110299*Deflactores!$X$5</f>
        <v>352.20174747887972</v>
      </c>
      <c r="I32" s="42">
        <f>320.718328145*Deflactores!$Y$5</f>
        <v>357.41435421544628</v>
      </c>
      <c r="J32" s="42">
        <f>302.93701468*Deflactores!$Z$5</f>
        <v>321.21337545850628</v>
      </c>
      <c r="K32" s="42">
        <f>334.354650216*Deflactores!$AA$5</f>
        <v>334.35465021599998</v>
      </c>
    </row>
    <row r="33" spans="1:11" x14ac:dyDescent="0.2">
      <c r="C33" s="88" t="s">
        <v>141</v>
      </c>
      <c r="D33" s="50">
        <f>1717.95151541*Deflactores!$T$5</f>
        <v>2672.0067504724111</v>
      </c>
      <c r="E33" s="50">
        <f>2121.531077567*Deflactores!$U$5</f>
        <v>3247.4284770624458</v>
      </c>
      <c r="F33" s="50">
        <f>2489.039096424*Deflactores!$V$5</f>
        <v>3607.2459287247111</v>
      </c>
      <c r="G33" s="50">
        <f>2726.20315378*Deflactores!$W$5</f>
        <v>3492.7126169425383</v>
      </c>
      <c r="H33" s="50">
        <f>3404.796995337*Deflactores!$X$5</f>
        <v>3991.674998221717</v>
      </c>
      <c r="I33" s="50">
        <f>3751.56476*Deflactores!$Y$5</f>
        <v>4180.8121903984484</v>
      </c>
      <c r="J33" s="50">
        <f>3860.537568828*Deflactores!$Z$5</f>
        <v>4093.4459754860927</v>
      </c>
      <c r="K33" s="50">
        <f>4129.029628949*Deflactores!$AA$5</f>
        <v>4129.0296289489997</v>
      </c>
    </row>
    <row r="34" spans="1:11" x14ac:dyDescent="0.2">
      <c r="C34" s="87" t="s">
        <v>142</v>
      </c>
      <c r="D34" s="42">
        <f>82.880917062*Deflactores!$T$5</f>
        <v>128.90839344913385</v>
      </c>
      <c r="E34" s="42">
        <f>85.304108421*Deflactores!$U$5</f>
        <v>130.57503320407017</v>
      </c>
      <c r="F34" s="42">
        <f>279.127568491*Deflactores!$V$5</f>
        <v>404.52630353640234</v>
      </c>
      <c r="G34" s="42">
        <f>433.401119538*Deflactores!$W$5</f>
        <v>555.2577973906748</v>
      </c>
      <c r="H34" s="42">
        <f>246.769024435*Deflactores!$X$5</f>
        <v>289.30410433332105</v>
      </c>
      <c r="I34" s="42">
        <f>273.548990122*Deflactores!$Y$5</f>
        <v>304.84798363796403</v>
      </c>
      <c r="J34" s="42">
        <f>279.355350031*Deflactores!$Z$5</f>
        <v>296.20901569468799</v>
      </c>
      <c r="K34" s="42">
        <f>478.305164844*Deflactores!$AA$5</f>
        <v>478.30516484399999</v>
      </c>
    </row>
    <row r="35" spans="1:11" x14ac:dyDescent="0.2">
      <c r="C35" s="88" t="s">
        <v>143</v>
      </c>
      <c r="D35" s="50">
        <f>1319.218584481*Deflactores!$T$5</f>
        <v>2051.8396074994221</v>
      </c>
      <c r="E35" s="50">
        <f>4621.73738908*Deflactores!$U$5</f>
        <v>7074.4952876273092</v>
      </c>
      <c r="F35" s="50">
        <f>6365.786150271*Deflactores!$V$5</f>
        <v>9225.6309700751881</v>
      </c>
      <c r="G35" s="50">
        <f>4745.81222325475*Deflactores!$W$5</f>
        <v>6080.1625171693349</v>
      </c>
      <c r="H35" s="50">
        <f>3287.22381*Deflactores!$X$5</f>
        <v>3853.8359596494511</v>
      </c>
      <c r="I35" s="50">
        <f>2113.115714571*Deflactores!$Y$5</f>
        <v>2354.8946917821472</v>
      </c>
      <c r="J35" s="50">
        <f>3587.518379853*Deflactores!$Z$5</f>
        <v>3803.9553850138768</v>
      </c>
      <c r="K35" s="50">
        <f>9245.043237788*Deflactores!$AA$5</f>
        <v>9245.0432377880006</v>
      </c>
    </row>
    <row r="36" spans="1:11" x14ac:dyDescent="0.2">
      <c r="C36" s="87" t="s">
        <v>144</v>
      </c>
      <c r="D36" s="42">
        <f>4334.331609424*Deflactores!$T$5</f>
        <v>6741.3796112883392</v>
      </c>
      <c r="E36" s="42">
        <f>4599.530195*Deflactores!$U$5</f>
        <v>7040.5027266822453</v>
      </c>
      <c r="F36" s="42">
        <f>4957.475927*Deflactores!$V$5</f>
        <v>7184.6339738551178</v>
      </c>
      <c r="G36" s="42">
        <f>5455.2092*Deflactores!$W$5</f>
        <v>6989.0161980344456</v>
      </c>
      <c r="H36" s="42">
        <f>7176.2295*Deflactores!$X$5</f>
        <v>8413.1817303298249</v>
      </c>
      <c r="I36" s="42">
        <f>8192.5800133*Deflactores!$Y$5</f>
        <v>9129.9605848785395</v>
      </c>
      <c r="J36" s="42">
        <f>9425.170014399*Deflactores!$Z$5</f>
        <v>9993.7958317619778</v>
      </c>
      <c r="K36" s="42">
        <f>9459.483033632*Deflactores!$AA$5</f>
        <v>9459.4830336319992</v>
      </c>
    </row>
    <row r="37" spans="1:11" x14ac:dyDescent="0.2">
      <c r="C37" s="88" t="s">
        <v>145</v>
      </c>
      <c r="D37" s="50">
        <f>1402.315373561*Deflactores!$T$5</f>
        <v>2181.0837563433729</v>
      </c>
      <c r="E37" s="50">
        <f>526.345228942*Deflactores!$U$5</f>
        <v>805.67685446890323</v>
      </c>
      <c r="F37" s="50">
        <f>1288.351220562*Deflactores!$V$5</f>
        <v>1867.1461214959224</v>
      </c>
      <c r="G37" s="50">
        <f>3066.85993592*Deflactores!$W$5</f>
        <v>3929.1497325616338</v>
      </c>
      <c r="H37" s="50">
        <f>3043.809406163*Deflactores!$X$5</f>
        <v>3568.4647051124307</v>
      </c>
      <c r="I37" s="50">
        <f>1247.842178072*Deflactores!$Y$5</f>
        <v>1390.6180816606159</v>
      </c>
      <c r="J37" s="50">
        <f>2739.50086744*Deflactores!$Z$5</f>
        <v>2904.7764982811259</v>
      </c>
      <c r="K37" s="50">
        <f>6602.203489616*Deflactores!$AA$5</f>
        <v>6602.2034896160003</v>
      </c>
    </row>
    <row r="38" spans="1:11" x14ac:dyDescent="0.2">
      <c r="C38" s="87" t="s">
        <v>146</v>
      </c>
      <c r="D38" s="42">
        <f>695.832895488*Deflactores!$T$5</f>
        <v>1082.2599923612938</v>
      </c>
      <c r="E38" s="42">
        <f>770.714414943999*Deflactores!$U$5</f>
        <v>1179.7328661534173</v>
      </c>
      <c r="F38" s="42">
        <f>876.740207534999*Deflactores!$V$5</f>
        <v>1270.6178656348197</v>
      </c>
      <c r="G38" s="42">
        <f>1127.545477201*Deflactores!$W$5</f>
        <v>1444.5703758122177</v>
      </c>
      <c r="H38" s="42">
        <f>1184.651*Deflactores!$X$5</f>
        <v>1388.8469076995041</v>
      </c>
      <c r="I38" s="42">
        <f>1185.336206162*Deflactores!$Y$5</f>
        <v>1320.9602865665947</v>
      </c>
      <c r="J38" s="42">
        <f>1281.042804945*Deflactores!$Z$5</f>
        <v>1358.328839141303</v>
      </c>
      <c r="K38" s="42">
        <f>1268.947845812*Deflactores!$AA$5</f>
        <v>1268.947845812</v>
      </c>
    </row>
    <row r="39" spans="1:11" x14ac:dyDescent="0.2">
      <c r="C39" s="88" t="s">
        <v>162</v>
      </c>
      <c r="D39" s="50">
        <f>28454.23331852*Deflactores!$T$5</f>
        <v>44256.140423414348</v>
      </c>
      <c r="E39" s="50">
        <f>34261.195270608*Deflactores!$U$5</f>
        <v>52443.625434686037</v>
      </c>
      <c r="F39" s="50">
        <f>42433.0174329598*Deflactores!$V$5</f>
        <v>61496.153113247266</v>
      </c>
      <c r="G39" s="50">
        <f>40782.6885048082*Deflactores!$W$5</f>
        <v>52249.301559232168</v>
      </c>
      <c r="H39" s="50">
        <f>51171.608337631*Deflactores!$X$5</f>
        <v>59991.955438123943</v>
      </c>
      <c r="I39" s="50">
        <f>58777.42640181*Deflactores!$Y$5</f>
        <v>65502.635977669983</v>
      </c>
      <c r="J39" s="50">
        <f>64115.67056048*Deflactores!$Z$5</f>
        <v>67983.805089887013</v>
      </c>
      <c r="K39" s="50">
        <f>75104.772862222*Deflactores!$AA$5</f>
        <v>75104.772862222002</v>
      </c>
    </row>
    <row r="40" spans="1:11" x14ac:dyDescent="0.2">
      <c r="C40" s="87" t="s">
        <v>148</v>
      </c>
      <c r="D40" s="42">
        <f>279.190136412*Deflactores!$T$5</f>
        <v>434.23689345513355</v>
      </c>
      <c r="E40" s="42">
        <f>325.051517136*Deflactores!$U$5</f>
        <v>497.55648852919603</v>
      </c>
      <c r="F40" s="42">
        <f>368.2064*Deflactores!$V$5</f>
        <v>533.62401548397611</v>
      </c>
      <c r="G40" s="42">
        <f>364.995285796*Deflactores!$W$5</f>
        <v>467.61872388586966</v>
      </c>
      <c r="H40" s="42">
        <f>490.227944563*Deflactores!$X$5</f>
        <v>574.72754834479213</v>
      </c>
      <c r="I40" s="42">
        <f>601.201697709*Deflactores!$Y$5</f>
        <v>669.99013677429627</v>
      </c>
      <c r="J40" s="42">
        <f>703.36457226*Deflactores!$Z$5</f>
        <v>745.79895319896355</v>
      </c>
      <c r="K40" s="42">
        <f>675.156391489*Deflactores!$AA$5</f>
        <v>675.15639148900004</v>
      </c>
    </row>
    <row r="41" spans="1:11" x14ac:dyDescent="0.2">
      <c r="C41" s="88" t="s">
        <v>149</v>
      </c>
      <c r="D41" s="50">
        <f>68.740496183*Deflactores!$T$5</f>
        <v>106.91516505805684</v>
      </c>
      <c r="E41" s="50">
        <f>54.421210989*Deflactores!$U$5</f>
        <v>83.302569635028618</v>
      </c>
      <c r="F41" s="50">
        <f>81.8916*Deflactores!$V$5</f>
        <v>118.68159930519289</v>
      </c>
      <c r="G41" s="50">
        <f>106.793*Deflactores!$W$5</f>
        <v>136.8193188332159</v>
      </c>
      <c r="H41" s="50">
        <f>108.200203899*Deflactores!$X$5</f>
        <v>126.85045519531234</v>
      </c>
      <c r="I41" s="50">
        <f>120.086*Deflactores!$Y$5</f>
        <v>133.82602855459919</v>
      </c>
      <c r="J41" s="50">
        <f>127.996875*Deflactores!$Z$5</f>
        <v>135.71899858563199</v>
      </c>
      <c r="K41" s="50">
        <f>105.78732957*Deflactores!$AA$5</f>
        <v>105.78732957</v>
      </c>
    </row>
    <row r="42" spans="1:11" x14ac:dyDescent="0.2">
      <c r="C42" s="87" t="s">
        <v>163</v>
      </c>
      <c r="D42" s="42">
        <f>22774.625745418*Deflactores!$T$5</f>
        <v>35422.392998510491</v>
      </c>
      <c r="E42" s="42">
        <f>26546.258370817*Deflactores!$U$5</f>
        <v>40634.368407043024</v>
      </c>
      <c r="F42" s="42">
        <f>23646.932778951*Deflactores!$V$5</f>
        <v>34270.374505667176</v>
      </c>
      <c r="G42" s="42">
        <f>30160.023479922*Deflactores!$W$5</f>
        <v>38639.928352202165</v>
      </c>
      <c r="H42" s="42">
        <f>29477.31120709*Deflactores!$X$5</f>
        <v>34558.25599038272</v>
      </c>
      <c r="I42" s="42">
        <f>34386.99487278*Deflactores!$Y$5</f>
        <v>38321.494243721267</v>
      </c>
      <c r="J42" s="42">
        <f>45053.18442475*Deflactores!$Z$5</f>
        <v>47771.268425271024</v>
      </c>
      <c r="K42" s="42">
        <f>49856.495225122*Deflactores!$AA$5</f>
        <v>49856.495225122002</v>
      </c>
    </row>
    <row r="43" spans="1:11" x14ac:dyDescent="0.2">
      <c r="C43" s="88" t="s">
        <v>150</v>
      </c>
      <c r="D43" s="50">
        <f>177.716233621*Deflactores!$T$5</f>
        <v>276.4099985618721</v>
      </c>
      <c r="E43" s="50">
        <f>173.459417223*Deflactores!$U$5</f>
        <v>265.51439998259315</v>
      </c>
      <c r="F43" s="50">
        <f>320.081022352*Deflactores!$V$5</f>
        <v>463.87819556555928</v>
      </c>
      <c r="G43" s="50">
        <f>382.41154937*Deflactores!$W$5</f>
        <v>489.9318091893486</v>
      </c>
      <c r="H43" s="50">
        <f>505.340996533*Deflactores!$X$5</f>
        <v>592.44560665431663</v>
      </c>
      <c r="I43" s="50">
        <f>545.718513851*Deflactores!$Y$5</f>
        <v>608.15866476856058</v>
      </c>
      <c r="J43" s="50">
        <f>480.697534377*Deflactores!$Z$5</f>
        <v>509.69828746388413</v>
      </c>
      <c r="K43" s="50">
        <f>538.865401127*Deflactores!$AA$5</f>
        <v>538.86540112700004</v>
      </c>
    </row>
    <row r="44" spans="1:11" x14ac:dyDescent="0.2">
      <c r="C44" s="87" t="s">
        <v>151</v>
      </c>
      <c r="D44" s="42">
        <f>2193.858246928*Deflactores!$T$5</f>
        <v>3412.2057536485145</v>
      </c>
      <c r="E44" s="42">
        <f>2371.702884348*Deflactores!$U$5</f>
        <v>3630.3665627163559</v>
      </c>
      <c r="F44" s="42">
        <f>2743.274099731*Deflactores!$V$5</f>
        <v>3975.6966219806222</v>
      </c>
      <c r="G44" s="42">
        <f>2659.146005054*Deflactores!$W$5</f>
        <v>3406.8014297711975</v>
      </c>
      <c r="H44" s="42">
        <f>2941.964825564*Deflactores!$X$5</f>
        <v>3449.0653792089583</v>
      </c>
      <c r="I44" s="42">
        <f>3774.236903562*Deflactores!$Y$5</f>
        <v>4206.0784406834291</v>
      </c>
      <c r="J44" s="42">
        <f>4342.223109946*Deflactores!$Z$5</f>
        <v>4604.1918766943299</v>
      </c>
      <c r="K44" s="42">
        <f>4698.621505748*Deflactores!$AA$5</f>
        <v>4698.6215057480003</v>
      </c>
    </row>
    <row r="45" spans="1:11" ht="21.75" customHeight="1" x14ac:dyDescent="0.2">
      <c r="C45" s="79" t="s">
        <v>179</v>
      </c>
      <c r="D45" s="44">
        <f t="shared" ref="D45:K45" si="0">+SUM(D14:D44)</f>
        <v>233540.67474804242</v>
      </c>
      <c r="E45" s="44">
        <f t="shared" si="0"/>
        <v>314048.35268706072</v>
      </c>
      <c r="F45" s="44">
        <f t="shared" si="0"/>
        <v>297594.49264404026</v>
      </c>
      <c r="G45" s="44">
        <f t="shared" si="0"/>
        <v>259849.77915175483</v>
      </c>
      <c r="H45" s="44">
        <f t="shared" si="0"/>
        <v>294257.81286612595</v>
      </c>
      <c r="I45" s="44">
        <f t="shared" si="0"/>
        <v>308351.57268778543</v>
      </c>
      <c r="J45" s="44">
        <f t="shared" si="0"/>
        <v>325744.52508949727</v>
      </c>
      <c r="K45" s="44">
        <f t="shared" si="0"/>
        <v>352135.70035247307</v>
      </c>
    </row>
    <row r="46" spans="1:11" s="31" customFormat="1" x14ac:dyDescent="0.2">
      <c r="A46" s="5"/>
      <c r="B46" s="5"/>
      <c r="C46" s="72" t="str">
        <f>+'C1 Aprop Resumen 2000-2026'!B20</f>
        <v>* Información con corte a 30 de Junio</v>
      </c>
      <c r="D46" s="121">
        <f>+D45-'C6 Ejec. Nac 19-26'!D14</f>
        <v>1.280568540096283E-9</v>
      </c>
      <c r="E46" s="121">
        <f>+E45-'C6 Ejec. Nac 19-26'!E14</f>
        <v>6.9849193096160889E-10</v>
      </c>
      <c r="F46" s="121">
        <f>+F45-'C6 Ejec. Nac 19-26'!F14</f>
        <v>0</v>
      </c>
      <c r="G46" s="121">
        <f>+G45-'C6 Ejec. Nac 19-26'!G14</f>
        <v>0</v>
      </c>
      <c r="H46" s="121">
        <f>+H45-'C6 Ejec. Nac 19-26'!H14</f>
        <v>0</v>
      </c>
      <c r="I46" s="121">
        <f>+I45-'C6 Ejec. Nac 19-26'!I14</f>
        <v>0</v>
      </c>
      <c r="J46" s="121">
        <f>+J45-'C6 Ejec. Nac 19-26'!J14</f>
        <v>7.5669959187507629E-10</v>
      </c>
      <c r="K46" s="121">
        <f>+K45-'C6 Ejec. Nac 19-26'!K14</f>
        <v>0</v>
      </c>
    </row>
    <row r="47" spans="1:11" x14ac:dyDescent="0.2">
      <c r="C47" s="1" t="s">
        <v>52</v>
      </c>
      <c r="D47" s="10"/>
    </row>
    <row r="48" spans="1:11" x14ac:dyDescent="0.2">
      <c r="D48" s="10"/>
    </row>
    <row r="49" spans="3:12" x14ac:dyDescent="0.2">
      <c r="D49" s="10"/>
    </row>
    <row r="51" spans="3:12" ht="17.25" customHeight="1" x14ac:dyDescent="0.2">
      <c r="D51" s="187" t="s">
        <v>188</v>
      </c>
      <c r="E51" s="182"/>
      <c r="F51" s="182"/>
      <c r="G51" s="182"/>
      <c r="H51" s="182"/>
      <c r="I51" s="182"/>
      <c r="J51" s="182"/>
      <c r="K51" s="182"/>
      <c r="L51" s="182"/>
    </row>
    <row r="52" spans="3:12" ht="11.25" hidden="1" customHeight="1" x14ac:dyDescent="0.2">
      <c r="D52" s="28"/>
    </row>
    <row r="53" spans="3:12" ht="15.75" customHeight="1" x14ac:dyDescent="0.2">
      <c r="C53" s="2"/>
      <c r="D53" s="2"/>
      <c r="E53" s="2"/>
      <c r="F53" s="2"/>
      <c r="G53" s="2"/>
      <c r="H53" s="2"/>
      <c r="I53" s="2"/>
    </row>
    <row r="54" spans="3:12" ht="12" thickBot="1" x14ac:dyDescent="0.25">
      <c r="C54" s="181" t="s">
        <v>120</v>
      </c>
      <c r="D54" s="155">
        <v>2019</v>
      </c>
      <c r="E54" s="155">
        <v>2020</v>
      </c>
      <c r="F54" s="155">
        <v>2021</v>
      </c>
      <c r="G54" s="155">
        <v>2022</v>
      </c>
      <c r="H54" s="155">
        <v>2023</v>
      </c>
      <c r="I54" s="155">
        <v>2024</v>
      </c>
      <c r="J54" s="155">
        <v>2025</v>
      </c>
      <c r="K54" s="155" t="s">
        <v>36</v>
      </c>
    </row>
    <row r="55" spans="3:12" ht="12" customHeight="1" thickBot="1" x14ac:dyDescent="0.25">
      <c r="C55" s="162"/>
      <c r="D55" s="156"/>
      <c r="E55" s="156"/>
      <c r="F55" s="156"/>
      <c r="G55" s="156"/>
      <c r="H55" s="156"/>
      <c r="I55" s="156"/>
      <c r="J55" s="156"/>
      <c r="K55" s="156"/>
    </row>
    <row r="56" spans="3:12" x14ac:dyDescent="0.2">
      <c r="C56" s="87" t="s">
        <v>123</v>
      </c>
      <c r="D56" s="42">
        <f>705.313655785759*Deflactores!$T$5</f>
        <v>1097.0058424554261</v>
      </c>
      <c r="E56" s="42">
        <f>614.85273266909*Deflactores!$U$5</f>
        <v>941.15532616147061</v>
      </c>
      <c r="F56" s="42">
        <f>580.30723663103*Deflactores!$V$5</f>
        <v>841.01166580879681</v>
      </c>
      <c r="G56" s="42">
        <f>697.8677054839*Deflactores!$W$5</f>
        <v>894.08279662530788</v>
      </c>
      <c r="H56" s="42">
        <f>777.979802275109*Deflactores!$X$5</f>
        <v>912.07861441256262</v>
      </c>
      <c r="I56" s="42">
        <f>1004.3555198882*Deflactores!$Y$5</f>
        <v>1119.2721090179336</v>
      </c>
      <c r="J56" s="42">
        <f>788.075058990846*Deflactores!$Z$5</f>
        <v>835.62007132244798</v>
      </c>
      <c r="K56" s="42">
        <f>604.250490924149*Deflactores!$AA$5</f>
        <v>604.25049092414895</v>
      </c>
    </row>
    <row r="57" spans="3:12" x14ac:dyDescent="0.2">
      <c r="C57" s="88" t="s">
        <v>124</v>
      </c>
      <c r="D57" s="50">
        <f>283.70265242884*Deflactores!$T$5</f>
        <v>441.25541123660525</v>
      </c>
      <c r="E57" s="50">
        <f>310.53778344948*Deflactores!$U$5</f>
        <v>475.34031051489262</v>
      </c>
      <c r="F57" s="50">
        <f>337.69746189479*Deflactores!$V$5</f>
        <v>489.40886316762789</v>
      </c>
      <c r="G57" s="50">
        <f>342.33955107923*Deflactores!$W$5</f>
        <v>438.59301815970298</v>
      </c>
      <c r="H57" s="50">
        <f>412.713006925769*Deflactores!$X$5</f>
        <v>483.85151697522576</v>
      </c>
      <c r="I57" s="50">
        <f>492.918850506129*Deflactores!$Y$5</f>
        <v>549.31775696528678</v>
      </c>
      <c r="J57" s="50">
        <f>675.05352141888*Deflactores!$Z$5</f>
        <v>715.77988070939125</v>
      </c>
      <c r="K57" s="50">
        <f>338.59734974754*Deflactores!$AA$5</f>
        <v>338.59734974754002</v>
      </c>
    </row>
    <row r="58" spans="3:12" x14ac:dyDescent="0.2">
      <c r="C58" s="87" t="s">
        <v>125</v>
      </c>
      <c r="D58" s="42">
        <f>22.67956867012*Deflactores!$T$5</f>
        <v>35.274546482122737</v>
      </c>
      <c r="E58" s="42">
        <f>22.94716652129*Deflactores!$U$5</f>
        <v>35.125237059732747</v>
      </c>
      <c r="F58" s="42">
        <f>24.69428390912*Deflactores!$V$5</f>
        <v>35.788250663448416</v>
      </c>
      <c r="G58" s="42">
        <f>24.52920631672*Deflactores!$W$5</f>
        <v>31.425929600002309</v>
      </c>
      <c r="H58" s="42">
        <f>26.11209205751*Deflactores!$X$5</f>
        <v>30.612980791505297</v>
      </c>
      <c r="I58" s="42">
        <f>26.79346334176*Deflactores!$Y$5</f>
        <v>29.859124213072135</v>
      </c>
      <c r="J58" s="42">
        <f>25.25286534355*Deflactores!$Z$5</f>
        <v>26.776384937869906</v>
      </c>
      <c r="K58" s="42">
        <f>11.40198289905*Deflactores!$AA$5</f>
        <v>11.401982899049999</v>
      </c>
    </row>
    <row r="59" spans="3:12" x14ac:dyDescent="0.2">
      <c r="C59" s="88" t="s">
        <v>126</v>
      </c>
      <c r="D59" s="50">
        <f>442.508156620599*Deflactores!$T$5</f>
        <v>688.25270738048732</v>
      </c>
      <c r="E59" s="50">
        <f>506.32126280382*Deflactores!$U$5</f>
        <v>775.02616141592523</v>
      </c>
      <c r="F59" s="50">
        <f>421.3475673735*Deflactores!$V$5</f>
        <v>610.63898078972068</v>
      </c>
      <c r="G59" s="50">
        <f>402.77850746161*Deflactores!$W$5</f>
        <v>516.02521730410081</v>
      </c>
      <c r="H59" s="50">
        <f>484.99747237784*Deflactores!$X$5</f>
        <v>568.59551020008314</v>
      </c>
      <c r="I59" s="50">
        <f>750.69204828884*Deflactores!$Y$5</f>
        <v>836.58490989801362</v>
      </c>
      <c r="J59" s="50">
        <f>681.88477925861*Deflactores!$Z$5</f>
        <v>723.02327218350661</v>
      </c>
      <c r="K59" s="50">
        <f>833.318980893349*Deflactores!$AA$5</f>
        <v>833.31898089334902</v>
      </c>
    </row>
    <row r="60" spans="3:12" x14ac:dyDescent="0.2">
      <c r="C60" s="87" t="s">
        <v>127</v>
      </c>
      <c r="D60" s="42">
        <f>551.90141227832*Deflactores!$T$5</f>
        <v>858.39692562626578</v>
      </c>
      <c r="E60" s="42">
        <f>602.52580513676*Deflactores!$U$5</f>
        <v>922.28649321037324</v>
      </c>
      <c r="F60" s="42">
        <f>632.65134401225*Deflactores!$V$5</f>
        <v>916.87148999352314</v>
      </c>
      <c r="G60" s="42">
        <f>738.717671821719*Deflactores!$W$5</f>
        <v>946.41829210441426</v>
      </c>
      <c r="H60" s="42">
        <f>896.06421984406*Deflactores!$X$5</f>
        <v>1050.5170052872882</v>
      </c>
      <c r="I60" s="42">
        <f>1043.44658585773*Deflactores!$Y$5</f>
        <v>1162.8359058857454</v>
      </c>
      <c r="J60" s="42">
        <f>1156.28635316452*Deflactores!$Z$5</f>
        <v>1226.0457603337663</v>
      </c>
      <c r="K60" s="42">
        <f>709.714675117929*Deflactores!$AA$5</f>
        <v>709.714675117929</v>
      </c>
    </row>
    <row r="61" spans="3:12" x14ac:dyDescent="0.2">
      <c r="C61" s="88" t="s">
        <v>128</v>
      </c>
      <c r="D61" s="50">
        <f>232.712579608919*Deflactores!$T$5</f>
        <v>361.94827272903632</v>
      </c>
      <c r="E61" s="50">
        <f>233.629809391459*Deflactores!$U$5</f>
        <v>357.61724357042084</v>
      </c>
      <c r="F61" s="50">
        <f>224.822556715349*Deflactores!$V$5</f>
        <v>325.82463391678823</v>
      </c>
      <c r="G61" s="50">
        <f>185.7757038072*Deflactores!$W$5</f>
        <v>238.00909470342037</v>
      </c>
      <c r="H61" s="50">
        <f>292.62156096854*Deflactores!$X$5</f>
        <v>343.06015026987581</v>
      </c>
      <c r="I61" s="50">
        <f>328.67350233639*Deflactores!$Y$5</f>
        <v>366.27974542252929</v>
      </c>
      <c r="J61" s="50">
        <f>335.54035014125*Deflactores!$Z$5</f>
        <v>355.78368851772956</v>
      </c>
      <c r="K61" s="50">
        <f>250.035190869359*Deflactores!$AA$5</f>
        <v>250.03519086935901</v>
      </c>
    </row>
    <row r="62" spans="3:12" x14ac:dyDescent="0.2">
      <c r="C62" s="87" t="s">
        <v>129</v>
      </c>
      <c r="D62" s="42">
        <f>30274.1850183194*Deflactores!$T$5</f>
        <v>47086.792618064428</v>
      </c>
      <c r="E62" s="42">
        <f>32100.5958083174*Deflactores!$U$5</f>
        <v>49136.394965352178</v>
      </c>
      <c r="F62" s="42">
        <f>33928.3684748014*Deflactores!$V$5</f>
        <v>49170.770047298116</v>
      </c>
      <c r="G62" s="42">
        <f>37069.3760702019*Deflactores!$W$5</f>
        <v>47491.940328461009</v>
      </c>
      <c r="H62" s="42">
        <f>43074.1734154322*Deflactores!$X$5</f>
        <v>50498.781961721375</v>
      </c>
      <c r="I62" s="42">
        <f>49730.602942097*Deflactores!$Y$5</f>
        <v>55420.690916230931</v>
      </c>
      <c r="J62" s="42">
        <f>54957.3825674249*Deflactores!$Z$5</f>
        <v>58272.992422185118</v>
      </c>
      <c r="K62" s="42">
        <f>30043.732962992*Deflactores!$AA$5</f>
        <v>30043.732962991999</v>
      </c>
    </row>
    <row r="63" spans="3:12" x14ac:dyDescent="0.2">
      <c r="C63" s="88" t="s">
        <v>130</v>
      </c>
      <c r="D63" s="50">
        <f>36.97973938783*Deflactores!$T$5</f>
        <v>57.516240935013016</v>
      </c>
      <c r="E63" s="50">
        <f>39.0102949904899*Deflactores!$U$5</f>
        <v>59.713074293498117</v>
      </c>
      <c r="F63" s="50">
        <f>36.42389235794*Deflactores!$V$5</f>
        <v>52.787414068848484</v>
      </c>
      <c r="G63" s="50">
        <f>49.74624542684*Deflactores!$W$5</f>
        <v>63.733085631176472</v>
      </c>
      <c r="H63" s="50">
        <f>48.4766144126999*Deflactores!$X$5</f>
        <v>56.832430836439983</v>
      </c>
      <c r="I63" s="50">
        <f>62.4161431238*Deflactores!$Y$5</f>
        <v>69.557688256363008</v>
      </c>
      <c r="J63" s="50">
        <f>46.41038655829*Deflactores!$Z$5</f>
        <v>49.210351328211679</v>
      </c>
      <c r="K63" s="50">
        <f>25.79366292723*Deflactores!$AA$5</f>
        <v>25.793662927229999</v>
      </c>
    </row>
    <row r="64" spans="3:12" x14ac:dyDescent="0.2">
      <c r="C64" s="87" t="s">
        <v>131</v>
      </c>
      <c r="D64" s="42">
        <f>37378.6409499261*Deflactores!$T$5</f>
        <v>58136.67035757468</v>
      </c>
      <c r="E64" s="42">
        <f>40598.3838936504*Deflactores!$U$5</f>
        <v>62143.962618803547</v>
      </c>
      <c r="F64" s="42">
        <f>43206.8420035142*Deflactores!$V$5</f>
        <v>62617.620243148864</v>
      </c>
      <c r="G64" s="42">
        <f>44171.2634547524*Deflactores!$W$5</f>
        <v>56590.620901011724</v>
      </c>
      <c r="H64" s="42">
        <f>51129.6233913474*Deflactores!$X$5</f>
        <v>59942.73363118172</v>
      </c>
      <c r="I64" s="42">
        <f>61944.3768278671*Deflactores!$Y$5</f>
        <v>69031.943291999021</v>
      </c>
      <c r="J64" s="42">
        <f>73108.3938520768*Deflactores!$Z$5</f>
        <v>77519.06444440801</v>
      </c>
      <c r="K64" s="42">
        <f>49970.7121979238*Deflactores!$AA$5</f>
        <v>49970.7121979238</v>
      </c>
    </row>
    <row r="65" spans="3:11" x14ac:dyDescent="0.2">
      <c r="C65" s="88" t="s">
        <v>132</v>
      </c>
      <c r="D65" s="50">
        <f>22.7359512649199*Deflactores!$T$5</f>
        <v>35.362240851005168</v>
      </c>
      <c r="E65" s="50">
        <f>23.34998454923*Deflactores!$U$5</f>
        <v>35.741830777750145</v>
      </c>
      <c r="F65" s="50">
        <f>30.07740491501*Deflactores!$V$5</f>
        <v>43.589751797049466</v>
      </c>
      <c r="G65" s="50">
        <f>32.04388781921*Deflactores!$W$5</f>
        <v>41.053467026792916</v>
      </c>
      <c r="H65" s="50">
        <f>34.77247861571*Deflactores!$X$5</f>
        <v>40.766140743962538</v>
      </c>
      <c r="I65" s="50">
        <f>39.38004129941*Deflactores!$Y$5</f>
        <v>43.885836245824983</v>
      </c>
      <c r="J65" s="50">
        <f>44.94814743334*Deflactores!$Z$5</f>
        <v>47.659894492988592</v>
      </c>
      <c r="K65" s="50">
        <f>25.84597526622*Deflactores!$AA$5</f>
        <v>25.845975266220002</v>
      </c>
    </row>
    <row r="66" spans="3:11" x14ac:dyDescent="0.2">
      <c r="C66" s="87" t="s">
        <v>133</v>
      </c>
      <c r="D66" s="42">
        <f>3663.94963800874*Deflactores!$T$5</f>
        <v>5698.7045782917985</v>
      </c>
      <c r="E66" s="42">
        <f>3775.78316769924*Deflactores!$U$5</f>
        <v>5779.592819380855</v>
      </c>
      <c r="F66" s="42">
        <f>4087.81891210219*Deflactores!$V$5</f>
        <v>5924.2814422761512</v>
      </c>
      <c r="G66" s="42">
        <f>4514.84593453778*Deflactores!$W$5</f>
        <v>5784.2568838816496</v>
      </c>
      <c r="H66" s="42">
        <f>5175.14306849396*Deflactores!$X$5</f>
        <v>6067.1720596026662</v>
      </c>
      <c r="I66" s="42">
        <f>5672.31064864163*Deflactores!$Y$5</f>
        <v>6321.3264396821596</v>
      </c>
      <c r="J66" s="42">
        <f>6474.07986455098*Deflactores!$Z$5</f>
        <v>6864.6647504500634</v>
      </c>
      <c r="K66" s="42">
        <f>3055.0241729687*Deflactores!$AA$5</f>
        <v>3055.0241729687</v>
      </c>
    </row>
    <row r="67" spans="3:11" x14ac:dyDescent="0.2">
      <c r="C67" s="88" t="s">
        <v>134</v>
      </c>
      <c r="D67" s="50">
        <f>8211.59808482213*Deflactores!$T$5</f>
        <v>12771.865397827942</v>
      </c>
      <c r="E67" s="50">
        <f>19570.4421954612*Deflactores!$U$5</f>
        <v>29956.483770734729</v>
      </c>
      <c r="F67" s="50">
        <f>19719.4719808545*Deflactores!$V$5</f>
        <v>28578.492447842666</v>
      </c>
      <c r="G67" s="50">
        <f>14640.1024688037*Deflactores!$W$5</f>
        <v>18756.368370868917</v>
      </c>
      <c r="H67" s="50">
        <f>35238.9991072924*Deflactores!$X$5</f>
        <v>41313.074433388931</v>
      </c>
      <c r="I67" s="50">
        <f>24562.1558290815*Deflactores!$Y$5</f>
        <v>27372.514425871257</v>
      </c>
      <c r="J67" s="50">
        <f>20108.2373514352*Deflactores!$Z$5</f>
        <v>21321.378640369043</v>
      </c>
      <c r="K67" s="50">
        <f>8726.21948437304*Deflactores!$AA$5</f>
        <v>8726.2194843730394</v>
      </c>
    </row>
    <row r="68" spans="3:11" x14ac:dyDescent="0.2">
      <c r="C68" s="87" t="s">
        <v>135</v>
      </c>
      <c r="D68" s="42">
        <f>0*Deflactores!$T$5</f>
        <v>0</v>
      </c>
      <c r="E68" s="42">
        <f>0*Deflactores!$U$5</f>
        <v>0</v>
      </c>
      <c r="F68" s="42">
        <f>0*Deflactores!$V$5</f>
        <v>0</v>
      </c>
      <c r="G68" s="42">
        <f>0*Deflactores!$W$5</f>
        <v>0</v>
      </c>
      <c r="H68" s="42">
        <f>471.96114025259*Deflactores!$X$5</f>
        <v>553.31213175369078</v>
      </c>
      <c r="I68" s="42">
        <f>1371.7499163263*Deflactores!$Y$5</f>
        <v>1528.7031250275011</v>
      </c>
      <c r="J68" s="42">
        <f>108.39744937505*Deflactores!$Z$5</f>
        <v>114.9371285698852</v>
      </c>
      <c r="K68" s="42">
        <f>281.80663719212*Deflactores!$AA$5</f>
        <v>281.80663719211998</v>
      </c>
    </row>
    <row r="69" spans="3:11" x14ac:dyDescent="0.2">
      <c r="C69" s="88" t="s">
        <v>136</v>
      </c>
      <c r="D69" s="50">
        <f>824.97717726446*Deflactores!$T$5</f>
        <v>1283.1238640109302</v>
      </c>
      <c r="E69" s="50">
        <f>6820.09096259945*Deflactores!$U$5</f>
        <v>10439.515990263515</v>
      </c>
      <c r="F69" s="50">
        <f>8599.06442311034*Deflactores!$V$5</f>
        <v>12462.214906817317</v>
      </c>
      <c r="G69" s="50">
        <f>906.560701443749*Deflactores!$W$5</f>
        <v>1161.452694956562</v>
      </c>
      <c r="H69" s="50">
        <f>1166.69534232296*Deflactores!$X$5</f>
        <v>1367.7962694605053</v>
      </c>
      <c r="I69" s="50">
        <f>2125.92965143575*Deflactores!$Y$5</f>
        <v>2369.1747767275938</v>
      </c>
      <c r="J69" s="50">
        <f>1942.99394276131*Deflactores!$Z$5</f>
        <v>2060.2158620631462</v>
      </c>
      <c r="K69" s="50">
        <f>466.230914973139*Deflactores!$AA$5</f>
        <v>466.23091497313902</v>
      </c>
    </row>
    <row r="70" spans="3:11" x14ac:dyDescent="0.2">
      <c r="C70" s="87" t="s">
        <v>137</v>
      </c>
      <c r="D70" s="42">
        <f>139.72034585394*Deflactores!$T$5</f>
        <v>217.31329665084826</v>
      </c>
      <c r="E70" s="42">
        <f>143.5601391313*Deflactores!$U$5</f>
        <v>219.74756293491407</v>
      </c>
      <c r="F70" s="42">
        <f>147.53469395789*Deflactores!$V$5</f>
        <v>213.81501194169564</v>
      </c>
      <c r="G70" s="42">
        <f>168.913770036309*Deflactores!$W$5</f>
        <v>216.40619664133666</v>
      </c>
      <c r="H70" s="42">
        <f>205.83718309344*Deflactores!$X$5</f>
        <v>241.31692391168431</v>
      </c>
      <c r="I70" s="42">
        <f>229.32231856602*Deflactores!$Y$5</f>
        <v>255.56097424032012</v>
      </c>
      <c r="J70" s="42">
        <f>251.58096491343*Deflactores!$Z$5</f>
        <v>266.75898627413937</v>
      </c>
      <c r="K70" s="42">
        <f>144.25726756774*Deflactores!$AA$5</f>
        <v>144.25726756774</v>
      </c>
    </row>
    <row r="71" spans="3:11" x14ac:dyDescent="0.2">
      <c r="C71" s="88" t="s">
        <v>138</v>
      </c>
      <c r="D71" s="50">
        <f>87.2822857304599*Deflactores!$T$5</f>
        <v>135.75403879357535</v>
      </c>
      <c r="E71" s="50">
        <f>91.83441642363*Deflactores!$U$5</f>
        <v>140.57097830050006</v>
      </c>
      <c r="F71" s="50">
        <f>106.31293775018*Deflactores!$V$5</f>
        <v>154.07428208784268</v>
      </c>
      <c r="G71" s="50">
        <f>100.244969704429*Deflactores!$W$5</f>
        <v>128.43021987786034</v>
      </c>
      <c r="H71" s="50">
        <f>105.58533432232*Deflactores!$X$5</f>
        <v>123.78486581446555</v>
      </c>
      <c r="I71" s="50">
        <f>123.83520786849*Deflactores!$Y$5</f>
        <v>138.0042141821134</v>
      </c>
      <c r="J71" s="50">
        <f>137.17219646521*Deflactores!$Z$5</f>
        <v>145.44787236446098</v>
      </c>
      <c r="K71" s="50">
        <f>63.6878090168799*Deflactores!$AA$5</f>
        <v>63.687809016879903</v>
      </c>
    </row>
    <row r="72" spans="3:11" x14ac:dyDescent="0.2">
      <c r="C72" s="87" t="s">
        <v>160</v>
      </c>
      <c r="D72" s="42">
        <f>1171.73597440377*Deflactores!$T$5</f>
        <v>1822.4533144819491</v>
      </c>
      <c r="E72" s="42">
        <f>1426.59215511038*Deflactores!$U$5</f>
        <v>2183.685187856046</v>
      </c>
      <c r="F72" s="42">
        <f>1703.21005030532*Deflactores!$V$5</f>
        <v>2468.3812835860263</v>
      </c>
      <c r="G72" s="42">
        <f>1960.76812687354*Deflactores!$W$5</f>
        <v>2512.0650183880812</v>
      </c>
      <c r="H72" s="42">
        <f>2619.30595298259*Deflactores!$X$5</f>
        <v>3070.7904464004778</v>
      </c>
      <c r="I72" s="42">
        <f>3013.50910470317*Deflactores!$Y$5</f>
        <v>3358.3095073160162</v>
      </c>
      <c r="J72" s="42">
        <f>3720.71111430494*Deflactores!$Z$5</f>
        <v>3945.1837121796711</v>
      </c>
      <c r="K72" s="42">
        <f>2809.26461898689*Deflactores!$AA$5</f>
        <v>2809.2646189868901</v>
      </c>
    </row>
    <row r="73" spans="3:11" x14ac:dyDescent="0.2">
      <c r="C73" s="88" t="s">
        <v>161</v>
      </c>
      <c r="D73" s="50">
        <f>1955.44297514933*Deflactores!$T$5</f>
        <v>3041.3878289899799</v>
      </c>
      <c r="E73" s="50">
        <f>2042.66667112716*Deflactores!$U$5</f>
        <v>3126.7106982811565</v>
      </c>
      <c r="F73" s="50">
        <f>2164.41331328956*Deflactores!$V$5</f>
        <v>3136.7812276064515</v>
      </c>
      <c r="G73" s="50">
        <f>2479.71172769836*Deflactores!$W$5</f>
        <v>3176.9167406705169</v>
      </c>
      <c r="H73" s="50">
        <f>2894.39873183706*Deflactores!$X$5</f>
        <v>3393.3004136756449</v>
      </c>
      <c r="I73" s="50">
        <f>3356.45164918442*Deflactores!$Y$5</f>
        <v>3740.4909335466727</v>
      </c>
      <c r="J73" s="50">
        <f>3728.48464514616*Deflactores!$Z$5</f>
        <v>3953.4262245163582</v>
      </c>
      <c r="K73" s="50">
        <f>2409.08899170827*Deflactores!$AA$5</f>
        <v>2409.08899170827</v>
      </c>
    </row>
    <row r="74" spans="3:11" x14ac:dyDescent="0.2">
      <c r="C74" s="87" t="s">
        <v>140</v>
      </c>
      <c r="D74" s="42">
        <f>181.5038428251*Deflactores!$T$5</f>
        <v>282.30103638844975</v>
      </c>
      <c r="E74" s="42">
        <f>203.745915122549*Deflactores!$U$5</f>
        <v>311.87395454649811</v>
      </c>
      <c r="F74" s="42">
        <f>206.97533382448*Deflactores!$V$5</f>
        <v>299.95950298950652</v>
      </c>
      <c r="G74" s="42">
        <f>279.31373680063*Deflactores!$W$5</f>
        <v>357.84663048909891</v>
      </c>
      <c r="H74" s="42">
        <f>278.45360018523*Deflactores!$X$5</f>
        <v>326.45008661204923</v>
      </c>
      <c r="I74" s="42">
        <f>299.45422438285*Deflactores!$Y$5</f>
        <v>333.71724916355475</v>
      </c>
      <c r="J74" s="42">
        <f>287.40635666761*Deflactores!$Z$5</f>
        <v>304.74574409783833</v>
      </c>
      <c r="K74" s="42">
        <f>206.38801322086*Deflactores!$AA$5</f>
        <v>206.38801322085999</v>
      </c>
    </row>
    <row r="75" spans="3:11" x14ac:dyDescent="0.2">
      <c r="C75" s="88" t="s">
        <v>141</v>
      </c>
      <c r="D75" s="50">
        <f>1649.66144580051*Deflactores!$T$5</f>
        <v>2565.79215398932</v>
      </c>
      <c r="E75" s="50">
        <f>1830.07164868104*Deflactores!$U$5</f>
        <v>2801.2914115813805</v>
      </c>
      <c r="F75" s="50">
        <f>2232.68043994741*Deflactores!$V$5</f>
        <v>3235.7175259780038</v>
      </c>
      <c r="G75" s="50">
        <f>2563.57285427045*Deflactores!$W$5</f>
        <v>3284.3565748748138</v>
      </c>
      <c r="H75" s="50">
        <f>3186.0926004979*Deflactores!$X$5</f>
        <v>3735.2729671825537</v>
      </c>
      <c r="I75" s="50">
        <f>3427.67086317003*Deflactores!$Y$5</f>
        <v>3819.8589245237586</v>
      </c>
      <c r="J75" s="50">
        <f>3758.29545284916*Deflactores!$Z$5</f>
        <v>3985.035535044291</v>
      </c>
      <c r="K75" s="50">
        <f>2012.83798601752*Deflactores!$AA$5</f>
        <v>2012.8379860175201</v>
      </c>
    </row>
    <row r="76" spans="3:11" x14ac:dyDescent="0.2">
      <c r="C76" s="87" t="s">
        <v>142</v>
      </c>
      <c r="D76" s="42">
        <f>79.02570833998*Deflactores!$T$5</f>
        <v>122.91221507196988</v>
      </c>
      <c r="E76" s="42">
        <f>81.64625714595*Deflactores!$U$5</f>
        <v>124.97595878038599</v>
      </c>
      <c r="F76" s="42">
        <f>224.83782972817*Deflactores!$V$5</f>
        <v>325.84676836754755</v>
      </c>
      <c r="G76" s="42">
        <f>408.42085454902*Deflactores!$W$5</f>
        <v>523.2539877770721</v>
      </c>
      <c r="H76" s="42">
        <f>225.24244686784*Deflactores!$X$5</f>
        <v>264.06703393241503</v>
      </c>
      <c r="I76" s="42">
        <f>251.51373305666*Deflactores!$Y$5</f>
        <v>280.29149128053575</v>
      </c>
      <c r="J76" s="42">
        <f>240.25038246428*Deflactores!$Z$5</f>
        <v>254.74482340187726</v>
      </c>
      <c r="K76" s="42">
        <f>417.46642657808*Deflactores!$AA$5</f>
        <v>417.46642657808002</v>
      </c>
    </row>
    <row r="77" spans="3:11" x14ac:dyDescent="0.2">
      <c r="C77" s="88" t="s">
        <v>143</v>
      </c>
      <c r="D77" s="50">
        <f>1297.06734012303*Deflactores!$T$5</f>
        <v>2017.3867874256641</v>
      </c>
      <c r="E77" s="50">
        <f>4602.66574984392*Deflactores!$U$5</f>
        <v>7045.3023217479058</v>
      </c>
      <c r="F77" s="50">
        <f>6335.74228904698*Deflactores!$V$5</f>
        <v>9182.0898315534105</v>
      </c>
      <c r="G77" s="50">
        <f>4712.21453107236*Deflactores!$W$5</f>
        <v>6037.1183723399672</v>
      </c>
      <c r="H77" s="50">
        <f>3243.31125671289*Deflactores!$X$5</f>
        <v>3802.3542879655606</v>
      </c>
      <c r="I77" s="50">
        <f>2039.04091891953*Deflactores!$Y$5</f>
        <v>2272.3443885159068</v>
      </c>
      <c r="J77" s="50">
        <f>3549.53627931391*Deflactores!$Z$5</f>
        <v>3763.6818029491264</v>
      </c>
      <c r="K77" s="50">
        <f>8713.16261347281*Deflactores!$AA$5</f>
        <v>8713.1626134728103</v>
      </c>
    </row>
    <row r="78" spans="3:11" x14ac:dyDescent="0.2">
      <c r="C78" s="87" t="s">
        <v>144</v>
      </c>
      <c r="D78" s="42">
        <f>4304.87282354709*Deflactores!$T$5</f>
        <v>6695.5610453871705</v>
      </c>
      <c r="E78" s="42">
        <f>4552.62443572019*Deflactores!$U$5</f>
        <v>6968.7040620130592</v>
      </c>
      <c r="F78" s="42">
        <f>4837.35950806067*Deflactores!$V$5</f>
        <v>7010.5549632785469</v>
      </c>
      <c r="G78" s="42">
        <f>5399.15096306295*Deflactores!$W$5</f>
        <v>6917.1964177799509</v>
      </c>
      <c r="H78" s="42">
        <f>6539.24942233256*Deflactores!$X$5</f>
        <v>7666.4066791674031</v>
      </c>
      <c r="I78" s="42">
        <f>8054.69986637758*Deflactores!$Y$5</f>
        <v>8976.304434460073</v>
      </c>
      <c r="J78" s="42">
        <f>9300.58513186542*Deflactores!$Z$5</f>
        <v>9861.6946730706732</v>
      </c>
      <c r="K78" s="42">
        <f>4174.56251871592*Deflactores!$AA$5</f>
        <v>4174.5625187159203</v>
      </c>
    </row>
    <row r="79" spans="3:11" x14ac:dyDescent="0.2">
      <c r="C79" s="88" t="s">
        <v>145</v>
      </c>
      <c r="D79" s="50">
        <f>1340.97151432361*Deflactores!$T$5</f>
        <v>2085.6729112106359</v>
      </c>
      <c r="E79" s="50">
        <f>508.308374296529*Deflactores!$U$5</f>
        <v>778.06783378016974</v>
      </c>
      <c r="F79" s="50">
        <f>1211.08600769604*Deflactores!$V$5</f>
        <v>1755.1693249308498</v>
      </c>
      <c r="G79" s="50">
        <f>2987.93232503438*Deflactores!$W$5</f>
        <v>3828.0305397446541</v>
      </c>
      <c r="H79" s="50">
        <f>2888.80204207781*Deflactores!$X$5</f>
        <v>3386.7390337709403</v>
      </c>
      <c r="I79" s="50">
        <f>795.97448467571*Deflactores!$Y$5</f>
        <v>887.04848287846994</v>
      </c>
      <c r="J79" s="50">
        <f>2608.8966529397*Deflactores!$Z$5</f>
        <v>2766.2928579340951</v>
      </c>
      <c r="K79" s="50">
        <f>4182.59318691469*Deflactores!$AA$5</f>
        <v>4182.5931869146898</v>
      </c>
    </row>
    <row r="80" spans="3:11" x14ac:dyDescent="0.2">
      <c r="C80" s="87" t="s">
        <v>146</v>
      </c>
      <c r="D80" s="42">
        <f>671.409358689904*Deflactores!$T$5</f>
        <v>1044.2729743287455</v>
      </c>
      <c r="E80" s="42">
        <f>719.83630107133*Deflactores!$U$5</f>
        <v>1101.8537167049863</v>
      </c>
      <c r="F80" s="42">
        <f>801.622702706239*Deflactores!$V$5</f>
        <v>1161.7536401355892</v>
      </c>
      <c r="G80" s="42">
        <f>1100.02899264964*Deflactores!$W$5</f>
        <v>1409.3172536693639</v>
      </c>
      <c r="H80" s="42">
        <f>1114.79434319987*Deflactores!$X$5</f>
        <v>1306.9491996157847</v>
      </c>
      <c r="I80" s="42">
        <f>1132.83138462828*Deflactores!$Y$5</f>
        <v>1262.4479558550565</v>
      </c>
      <c r="J80" s="42">
        <f>1227.78329754137*Deflactores!$Z$5</f>
        <v>1301.8561556481732</v>
      </c>
      <c r="K80" s="42">
        <f>654.41521971328*Deflactores!$AA$5</f>
        <v>654.41521971327995</v>
      </c>
    </row>
    <row r="81" spans="1:12" x14ac:dyDescent="0.2">
      <c r="C81" s="88" t="s">
        <v>162</v>
      </c>
      <c r="D81" s="50">
        <f>28434.4478051577*Deflactores!$T$5</f>
        <v>44225.367130459679</v>
      </c>
      <c r="E81" s="50">
        <f>33484.3146004642*Deflactores!$U$5</f>
        <v>51254.453879208479</v>
      </c>
      <c r="F81" s="50">
        <f>42341.5886502869*Deflactores!$V$5</f>
        <v>61363.649728893484</v>
      </c>
      <c r="G81" s="50">
        <f>40756.5954815885*Deflactores!$W$5</f>
        <v>52215.872124126698</v>
      </c>
      <c r="H81" s="50">
        <f>50733.7178001599*Deflactores!$X$5</f>
        <v>59478.586590355604</v>
      </c>
      <c r="I81" s="50">
        <f>58084.9783106795*Deflactores!$Y$5</f>
        <v>64730.959195895186</v>
      </c>
      <c r="J81" s="50">
        <f>63531.8402059979*Deflactores!$Z$5</f>
        <v>67364.751921173272</v>
      </c>
      <c r="K81" s="50">
        <f>39265.5785098594*Deflactores!$AA$5</f>
        <v>39265.578509859399</v>
      </c>
    </row>
    <row r="82" spans="1:12" x14ac:dyDescent="0.2">
      <c r="C82" s="87" t="s">
        <v>148</v>
      </c>
      <c r="D82" s="42">
        <f>264.07690960853*Deflactores!$T$5</f>
        <v>410.73061654448696</v>
      </c>
      <c r="E82" s="42">
        <f>317.62768516746*Deflactores!$U$5</f>
        <v>486.19282593736119</v>
      </c>
      <c r="F82" s="42">
        <f>358.64498812644*Deflactores!$V$5</f>
        <v>519.76711620774063</v>
      </c>
      <c r="G82" s="42">
        <f>360.0101767812*Deflactores!$W$5</f>
        <v>461.23198299728836</v>
      </c>
      <c r="H82" s="42">
        <f>451.28346101165*Deflactores!$X$5</f>
        <v>529.07028257432762</v>
      </c>
      <c r="I82" s="42">
        <f>592.63193987723*Deflactores!$Y$5</f>
        <v>660.43984234946367</v>
      </c>
      <c r="J82" s="42">
        <f>699.623488265909*Deflactores!$Z$5</f>
        <v>741.83216749968165</v>
      </c>
      <c r="K82" s="42">
        <f>379.82164676159*Deflactores!$AA$5</f>
        <v>379.82164676158999</v>
      </c>
    </row>
    <row r="83" spans="1:12" x14ac:dyDescent="0.2">
      <c r="C83" s="88" t="s">
        <v>149</v>
      </c>
      <c r="D83" s="50">
        <f>64.40144436624*Deflactores!$T$5</f>
        <v>100.16644389739864</v>
      </c>
      <c r="E83" s="50">
        <f>53.71154523094*Deflactores!$U$5</f>
        <v>82.216283972617731</v>
      </c>
      <c r="F83" s="50">
        <f>65.78004969265*Deflactores!$V$5</f>
        <v>95.331896066248106</v>
      </c>
      <c r="G83" s="50">
        <f>93.64234653543*Deflactores!$W$5</f>
        <v>119.97117851283778</v>
      </c>
      <c r="H83" s="50">
        <f>94.20563140713*Deflactores!$X$5</f>
        <v>110.44366641962212</v>
      </c>
      <c r="I83" s="50">
        <f>113.06374326329*Deflactores!$Y$5</f>
        <v>126.00029757376312</v>
      </c>
      <c r="J83" s="50">
        <f>115.76479600288*Deflactores!$Z$5</f>
        <v>122.74895137073344</v>
      </c>
      <c r="K83" s="50">
        <f>99.50377649597*Deflactores!$AA$5</f>
        <v>99.503776495970001</v>
      </c>
    </row>
    <row r="84" spans="1:12" x14ac:dyDescent="0.2">
      <c r="C84" s="87" t="s">
        <v>163</v>
      </c>
      <c r="D84" s="42">
        <f>22653.7594107629*Deflactores!$T$5</f>
        <v>35234.404187879707</v>
      </c>
      <c r="E84" s="42">
        <f>26371.9671291886*Deflactores!$U$5</f>
        <v>40367.580733107214</v>
      </c>
      <c r="F84" s="42">
        <f>23245.8977128905*Deflactores!$V$5</f>
        <v>33689.173466518791</v>
      </c>
      <c r="G84" s="42">
        <f>25594.2626291314*Deflactores!$W$5</f>
        <v>32790.441124008044</v>
      </c>
      <c r="H84" s="42">
        <f>28926.2308944203*Deflactores!$X$5</f>
        <v>33912.187073760535</v>
      </c>
      <c r="I84" s="42">
        <f>31249.8531415474*Deflactores!$Y$5</f>
        <v>34825.406282562108</v>
      </c>
      <c r="J84" s="42">
        <f>44929.2189198675*Deflactores!$Z$5</f>
        <v>47639.824011633456</v>
      </c>
      <c r="K84" s="42">
        <f>17668.3400369464*Deflactores!$AA$5</f>
        <v>17668.3400369464</v>
      </c>
    </row>
    <row r="85" spans="1:12" x14ac:dyDescent="0.2">
      <c r="C85" s="88" t="s">
        <v>150</v>
      </c>
      <c r="D85" s="50">
        <f>165.370478680169*Deflactores!$T$5</f>
        <v>257.20809429060643</v>
      </c>
      <c r="E85" s="50">
        <f>155.1441584967*Deflactores!$U$5</f>
        <v>237.47922605492073</v>
      </c>
      <c r="F85" s="50">
        <f>299.937552914739*Deflactores!$V$5</f>
        <v>434.68522377883869</v>
      </c>
      <c r="G85" s="50">
        <f>353.09741473827*Deflactores!$W$5</f>
        <v>452.37560295393541</v>
      </c>
      <c r="H85" s="50">
        <f>455.53471354015*Deflactores!$X$5</f>
        <v>534.05431494171421</v>
      </c>
      <c r="I85" s="50">
        <f>524.77733349672*Deflactores!$Y$5</f>
        <v>584.82143145194664</v>
      </c>
      <c r="J85" s="50">
        <f>462.82627020685*Deflactores!$Z$5</f>
        <v>490.74883985719805</v>
      </c>
      <c r="K85" s="50">
        <f>365.06670069187*Deflactores!$AA$5</f>
        <v>365.06670069186998</v>
      </c>
    </row>
    <row r="86" spans="1:12" x14ac:dyDescent="0.2">
      <c r="C86" s="87" t="s">
        <v>151</v>
      </c>
      <c r="D86" s="42">
        <f>2190.79212762716*Deflactores!$T$5</f>
        <v>3407.4368813048482</v>
      </c>
      <c r="E86" s="42">
        <f>2341.04330928252*Deflactores!$U$5</f>
        <v>3583.4359387839195</v>
      </c>
      <c r="F86" s="42">
        <f>2728.56652615388*Deflactores!$V$5</f>
        <v>3954.3816354126302</v>
      </c>
      <c r="G86" s="42">
        <f>2654.77344210921*Deflactores!$W$5</f>
        <v>3401.1994606939966</v>
      </c>
      <c r="H86" s="42">
        <f>2926.31864759444*Deflactores!$X$5</f>
        <v>3430.7223010447233</v>
      </c>
      <c r="I86" s="42">
        <f>3759.52629688483*Deflactores!$Y$5</f>
        <v>4189.6846723071449</v>
      </c>
      <c r="J86" s="42">
        <f>4340.45487461282*Deflactores!$Z$5</f>
        <v>4602.3169627272291</v>
      </c>
      <c r="K86" s="42">
        <f>2195.15470035394*Deflactores!$AA$5</f>
        <v>2195.1547003539399</v>
      </c>
    </row>
    <row r="87" spans="1:12" x14ac:dyDescent="0.2">
      <c r="C87" s="79" t="s">
        <v>179</v>
      </c>
      <c r="D87" s="44">
        <f t="shared" ref="D87:K87" si="1">+SUM(D56:D86)</f>
        <v>232218.28996056077</v>
      </c>
      <c r="E87" s="44">
        <f t="shared" si="1"/>
        <v>281872.0984151304</v>
      </c>
      <c r="F87" s="44">
        <f t="shared" si="1"/>
        <v>291070.4325669221</v>
      </c>
      <c r="G87" s="44">
        <f t="shared" si="1"/>
        <v>250786.0095058803</v>
      </c>
      <c r="H87" s="44">
        <f t="shared" si="1"/>
        <v>288541.68100377137</v>
      </c>
      <c r="I87" s="44">
        <f t="shared" si="1"/>
        <v>296663.63632954535</v>
      </c>
      <c r="J87" s="44">
        <f t="shared" si="1"/>
        <v>321644.24379361345</v>
      </c>
      <c r="K87" s="44">
        <f t="shared" si="1"/>
        <v>181103.8747020897</v>
      </c>
    </row>
    <row r="88" spans="1:12" s="31" customFormat="1" x14ac:dyDescent="0.2">
      <c r="A88" s="5"/>
      <c r="B88" s="5"/>
      <c r="C88" s="72" t="str">
        <f>+'C1 Aprop Resumen 2000-2026'!B20</f>
        <v>* Información con corte a 30 de Junio</v>
      </c>
      <c r="D88" s="121">
        <f>+D87-'C6 Ejec. Nac 19-26'!D47</f>
        <v>0</v>
      </c>
      <c r="E88" s="121">
        <f>+E87-'C6 Ejec. Nac 19-26'!E47</f>
        <v>1.3387762010097504E-9</v>
      </c>
      <c r="F88" s="121">
        <f>+F87-'C6 Ejec. Nac 19-26'!F47</f>
        <v>0</v>
      </c>
      <c r="G88" s="121">
        <f>+G87-'C6 Ejec. Nac 19-26'!G47</f>
        <v>0</v>
      </c>
      <c r="H88" s="121">
        <f>+H87-'C6 Ejec. Nac 19-26'!H47</f>
        <v>0</v>
      </c>
      <c r="I88" s="121">
        <f>+I87-'C6 Ejec. Nac 19-26'!I47</f>
        <v>0</v>
      </c>
      <c r="J88" s="121">
        <f>+J87-'C6 Ejec. Nac 19-26'!J47</f>
        <v>0</v>
      </c>
      <c r="K88" s="121">
        <f>+K87-'C6 Ejec. Nac 19-26'!K47</f>
        <v>8.7311491370201111E-10</v>
      </c>
    </row>
    <row r="89" spans="1:12" x14ac:dyDescent="0.2">
      <c r="C89" s="1" t="s">
        <v>52</v>
      </c>
      <c r="D89" s="11"/>
      <c r="E89" s="11"/>
      <c r="F89" s="11"/>
    </row>
    <row r="90" spans="1:12" x14ac:dyDescent="0.2">
      <c r="D90" s="11"/>
      <c r="E90" s="11"/>
      <c r="F90" s="11"/>
    </row>
    <row r="91" spans="1:12" x14ac:dyDescent="0.2">
      <c r="D91" s="11"/>
      <c r="E91" s="11"/>
      <c r="F91" s="11"/>
    </row>
    <row r="92" spans="1:12" x14ac:dyDescent="0.2">
      <c r="D92" s="11"/>
      <c r="E92" s="11"/>
      <c r="F92" s="11"/>
    </row>
    <row r="93" spans="1:12" ht="15.75" customHeight="1" x14ac:dyDescent="0.2">
      <c r="D93" s="164" t="s">
        <v>189</v>
      </c>
      <c r="E93" s="182"/>
      <c r="F93" s="182"/>
      <c r="G93" s="182"/>
      <c r="H93" s="182"/>
      <c r="I93" s="182"/>
      <c r="J93" s="182"/>
      <c r="K93" s="182"/>
      <c r="L93" s="182"/>
    </row>
    <row r="94" spans="1:12" ht="11.25" hidden="1" customHeight="1" x14ac:dyDescent="0.2">
      <c r="D94" s="28"/>
      <c r="E94" s="28"/>
      <c r="F94" s="28"/>
    </row>
    <row r="95" spans="1:12" x14ac:dyDescent="0.2">
      <c r="D95" s="29"/>
      <c r="E95" s="29"/>
      <c r="F95" s="29"/>
    </row>
    <row r="96" spans="1:12" ht="12" thickBot="1" x14ac:dyDescent="0.25">
      <c r="C96" s="181" t="s">
        <v>120</v>
      </c>
      <c r="D96" s="155">
        <v>2019</v>
      </c>
      <c r="E96" s="155">
        <v>2020</v>
      </c>
      <c r="F96" s="155">
        <v>2021</v>
      </c>
      <c r="G96" s="155">
        <v>2022</v>
      </c>
      <c r="H96" s="155">
        <v>2023</v>
      </c>
      <c r="I96" s="155">
        <v>2024</v>
      </c>
      <c r="J96" s="155">
        <v>2025</v>
      </c>
      <c r="K96" s="155" t="s">
        <v>36</v>
      </c>
    </row>
    <row r="97" spans="3:11" ht="12" customHeight="1" thickBot="1" x14ac:dyDescent="0.25">
      <c r="C97" s="162"/>
      <c r="D97" s="156"/>
      <c r="E97" s="156"/>
      <c r="F97" s="156"/>
      <c r="G97" s="156"/>
      <c r="H97" s="156"/>
      <c r="I97" s="156"/>
      <c r="J97" s="156"/>
      <c r="K97" s="156"/>
    </row>
    <row r="98" spans="3:11" x14ac:dyDescent="0.2">
      <c r="C98" s="87" t="s">
        <v>123</v>
      </c>
      <c r="D98" s="47">
        <f t="shared" ref="D98:K107" si="2">+IFERROR(IF(D56&gt;0,+((D56/D14)*100)," "),"")</f>
        <v>97.007937001704008</v>
      </c>
      <c r="E98" s="47">
        <f t="shared" si="2"/>
        <v>86.210016716869546</v>
      </c>
      <c r="F98" s="47">
        <f t="shared" si="2"/>
        <v>92.837416972785036</v>
      </c>
      <c r="G98" s="47">
        <f t="shared" si="2"/>
        <v>92.890694881328997</v>
      </c>
      <c r="H98" s="47">
        <f t="shared" si="2"/>
        <v>84.28221923595278</v>
      </c>
      <c r="I98" s="47">
        <f t="shared" si="2"/>
        <v>95.894630475540197</v>
      </c>
      <c r="J98" s="47">
        <f t="shared" si="2"/>
        <v>94.667599118987269</v>
      </c>
      <c r="K98" s="47">
        <f t="shared" si="2"/>
        <v>68.353408520703638</v>
      </c>
    </row>
    <row r="99" spans="3:11" x14ac:dyDescent="0.2">
      <c r="C99" s="88" t="s">
        <v>124</v>
      </c>
      <c r="D99" s="116">
        <f t="shared" si="2"/>
        <v>97.985061615970963</v>
      </c>
      <c r="E99" s="116">
        <f t="shared" si="2"/>
        <v>97.578677503546274</v>
      </c>
      <c r="F99" s="116">
        <f t="shared" si="2"/>
        <v>93.949985732876499</v>
      </c>
      <c r="G99" s="116">
        <f t="shared" si="2"/>
        <v>92.457123986566941</v>
      </c>
      <c r="H99" s="116">
        <f t="shared" si="2"/>
        <v>95.565045476654532</v>
      </c>
      <c r="I99" s="116">
        <f t="shared" si="2"/>
        <v>96.694713528823598</v>
      </c>
      <c r="J99" s="116">
        <f t="shared" si="2"/>
        <v>98.002408893430157</v>
      </c>
      <c r="K99" s="116">
        <f t="shared" si="2"/>
        <v>58.079396837152963</v>
      </c>
    </row>
    <row r="100" spans="3:11" x14ac:dyDescent="0.2">
      <c r="C100" s="87" t="s">
        <v>125</v>
      </c>
      <c r="D100" s="47">
        <f t="shared" si="2"/>
        <v>96.636739383731026</v>
      </c>
      <c r="E100" s="47">
        <f t="shared" si="2"/>
        <v>94.930833911807071</v>
      </c>
      <c r="F100" s="47">
        <f t="shared" si="2"/>
        <v>96.575562945679522</v>
      </c>
      <c r="G100" s="47">
        <f t="shared" si="2"/>
        <v>88.865393905143833</v>
      </c>
      <c r="H100" s="47">
        <f t="shared" si="2"/>
        <v>95.912194434805642</v>
      </c>
      <c r="I100" s="47">
        <f t="shared" si="2"/>
        <v>96.330901086093874</v>
      </c>
      <c r="J100" s="47">
        <f t="shared" si="2"/>
        <v>93.440518641874419</v>
      </c>
      <c r="K100" s="47">
        <f t="shared" si="2"/>
        <v>36.441251934256016</v>
      </c>
    </row>
    <row r="101" spans="3:11" x14ac:dyDescent="0.2">
      <c r="C101" s="88" t="s">
        <v>126</v>
      </c>
      <c r="D101" s="116">
        <f t="shared" si="2"/>
        <v>98.299218407437721</v>
      </c>
      <c r="E101" s="116">
        <f t="shared" si="2"/>
        <v>98.176550987140615</v>
      </c>
      <c r="F101" s="116">
        <f t="shared" si="2"/>
        <v>97.112250331636801</v>
      </c>
      <c r="G101" s="116">
        <f t="shared" si="2"/>
        <v>98.455262414070759</v>
      </c>
      <c r="H101" s="116">
        <f t="shared" si="2"/>
        <v>98.545770534054355</v>
      </c>
      <c r="I101" s="116">
        <f t="shared" si="2"/>
        <v>97.624243472572843</v>
      </c>
      <c r="J101" s="116">
        <f t="shared" si="2"/>
        <v>98.452879390583021</v>
      </c>
      <c r="K101" s="116">
        <f t="shared" si="2"/>
        <v>84.623004217243675</v>
      </c>
    </row>
    <row r="102" spans="3:11" x14ac:dyDescent="0.2">
      <c r="C102" s="87" t="s">
        <v>127</v>
      </c>
      <c r="D102" s="47">
        <f t="shared" si="2"/>
        <v>99.019391581905637</v>
      </c>
      <c r="E102" s="47">
        <f t="shared" si="2"/>
        <v>99.210647231887933</v>
      </c>
      <c r="F102" s="47">
        <f t="shared" si="2"/>
        <v>95.764210290776731</v>
      </c>
      <c r="G102" s="47">
        <f t="shared" si="2"/>
        <v>96.867815759843651</v>
      </c>
      <c r="H102" s="47">
        <f t="shared" si="2"/>
        <v>98.778064005368464</v>
      </c>
      <c r="I102" s="47">
        <f t="shared" si="2"/>
        <v>94.122231289845487</v>
      </c>
      <c r="J102" s="47">
        <f t="shared" si="2"/>
        <v>84.60609199474419</v>
      </c>
      <c r="K102" s="47">
        <f t="shared" si="2"/>
        <v>62.652914718754438</v>
      </c>
    </row>
    <row r="103" spans="3:11" x14ac:dyDescent="0.2">
      <c r="C103" s="88" t="s">
        <v>128</v>
      </c>
      <c r="D103" s="116">
        <f t="shared" si="2"/>
        <v>99.679175963532359</v>
      </c>
      <c r="E103" s="116">
        <f t="shared" si="2"/>
        <v>99.775822602234626</v>
      </c>
      <c r="F103" s="116">
        <f t="shared" si="2"/>
        <v>94.637049341004172</v>
      </c>
      <c r="G103" s="116">
        <f t="shared" si="2"/>
        <v>97.486732777515755</v>
      </c>
      <c r="H103" s="116">
        <f t="shared" si="2"/>
        <v>99.020306964933596</v>
      </c>
      <c r="I103" s="116">
        <f t="shared" si="2"/>
        <v>98.171049798688927</v>
      </c>
      <c r="J103" s="116">
        <f t="shared" si="2"/>
        <v>99.374296042825577</v>
      </c>
      <c r="K103" s="116">
        <f t="shared" si="2"/>
        <v>60.582372917902319</v>
      </c>
    </row>
    <row r="104" spans="3:11" x14ac:dyDescent="0.2">
      <c r="C104" s="87" t="s">
        <v>129</v>
      </c>
      <c r="D104" s="47">
        <f t="shared" si="2"/>
        <v>99.909974193908766</v>
      </c>
      <c r="E104" s="47">
        <f t="shared" si="2"/>
        <v>99.76857739044938</v>
      </c>
      <c r="F104" s="47">
        <f t="shared" si="2"/>
        <v>98.507949226256798</v>
      </c>
      <c r="G104" s="47">
        <f t="shared" si="2"/>
        <v>98.529831821768738</v>
      </c>
      <c r="H104" s="47">
        <f t="shared" si="2"/>
        <v>99.285641510774482</v>
      </c>
      <c r="I104" s="47">
        <f t="shared" si="2"/>
        <v>99.545654575731163</v>
      </c>
      <c r="J104" s="47">
        <f t="shared" si="2"/>
        <v>99.761494723090934</v>
      </c>
      <c r="K104" s="47">
        <f t="shared" si="2"/>
        <v>50.8724085887049</v>
      </c>
    </row>
    <row r="105" spans="3:11" x14ac:dyDescent="0.2">
      <c r="C105" s="88" t="s">
        <v>130</v>
      </c>
      <c r="D105" s="116">
        <f t="shared" si="2"/>
        <v>98.270993193114847</v>
      </c>
      <c r="E105" s="116">
        <f t="shared" si="2"/>
        <v>98.525892623299924</v>
      </c>
      <c r="F105" s="116">
        <f t="shared" si="2"/>
        <v>91.328483334636218</v>
      </c>
      <c r="G105" s="116">
        <f t="shared" si="2"/>
        <v>94.150672246222783</v>
      </c>
      <c r="H105" s="116">
        <f t="shared" si="2"/>
        <v>84.93978174476554</v>
      </c>
      <c r="I105" s="116">
        <f t="shared" si="2"/>
        <v>96.577727215724821</v>
      </c>
      <c r="J105" s="116">
        <f t="shared" si="2"/>
        <v>93.568013677604213</v>
      </c>
      <c r="K105" s="116">
        <f t="shared" si="2"/>
        <v>47.594430372353777</v>
      </c>
    </row>
    <row r="106" spans="3:11" x14ac:dyDescent="0.2">
      <c r="C106" s="87" t="s">
        <v>131</v>
      </c>
      <c r="D106" s="47">
        <f t="shared" si="2"/>
        <v>99.986675932008382</v>
      </c>
      <c r="E106" s="47">
        <f t="shared" si="2"/>
        <v>99.992837008844219</v>
      </c>
      <c r="F106" s="47">
        <f t="shared" si="2"/>
        <v>99.980018483117632</v>
      </c>
      <c r="G106" s="47">
        <f t="shared" si="2"/>
        <v>99.933982595342115</v>
      </c>
      <c r="H106" s="47">
        <f t="shared" si="2"/>
        <v>99.040891504643994</v>
      </c>
      <c r="I106" s="47">
        <f t="shared" si="2"/>
        <v>99.887797825214548</v>
      </c>
      <c r="J106" s="47">
        <f t="shared" si="2"/>
        <v>99.598520705197842</v>
      </c>
      <c r="K106" s="47">
        <f t="shared" si="2"/>
        <v>61.403426896680422</v>
      </c>
    </row>
    <row r="107" spans="3:11" x14ac:dyDescent="0.2">
      <c r="C107" s="88" t="s">
        <v>132</v>
      </c>
      <c r="D107" s="116">
        <f t="shared" si="2"/>
        <v>88.470178858787889</v>
      </c>
      <c r="E107" s="116">
        <f t="shared" si="2"/>
        <v>89.923066302182633</v>
      </c>
      <c r="F107" s="116">
        <f t="shared" si="2"/>
        <v>93.979195079985971</v>
      </c>
      <c r="G107" s="116">
        <f t="shared" si="2"/>
        <v>92.034002902749293</v>
      </c>
      <c r="H107" s="116">
        <f t="shared" si="2"/>
        <v>97.059766525936894</v>
      </c>
      <c r="I107" s="116">
        <f t="shared" si="2"/>
        <v>94.866539089562423</v>
      </c>
      <c r="J107" s="116">
        <f t="shared" si="2"/>
        <v>97.605347970506202</v>
      </c>
      <c r="K107" s="116">
        <f t="shared" si="2"/>
        <v>49.403582189036683</v>
      </c>
    </row>
    <row r="108" spans="3:11" x14ac:dyDescent="0.2">
      <c r="C108" s="87" t="s">
        <v>133</v>
      </c>
      <c r="D108" s="47">
        <f t="shared" ref="D108:K117" si="3">+IFERROR(IF(D66&gt;0,+((D66/D24)*100)," "),"")</f>
        <v>99.346523900512679</v>
      </c>
      <c r="E108" s="47">
        <f t="shared" si="3"/>
        <v>98.957406526420499</v>
      </c>
      <c r="F108" s="47">
        <f t="shared" si="3"/>
        <v>95.450925507731839</v>
      </c>
      <c r="G108" s="47">
        <f t="shared" si="3"/>
        <v>99.081048090244281</v>
      </c>
      <c r="H108" s="47">
        <f t="shared" si="3"/>
        <v>99.42406849896399</v>
      </c>
      <c r="I108" s="47">
        <f t="shared" si="3"/>
        <v>98.705570044010685</v>
      </c>
      <c r="J108" s="47">
        <f t="shared" si="3"/>
        <v>99.657527164053278</v>
      </c>
      <c r="K108" s="47">
        <f t="shared" si="3"/>
        <v>45.146129240339171</v>
      </c>
    </row>
    <row r="109" spans="3:11" x14ac:dyDescent="0.2">
      <c r="C109" s="88" t="s">
        <v>134</v>
      </c>
      <c r="D109" s="116">
        <f t="shared" si="3"/>
        <v>96.728386397982518</v>
      </c>
      <c r="E109" s="116">
        <f t="shared" si="3"/>
        <v>50.542314771646332</v>
      </c>
      <c r="F109" s="116">
        <f t="shared" si="3"/>
        <v>91.216755809589856</v>
      </c>
      <c r="G109" s="116">
        <f t="shared" si="3"/>
        <v>95.278770800213053</v>
      </c>
      <c r="H109" s="116">
        <f t="shared" si="3"/>
        <v>96.493399772850665</v>
      </c>
      <c r="I109" s="116">
        <f t="shared" si="3"/>
        <v>84.406414901705048</v>
      </c>
      <c r="J109" s="116">
        <f t="shared" si="3"/>
        <v>92.340279741337866</v>
      </c>
      <c r="K109" s="116">
        <f t="shared" si="3"/>
        <v>31.668007646740115</v>
      </c>
    </row>
    <row r="110" spans="3:11" x14ac:dyDescent="0.2">
      <c r="C110" s="87" t="s">
        <v>135</v>
      </c>
      <c r="D110" s="47" t="str">
        <f t="shared" si="3"/>
        <v xml:space="preserve"> </v>
      </c>
      <c r="E110" s="47" t="str">
        <f t="shared" si="3"/>
        <v xml:space="preserve"> </v>
      </c>
      <c r="F110" s="47" t="str">
        <f t="shared" si="3"/>
        <v xml:space="preserve"> </v>
      </c>
      <c r="G110" s="47" t="str">
        <f t="shared" si="3"/>
        <v xml:space="preserve"> </v>
      </c>
      <c r="H110" s="47">
        <f t="shared" si="3"/>
        <v>94.392228050518014</v>
      </c>
      <c r="I110" s="47">
        <f t="shared" si="3"/>
        <v>99.28612197776026</v>
      </c>
      <c r="J110" s="47">
        <f t="shared" si="3"/>
        <v>96.550878911490898</v>
      </c>
      <c r="K110" s="47">
        <f t="shared" si="3"/>
        <v>82.421074027477459</v>
      </c>
    </row>
    <row r="111" spans="3:11" x14ac:dyDescent="0.2">
      <c r="C111" s="88" t="s">
        <v>136</v>
      </c>
      <c r="D111" s="116">
        <f t="shared" si="3"/>
        <v>97.678155077225114</v>
      </c>
      <c r="E111" s="116">
        <f t="shared" si="3"/>
        <v>99.086433957075315</v>
      </c>
      <c r="F111" s="116">
        <f t="shared" si="3"/>
        <v>98.264983296888815</v>
      </c>
      <c r="G111" s="116">
        <f t="shared" si="3"/>
        <v>97.773026887827001</v>
      </c>
      <c r="H111" s="116">
        <f t="shared" si="3"/>
        <v>94.909943771377314</v>
      </c>
      <c r="I111" s="116">
        <f t="shared" si="3"/>
        <v>96.451434341620299</v>
      </c>
      <c r="J111" s="116">
        <f t="shared" si="3"/>
        <v>95.49566953146946</v>
      </c>
      <c r="K111" s="116">
        <f t="shared" si="3"/>
        <v>24.199626627343619</v>
      </c>
    </row>
    <row r="112" spans="3:11" x14ac:dyDescent="0.2">
      <c r="C112" s="87" t="s">
        <v>137</v>
      </c>
      <c r="D112" s="47">
        <f t="shared" si="3"/>
        <v>90.410045692928634</v>
      </c>
      <c r="E112" s="47">
        <f t="shared" si="3"/>
        <v>88.648560994485706</v>
      </c>
      <c r="F112" s="47">
        <f t="shared" si="3"/>
        <v>81.535540921720667</v>
      </c>
      <c r="G112" s="47">
        <f t="shared" si="3"/>
        <v>90.151291335352013</v>
      </c>
      <c r="H112" s="47">
        <f t="shared" si="3"/>
        <v>93.465916119930782</v>
      </c>
      <c r="I112" s="47">
        <f t="shared" si="3"/>
        <v>95.608497995638885</v>
      </c>
      <c r="J112" s="47">
        <f t="shared" si="3"/>
        <v>95.498998823241166</v>
      </c>
      <c r="K112" s="47">
        <f t="shared" si="3"/>
        <v>49.013008955977071</v>
      </c>
    </row>
    <row r="113" spans="3:11" x14ac:dyDescent="0.2">
      <c r="C113" s="88" t="s">
        <v>138</v>
      </c>
      <c r="D113" s="116">
        <f t="shared" si="3"/>
        <v>96.565087601601903</v>
      </c>
      <c r="E113" s="116">
        <f t="shared" si="3"/>
        <v>99.172164904947053</v>
      </c>
      <c r="F113" s="116">
        <f t="shared" si="3"/>
        <v>97.243076047252742</v>
      </c>
      <c r="G113" s="116">
        <f t="shared" si="3"/>
        <v>96.571393881188598</v>
      </c>
      <c r="H113" s="116">
        <f t="shared" si="3"/>
        <v>91.978094954718898</v>
      </c>
      <c r="I113" s="116">
        <f t="shared" si="3"/>
        <v>96.710745170515523</v>
      </c>
      <c r="J113" s="116">
        <f t="shared" si="3"/>
        <v>97.526520095943951</v>
      </c>
      <c r="K113" s="116">
        <f t="shared" si="3"/>
        <v>41.2209549716571</v>
      </c>
    </row>
    <row r="114" spans="3:11" x14ac:dyDescent="0.2">
      <c r="C114" s="87" t="s">
        <v>160</v>
      </c>
      <c r="D114" s="47">
        <f t="shared" si="3"/>
        <v>98.790689107985799</v>
      </c>
      <c r="E114" s="47">
        <f t="shared" si="3"/>
        <v>97.668642346908712</v>
      </c>
      <c r="F114" s="47">
        <f t="shared" si="3"/>
        <v>97.179653840135487</v>
      </c>
      <c r="G114" s="47">
        <f t="shared" si="3"/>
        <v>87.931596982163612</v>
      </c>
      <c r="H114" s="47">
        <f t="shared" si="3"/>
        <v>96.422801239691964</v>
      </c>
      <c r="I114" s="47">
        <f t="shared" si="3"/>
        <v>90.562997114279256</v>
      </c>
      <c r="J114" s="47">
        <f t="shared" si="3"/>
        <v>98.164942760708414</v>
      </c>
      <c r="K114" s="47">
        <f t="shared" si="3"/>
        <v>71.819291453947628</v>
      </c>
    </row>
    <row r="115" spans="3:11" x14ac:dyDescent="0.2">
      <c r="C115" s="88" t="s">
        <v>161</v>
      </c>
      <c r="D115" s="116">
        <f t="shared" si="3"/>
        <v>98.641183313312268</v>
      </c>
      <c r="E115" s="116">
        <f t="shared" si="3"/>
        <v>97.176394805394452</v>
      </c>
      <c r="F115" s="116">
        <f t="shared" si="3"/>
        <v>86.600058338070539</v>
      </c>
      <c r="G115" s="116">
        <f t="shared" si="3"/>
        <v>90.983910370873417</v>
      </c>
      <c r="H115" s="116">
        <f t="shared" si="3"/>
        <v>97.400389471831332</v>
      </c>
      <c r="I115" s="116">
        <f t="shared" si="3"/>
        <v>98.726228623494904</v>
      </c>
      <c r="J115" s="116">
        <f t="shared" si="3"/>
        <v>99.041189674844091</v>
      </c>
      <c r="K115" s="116">
        <f t="shared" si="3"/>
        <v>58.55276843404674</v>
      </c>
    </row>
    <row r="116" spans="3:11" x14ac:dyDescent="0.2">
      <c r="C116" s="87" t="s">
        <v>140</v>
      </c>
      <c r="D116" s="47">
        <f t="shared" si="3"/>
        <v>96.59170369006462</v>
      </c>
      <c r="E116" s="47">
        <f t="shared" si="3"/>
        <v>93.542437370726972</v>
      </c>
      <c r="F116" s="47">
        <f t="shared" si="3"/>
        <v>90.894714835951362</v>
      </c>
      <c r="G116" s="47">
        <f t="shared" si="3"/>
        <v>94.945823063053396</v>
      </c>
      <c r="H116" s="47">
        <f t="shared" si="3"/>
        <v>92.688377882516122</v>
      </c>
      <c r="I116" s="47">
        <f t="shared" si="3"/>
        <v>93.369850770568902</v>
      </c>
      <c r="J116" s="47">
        <f t="shared" si="3"/>
        <v>94.873304594753648</v>
      </c>
      <c r="K116" s="47">
        <f t="shared" si="3"/>
        <v>61.727274643115948</v>
      </c>
    </row>
    <row r="117" spans="3:11" x14ac:dyDescent="0.2">
      <c r="C117" s="88" t="s">
        <v>141</v>
      </c>
      <c r="D117" s="116">
        <f t="shared" si="3"/>
        <v>96.024912868790011</v>
      </c>
      <c r="E117" s="116">
        <f t="shared" si="3"/>
        <v>86.261835522098053</v>
      </c>
      <c r="F117" s="116">
        <f t="shared" si="3"/>
        <v>89.700496997218721</v>
      </c>
      <c r="G117" s="116">
        <f t="shared" si="3"/>
        <v>94.034549505818902</v>
      </c>
      <c r="H117" s="116">
        <f t="shared" si="3"/>
        <v>93.57658047928777</v>
      </c>
      <c r="I117" s="116">
        <f t="shared" si="3"/>
        <v>91.366431941055708</v>
      </c>
      <c r="J117" s="116">
        <f t="shared" si="3"/>
        <v>97.351609350873915</v>
      </c>
      <c r="K117" s="116">
        <f t="shared" si="3"/>
        <v>48.748451013897579</v>
      </c>
    </row>
    <row r="118" spans="3:11" x14ac:dyDescent="0.2">
      <c r="C118" s="87" t="s">
        <v>142</v>
      </c>
      <c r="D118" s="47">
        <f t="shared" ref="D118:K127" si="4">+IFERROR(IF(D76&gt;0,+((D76/D34)*100)," "),"")</f>
        <v>95.34849654337674</v>
      </c>
      <c r="E118" s="47">
        <f t="shared" si="4"/>
        <v>95.711986980747227</v>
      </c>
      <c r="F118" s="47">
        <f t="shared" si="4"/>
        <v>80.550205393065468</v>
      </c>
      <c r="G118" s="47">
        <f t="shared" si="4"/>
        <v>94.236225089679365</v>
      </c>
      <c r="H118" s="47">
        <f t="shared" si="4"/>
        <v>91.276628978678715</v>
      </c>
      <c r="I118" s="47">
        <f t="shared" si="4"/>
        <v>91.944676141735144</v>
      </c>
      <c r="J118" s="47">
        <f t="shared" si="4"/>
        <v>86.001711596938975</v>
      </c>
      <c r="K118" s="47">
        <f t="shared" si="4"/>
        <v>87.280350968870962</v>
      </c>
    </row>
    <row r="119" spans="3:11" x14ac:dyDescent="0.2">
      <c r="C119" s="88" t="s">
        <v>143</v>
      </c>
      <c r="D119" s="116">
        <f t="shared" si="4"/>
        <v>98.32088142036865</v>
      </c>
      <c r="E119" s="116">
        <f t="shared" si="4"/>
        <v>99.587349136687394</v>
      </c>
      <c r="F119" s="116">
        <f t="shared" si="4"/>
        <v>99.528041619451173</v>
      </c>
      <c r="G119" s="116">
        <f t="shared" si="4"/>
        <v>99.292056014821668</v>
      </c>
      <c r="H119" s="116">
        <f t="shared" si="4"/>
        <v>98.664144706133953</v>
      </c>
      <c r="I119" s="116">
        <f t="shared" si="4"/>
        <v>96.494522512861593</v>
      </c>
      <c r="J119" s="116">
        <f t="shared" si="4"/>
        <v>98.941270914390515</v>
      </c>
      <c r="K119" s="116">
        <f t="shared" si="4"/>
        <v>94.24685628141583</v>
      </c>
    </row>
    <row r="120" spans="3:11" x14ac:dyDescent="0.2">
      <c r="C120" s="87" t="s">
        <v>144</v>
      </c>
      <c r="D120" s="47">
        <f t="shared" si="4"/>
        <v>99.320338438968093</v>
      </c>
      <c r="E120" s="47">
        <f t="shared" si="4"/>
        <v>98.980205427702174</v>
      </c>
      <c r="F120" s="47">
        <f t="shared" si="4"/>
        <v>97.577065008321313</v>
      </c>
      <c r="G120" s="47">
        <f t="shared" si="4"/>
        <v>98.972390702504114</v>
      </c>
      <c r="H120" s="47">
        <f t="shared" si="4"/>
        <v>91.123749907002832</v>
      </c>
      <c r="I120" s="47">
        <f t="shared" si="4"/>
        <v>98.317011897368332</v>
      </c>
      <c r="J120" s="47">
        <f t="shared" si="4"/>
        <v>98.67816832647847</v>
      </c>
      <c r="K120" s="47">
        <f t="shared" si="4"/>
        <v>44.130979503571069</v>
      </c>
    </row>
    <row r="121" spans="3:11" x14ac:dyDescent="0.2">
      <c r="C121" s="88" t="s">
        <v>145</v>
      </c>
      <c r="D121" s="116">
        <f t="shared" si="4"/>
        <v>95.625530433884165</v>
      </c>
      <c r="E121" s="116">
        <f t="shared" si="4"/>
        <v>96.573189295982303</v>
      </c>
      <c r="F121" s="116">
        <f t="shared" si="4"/>
        <v>94.002783431038651</v>
      </c>
      <c r="G121" s="116">
        <f t="shared" si="4"/>
        <v>97.426435750743096</v>
      </c>
      <c r="H121" s="116">
        <f t="shared" si="4"/>
        <v>94.907454988103495</v>
      </c>
      <c r="I121" s="116">
        <f t="shared" si="4"/>
        <v>63.788073416907899</v>
      </c>
      <c r="J121" s="116">
        <f t="shared" si="4"/>
        <v>95.232554365921885</v>
      </c>
      <c r="K121" s="116">
        <f t="shared" si="4"/>
        <v>63.351473390559789</v>
      </c>
    </row>
    <row r="122" spans="3:11" x14ac:dyDescent="0.2">
      <c r="C122" s="87" t="s">
        <v>146</v>
      </c>
      <c r="D122" s="47">
        <f t="shared" si="4"/>
        <v>96.4900284311843</v>
      </c>
      <c r="E122" s="47">
        <f t="shared" si="4"/>
        <v>93.398577620172603</v>
      </c>
      <c r="F122" s="47">
        <f t="shared" si="4"/>
        <v>91.432182055393938</v>
      </c>
      <c r="G122" s="47">
        <f t="shared" si="4"/>
        <v>97.559611997232579</v>
      </c>
      <c r="H122" s="47">
        <f t="shared" si="4"/>
        <v>94.103186778204702</v>
      </c>
      <c r="I122" s="47">
        <f t="shared" si="4"/>
        <v>95.570470111283825</v>
      </c>
      <c r="J122" s="47">
        <f t="shared" si="4"/>
        <v>95.84248807315096</v>
      </c>
      <c r="K122" s="47">
        <f t="shared" si="4"/>
        <v>51.571482773944865</v>
      </c>
    </row>
    <row r="123" spans="3:11" x14ac:dyDescent="0.2">
      <c r="C123" s="88" t="s">
        <v>162</v>
      </c>
      <c r="D123" s="116">
        <f t="shared" si="4"/>
        <v>99.930465484201164</v>
      </c>
      <c r="E123" s="116">
        <f t="shared" si="4"/>
        <v>97.732476453294467</v>
      </c>
      <c r="F123" s="116">
        <f t="shared" si="4"/>
        <v>99.784533864891074</v>
      </c>
      <c r="G123" s="116">
        <f t="shared" si="4"/>
        <v>99.936019364646285</v>
      </c>
      <c r="H123" s="116">
        <f t="shared" si="4"/>
        <v>99.144270520907043</v>
      </c>
      <c r="I123" s="116">
        <f t="shared" si="4"/>
        <v>98.821914919518875</v>
      </c>
      <c r="J123" s="116">
        <f t="shared" si="4"/>
        <v>99.089410826747283</v>
      </c>
      <c r="K123" s="116">
        <f t="shared" si="4"/>
        <v>52.281069515903077</v>
      </c>
    </row>
    <row r="124" spans="3:11" x14ac:dyDescent="0.2">
      <c r="C124" s="87" t="s">
        <v>148</v>
      </c>
      <c r="D124" s="47">
        <f t="shared" si="4"/>
        <v>94.586761911542808</v>
      </c>
      <c r="E124" s="47">
        <f t="shared" si="4"/>
        <v>97.716106039451631</v>
      </c>
      <c r="F124" s="47">
        <f t="shared" si="4"/>
        <v>97.403246691649031</v>
      </c>
      <c r="G124" s="47">
        <f t="shared" si="4"/>
        <v>98.634199068098027</v>
      </c>
      <c r="H124" s="47">
        <f t="shared" si="4"/>
        <v>92.055841780691253</v>
      </c>
      <c r="I124" s="47">
        <f t="shared" si="4"/>
        <v>98.574561937461795</v>
      </c>
      <c r="J124" s="47">
        <f t="shared" si="4"/>
        <v>99.468115947030071</v>
      </c>
      <c r="K124" s="47">
        <f t="shared" si="4"/>
        <v>56.256839385601552</v>
      </c>
    </row>
    <row r="125" spans="3:11" x14ac:dyDescent="0.2">
      <c r="C125" s="88" t="s">
        <v>149</v>
      </c>
      <c r="D125" s="116">
        <f t="shared" si="4"/>
        <v>93.687779318309495</v>
      </c>
      <c r="E125" s="116">
        <f t="shared" si="4"/>
        <v>98.695975805824233</v>
      </c>
      <c r="F125" s="116">
        <f t="shared" si="4"/>
        <v>80.325759531685776</v>
      </c>
      <c r="G125" s="116">
        <f t="shared" si="4"/>
        <v>87.685846951981844</v>
      </c>
      <c r="H125" s="116">
        <f t="shared" si="4"/>
        <v>87.066038706421196</v>
      </c>
      <c r="I125" s="116">
        <f t="shared" si="4"/>
        <v>94.152310230409867</v>
      </c>
      <c r="J125" s="116">
        <f t="shared" si="4"/>
        <v>90.443454969412343</v>
      </c>
      <c r="K125" s="116">
        <f t="shared" si="4"/>
        <v>94.060202578540242</v>
      </c>
    </row>
    <row r="126" spans="3:11" x14ac:dyDescent="0.2">
      <c r="C126" s="87" t="s">
        <v>163</v>
      </c>
      <c r="D126" s="47">
        <f t="shared" si="4"/>
        <v>99.46929387114335</v>
      </c>
      <c r="E126" s="47">
        <f t="shared" si="4"/>
        <v>99.343443286079065</v>
      </c>
      <c r="F126" s="47">
        <f t="shared" si="4"/>
        <v>98.304071526699317</v>
      </c>
      <c r="G126" s="47">
        <f t="shared" si="4"/>
        <v>84.861547426081742</v>
      </c>
      <c r="H126" s="47">
        <f t="shared" si="4"/>
        <v>98.130493284146098</v>
      </c>
      <c r="I126" s="47">
        <f t="shared" si="4"/>
        <v>90.876952921187382</v>
      </c>
      <c r="J126" s="47">
        <f t="shared" si="4"/>
        <v>99.724846297847023</v>
      </c>
      <c r="K126" s="47">
        <f t="shared" si="4"/>
        <v>35.438391642185799</v>
      </c>
    </row>
    <row r="127" spans="3:11" x14ac:dyDescent="0.2">
      <c r="C127" s="88" t="s">
        <v>150</v>
      </c>
      <c r="D127" s="116">
        <f t="shared" si="4"/>
        <v>93.053107929824947</v>
      </c>
      <c r="E127" s="116">
        <f t="shared" si="4"/>
        <v>89.441185137412376</v>
      </c>
      <c r="F127" s="116">
        <f t="shared" si="4"/>
        <v>93.706759217012007</v>
      </c>
      <c r="G127" s="116">
        <f t="shared" si="4"/>
        <v>92.334401332798848</v>
      </c>
      <c r="H127" s="116">
        <f t="shared" si="4"/>
        <v>90.144024859539059</v>
      </c>
      <c r="I127" s="116">
        <f t="shared" si="4"/>
        <v>96.162640661299278</v>
      </c>
      <c r="J127" s="116">
        <f t="shared" si="4"/>
        <v>96.282222626061156</v>
      </c>
      <c r="K127" s="116">
        <f t="shared" si="4"/>
        <v>67.747289012869999</v>
      </c>
    </row>
    <row r="128" spans="3:11" x14ac:dyDescent="0.2">
      <c r="C128" s="87" t="s">
        <v>151</v>
      </c>
      <c r="D128" s="47">
        <f t="shared" ref="D128:K129" si="5">+IFERROR(IF(D86&gt;0,+((D86/D44)*100)," "),"")</f>
        <v>99.860240774209842</v>
      </c>
      <c r="E128" s="47">
        <f t="shared" si="5"/>
        <v>98.707275887388036</v>
      </c>
      <c r="F128" s="47">
        <f t="shared" si="5"/>
        <v>99.463867880407491</v>
      </c>
      <c r="G128" s="47">
        <f t="shared" si="5"/>
        <v>99.83556514247509</v>
      </c>
      <c r="H128" s="47">
        <f t="shared" si="5"/>
        <v>99.468172500445846</v>
      </c>
      <c r="I128" s="47">
        <f t="shared" si="5"/>
        <v>99.610236266216177</v>
      </c>
      <c r="J128" s="47">
        <f t="shared" si="5"/>
        <v>99.959278109659351</v>
      </c>
      <c r="K128" s="47">
        <f t="shared" si="5"/>
        <v>46.719121718327912</v>
      </c>
    </row>
    <row r="129" spans="1:12" x14ac:dyDescent="0.2">
      <c r="C129" s="91" t="s">
        <v>179</v>
      </c>
      <c r="D129" s="64">
        <f t="shared" si="5"/>
        <v>99.43376682074404</v>
      </c>
      <c r="E129" s="64">
        <f t="shared" si="5"/>
        <v>89.754362983717684</v>
      </c>
      <c r="F129" s="64">
        <f t="shared" si="5"/>
        <v>97.807734941882231</v>
      </c>
      <c r="G129" s="64">
        <f t="shared" si="5"/>
        <v>96.51191943458177</v>
      </c>
      <c r="H129" s="64">
        <f t="shared" si="5"/>
        <v>98.057440920029151</v>
      </c>
      <c r="I129" s="64">
        <f t="shared" si="5"/>
        <v>96.209542161124489</v>
      </c>
      <c r="J129" s="64">
        <f t="shared" si="5"/>
        <v>98.741258569193974</v>
      </c>
      <c r="K129" s="64">
        <f t="shared" si="5"/>
        <v>51.430137450083116</v>
      </c>
    </row>
    <row r="130" spans="1:12" s="31" customFormat="1" x14ac:dyDescent="0.2">
      <c r="A130" s="5"/>
      <c r="B130" s="5"/>
      <c r="C130" s="72" t="str">
        <f>+'C1 Aprop Resumen 2000-2026'!B20</f>
        <v>* Información con corte a 30 de Junio</v>
      </c>
      <c r="D130" s="47"/>
      <c r="E130" s="47"/>
      <c r="F130" s="47"/>
      <c r="G130" s="47"/>
      <c r="H130" s="47"/>
      <c r="I130" s="47"/>
    </row>
    <row r="131" spans="1:12" x14ac:dyDescent="0.2">
      <c r="C131" s="1" t="s">
        <v>52</v>
      </c>
      <c r="D131" s="11"/>
      <c r="E131" s="11"/>
      <c r="F131" s="11"/>
    </row>
    <row r="132" spans="1:12" x14ac:dyDescent="0.2">
      <c r="D132" s="11"/>
      <c r="E132" s="11"/>
      <c r="F132" s="11"/>
    </row>
    <row r="133" spans="1:12" x14ac:dyDescent="0.2">
      <c r="E133" s="3"/>
      <c r="F133" s="3"/>
    </row>
    <row r="134" spans="1:12" x14ac:dyDescent="0.2">
      <c r="E134" s="3"/>
      <c r="F134" s="3"/>
    </row>
    <row r="135" spans="1:12" x14ac:dyDescent="0.2">
      <c r="E135" s="3"/>
      <c r="F135" s="3"/>
    </row>
    <row r="136" spans="1:12" ht="18" customHeight="1" x14ac:dyDescent="0.2">
      <c r="D136" s="187" t="s">
        <v>190</v>
      </c>
      <c r="E136" s="182"/>
      <c r="F136" s="182"/>
      <c r="G136" s="182"/>
      <c r="H136" s="182"/>
      <c r="I136" s="182"/>
      <c r="J136" s="182"/>
      <c r="K136" s="182"/>
      <c r="L136" s="182"/>
    </row>
    <row r="137" spans="1:12" ht="15.75" customHeight="1" x14ac:dyDescent="0.2">
      <c r="C137" s="2"/>
      <c r="D137" s="2"/>
      <c r="E137" s="2"/>
      <c r="F137" s="2"/>
      <c r="G137" s="2"/>
      <c r="H137" s="2"/>
      <c r="I137" s="2"/>
    </row>
    <row r="138" spans="1:12" x14ac:dyDescent="0.2">
      <c r="C138" s="181" t="s">
        <v>120</v>
      </c>
      <c r="D138" s="155">
        <v>2019</v>
      </c>
      <c r="E138" s="155">
        <v>2020</v>
      </c>
      <c r="F138" s="155">
        <v>2021</v>
      </c>
      <c r="G138" s="155">
        <v>2022</v>
      </c>
      <c r="H138" s="155">
        <v>2023</v>
      </c>
      <c r="I138" s="155">
        <v>2024</v>
      </c>
      <c r="J138" s="155">
        <v>2025</v>
      </c>
      <c r="K138" s="155" t="s">
        <v>36</v>
      </c>
    </row>
    <row r="139" spans="1:12" ht="12" customHeight="1" thickBot="1" x14ac:dyDescent="0.25">
      <c r="C139" s="162"/>
      <c r="D139" s="156"/>
      <c r="E139" s="156"/>
      <c r="F139" s="156"/>
      <c r="G139" s="156"/>
      <c r="H139" s="156"/>
      <c r="I139" s="156"/>
      <c r="J139" s="156"/>
      <c r="K139" s="156"/>
    </row>
    <row r="140" spans="1:12" x14ac:dyDescent="0.2">
      <c r="C140" s="87" t="s">
        <v>123</v>
      </c>
      <c r="D140" s="42">
        <f>543.30313371418*Deflactores!$T$5</f>
        <v>845.02363880196265</v>
      </c>
      <c r="E140" s="42">
        <f>574.29721363944*Deflactores!$U$5</f>
        <v>879.07697680730041</v>
      </c>
      <c r="F140" s="42">
        <f>579.51466850717*Deflactores!$V$5</f>
        <v>839.86303453894698</v>
      </c>
      <c r="G140" s="42">
        <f>689.050639961859*Deflactores!$W$5</f>
        <v>882.78669202263291</v>
      </c>
      <c r="H140" s="42">
        <f>701.351023146479*Deflactores!$X$5</f>
        <v>822.24148690953746</v>
      </c>
      <c r="I140" s="42">
        <f>806.455748773269*Deflactores!$Y$5</f>
        <v>898.72899474836504</v>
      </c>
      <c r="J140" s="42">
        <f>759.88888224333*Deflactores!$Z$5</f>
        <v>805.73340665090439</v>
      </c>
      <c r="K140" s="42">
        <f>494.67415158127*Deflactores!$AA$5</f>
        <v>494.67415158127</v>
      </c>
    </row>
    <row r="141" spans="1:12" x14ac:dyDescent="0.2">
      <c r="C141" s="88" t="s">
        <v>124</v>
      </c>
      <c r="D141" s="50">
        <f>275.63310062067*Deflactores!$T$5</f>
        <v>428.70447675952181</v>
      </c>
      <c r="E141" s="50">
        <f>306.708871162169*Deflactores!$U$5</f>
        <v>469.47939293066952</v>
      </c>
      <c r="F141" s="50">
        <f>333.17001052223*Deflactores!$V$5</f>
        <v>482.84744331904858</v>
      </c>
      <c r="G141" s="50">
        <f>337.91388946114*Deflactores!$W$5</f>
        <v>432.92302098785296</v>
      </c>
      <c r="H141" s="50">
        <f>408.279679338289*Deflactores!$X$5</f>
        <v>478.65402563753184</v>
      </c>
      <c r="I141" s="50">
        <f>488.78369689703*Deflactores!$Y$5</f>
        <v>544.70946636547546</v>
      </c>
      <c r="J141" s="50">
        <f>671.51859695035*Deflactores!$Z$5</f>
        <v>712.03169225600334</v>
      </c>
      <c r="K141" s="50">
        <f>282.51841566791*Deflactores!$AA$5</f>
        <v>282.51841566791001</v>
      </c>
    </row>
    <row r="142" spans="1:12" x14ac:dyDescent="0.2">
      <c r="C142" s="87" t="s">
        <v>125</v>
      </c>
      <c r="D142" s="42">
        <f>22.32428966408*Deflactores!$T$5</f>
        <v>34.721965170063157</v>
      </c>
      <c r="E142" s="42">
        <f>21.9513317790499*Deflactores!$U$5</f>
        <v>33.600912417688228</v>
      </c>
      <c r="F142" s="42">
        <f>24.25331393745*Deflactores!$V$5</f>
        <v>35.149173865787098</v>
      </c>
      <c r="G142" s="42">
        <f>23.96646871316*Deflactores!$W$5</f>
        <v>30.704970589571708</v>
      </c>
      <c r="H142" s="42">
        <f>25.59483440175*Deflactores!$X$5</f>
        <v>30.006564475065964</v>
      </c>
      <c r="I142" s="42">
        <f>26.2082651191699*Deflactores!$Y$5</f>
        <v>29.206968640845204</v>
      </c>
      <c r="J142" s="42">
        <f>24.36302321479*Deflactores!$Z$5</f>
        <v>25.83285813212083</v>
      </c>
      <c r="K142" s="42">
        <f>9.63141430279*Deflactores!$AA$5</f>
        <v>9.6314143027900005</v>
      </c>
    </row>
    <row r="143" spans="1:12" x14ac:dyDescent="0.2">
      <c r="C143" s="88" t="s">
        <v>126</v>
      </c>
      <c r="D143" s="50">
        <f>407.717688347699*Deflactores!$T$5</f>
        <v>634.14153762777198</v>
      </c>
      <c r="E143" s="50">
        <f>496.61617786027*Deflactores!$U$5</f>
        <v>760.17058397411949</v>
      </c>
      <c r="F143" s="50">
        <f>408.637403480529*Deflactores!$V$5</f>
        <v>592.21874503600588</v>
      </c>
      <c r="G143" s="50">
        <f>402.01373598692*Deflactores!$W$5</f>
        <v>515.04541982458284</v>
      </c>
      <c r="H143" s="50">
        <f>473.66100851777*Deflactores!$X$5</f>
        <v>555.30500288923338</v>
      </c>
      <c r="I143" s="50">
        <f>537.065235623299*Deflactores!$Y$5</f>
        <v>598.51529369123932</v>
      </c>
      <c r="J143" s="50">
        <f>619.61760847686*Deflactores!$Z$5</f>
        <v>656.9994879054949</v>
      </c>
      <c r="K143" s="50">
        <f>325.35953732192*Deflactores!$AA$5</f>
        <v>325.35953732192002</v>
      </c>
    </row>
    <row r="144" spans="1:12" x14ac:dyDescent="0.2">
      <c r="C144" s="87" t="s">
        <v>127</v>
      </c>
      <c r="D144" s="42">
        <f>534.55512548138*Deflactores!$T$5</f>
        <v>831.41747073402883</v>
      </c>
      <c r="E144" s="42">
        <f>574.45739305315*Deflactores!$U$5</f>
        <v>879.32216350054352</v>
      </c>
      <c r="F144" s="42">
        <f>620.32288849422*Deflactores!$V$5</f>
        <v>899.00444602512187</v>
      </c>
      <c r="G144" s="42">
        <f>723.0786412986*Deflactores!$W$5</f>
        <v>926.38213333572139</v>
      </c>
      <c r="H144" s="42">
        <f>853.40507203029*Deflactores!$X$5</f>
        <v>1000.5047860545769</v>
      </c>
      <c r="I144" s="42">
        <f>956.798178938159*Deflactores!$Y$5</f>
        <v>1066.273340902075</v>
      </c>
      <c r="J144" s="42">
        <f>1097.22904794437*Deflactores!$Z$5</f>
        <v>1163.4254946152105</v>
      </c>
      <c r="K144" s="42">
        <f>612.6798282613*Deflactores!$AA$5</f>
        <v>612.67982826130003</v>
      </c>
    </row>
    <row r="145" spans="3:11" x14ac:dyDescent="0.2">
      <c r="C145" s="88" t="s">
        <v>128</v>
      </c>
      <c r="D145" s="50">
        <f>227.6419605402*Deflactores!$T$5</f>
        <v>354.06171233477642</v>
      </c>
      <c r="E145" s="50">
        <f>227.532665681329*Deflactores!$U$5</f>
        <v>348.28434323142358</v>
      </c>
      <c r="F145" s="50">
        <f>212.41250972851*Deflactores!$V$5</f>
        <v>307.839343314936</v>
      </c>
      <c r="G145" s="50">
        <f>178.24536058685*Deflactores!$W$5</f>
        <v>228.36149205166785</v>
      </c>
      <c r="H145" s="50">
        <f>270.8815497843*Deflactores!$X$5</f>
        <v>317.5728571290399</v>
      </c>
      <c r="I145" s="50">
        <f>312.01767563881*Deflactores!$Y$5</f>
        <v>347.71818837815442</v>
      </c>
      <c r="J145" s="50">
        <f>306.34997114132*Deflactores!$Z$5</f>
        <v>324.83223750608914</v>
      </c>
      <c r="K145" s="50">
        <f>188.93752570354*Deflactores!$AA$5</f>
        <v>188.93752570353999</v>
      </c>
    </row>
    <row r="146" spans="3:11" x14ac:dyDescent="0.2">
      <c r="C146" s="87" t="s">
        <v>129</v>
      </c>
      <c r="D146" s="42">
        <f>29581.9006106428*Deflactores!$T$5</f>
        <v>46010.051747343627</v>
      </c>
      <c r="E146" s="42">
        <f>31470.7520821835*Deflactores!$U$5</f>
        <v>48172.292919441061</v>
      </c>
      <c r="F146" s="42">
        <f>33334.9757936885*Deflactores!$V$5</f>
        <v>48310.794269434751</v>
      </c>
      <c r="G146" s="42">
        <f>36413.9199077453*Deflactores!$W$5</f>
        <v>46652.193662739985</v>
      </c>
      <c r="H146" s="42">
        <f>41654.5168566141*Deflactores!$X$5</f>
        <v>48834.422060189332</v>
      </c>
      <c r="I146" s="42">
        <f>46599.1003923985*Deflactores!$Y$5</f>
        <v>51930.887361821995</v>
      </c>
      <c r="J146" s="42">
        <f>51991.479890016*Deflactores!$Z$5</f>
        <v>55128.155165178803</v>
      </c>
      <c r="K146" s="42">
        <f>26184.2783507908*Deflactores!$AA$5</f>
        <v>26184.278350790799</v>
      </c>
    </row>
    <row r="147" spans="3:11" x14ac:dyDescent="0.2">
      <c r="C147" s="88" t="s">
        <v>130</v>
      </c>
      <c r="D147" s="50">
        <f>35.19635672401*Deflactores!$T$5</f>
        <v>54.74246619593648</v>
      </c>
      <c r="E147" s="50">
        <f>37.52834642101*Deflactores!$U$5</f>
        <v>57.44465501981486</v>
      </c>
      <c r="F147" s="50">
        <f>35.65260900663*Deflactores!$V$5</f>
        <v>51.669629807081229</v>
      </c>
      <c r="G147" s="50">
        <f>48.70019650441*Deflactores!$W$5</f>
        <v>62.392925685926393</v>
      </c>
      <c r="H147" s="50">
        <f>47.58309044185*Deflactores!$X$5</f>
        <v>55.784891937751446</v>
      </c>
      <c r="I147" s="50">
        <f>60.11913009778*Deflactores!$Y$5</f>
        <v>66.997855046742913</v>
      </c>
      <c r="J147" s="50">
        <f>44.59167876021*Deflactores!$Z$5</f>
        <v>47.281919863964625</v>
      </c>
      <c r="K147" s="50">
        <f>23.0729912438099*Deflactores!$AA$5</f>
        <v>23.072991243809899</v>
      </c>
    </row>
    <row r="148" spans="3:11" x14ac:dyDescent="0.2">
      <c r="C148" s="87" t="s">
        <v>131</v>
      </c>
      <c r="D148" s="42">
        <f>37361.7211422818*Deflactores!$T$5</f>
        <v>58110.354224763752</v>
      </c>
      <c r="E148" s="42">
        <f>40590.2652226719*Deflactores!$U$5</f>
        <v>62131.535365858603</v>
      </c>
      <c r="F148" s="42">
        <f>43191.1645587187*Deflactores!$V$5</f>
        <v>62594.8996683726</v>
      </c>
      <c r="G148" s="42">
        <f>44158.534078534*Deflactores!$W$5</f>
        <v>56574.312485821843</v>
      </c>
      <c r="H148" s="42">
        <f>51109.0164412556*Deflactores!$X$5</f>
        <v>59918.57470259253</v>
      </c>
      <c r="I148" s="42">
        <f>61816.1782700859*Deflactores!$Y$5</f>
        <v>68889.076481094467</v>
      </c>
      <c r="J148" s="42">
        <f>71889.181601156*Deflactores!$Z$5</f>
        <v>76226.296431452196</v>
      </c>
      <c r="K148" s="42">
        <f>40204.8161691686*Deflactores!$AA$5</f>
        <v>40204.816169168596</v>
      </c>
    </row>
    <row r="149" spans="3:11" x14ac:dyDescent="0.2">
      <c r="C149" s="88" t="s">
        <v>132</v>
      </c>
      <c r="D149" s="50">
        <f>22.64467599331*Deflactores!$T$5</f>
        <v>35.220276342865567</v>
      </c>
      <c r="E149" s="50">
        <f>23.19263236116*Deflactores!$U$5</f>
        <v>35.500971719935812</v>
      </c>
      <c r="F149" s="50">
        <f>29.97161569409*Deflactores!$V$5</f>
        <v>43.436436512844054</v>
      </c>
      <c r="G149" s="50">
        <f>31.98649557711*Deflactores!$W$5</f>
        <v>40.979938167500329</v>
      </c>
      <c r="H149" s="50">
        <f>34.77247861571*Deflactores!$X$5</f>
        <v>40.766140743962538</v>
      </c>
      <c r="I149" s="50">
        <f>39.0451397555*Deflactores!$Y$5</f>
        <v>43.512615857284445</v>
      </c>
      <c r="J149" s="50">
        <f>41.91778560985*Deflactores!$Z$5</f>
        <v>44.446709233300083</v>
      </c>
      <c r="K149" s="50">
        <f>21.8009286329599*Deflactores!$AA$5</f>
        <v>21.800928632959899</v>
      </c>
    </row>
    <row r="150" spans="3:11" x14ac:dyDescent="0.2">
      <c r="C150" s="87" t="s">
        <v>133</v>
      </c>
      <c r="D150" s="42">
        <f>3521.67172209533*Deflactores!$T$5</f>
        <v>5477.4133786545099</v>
      </c>
      <c r="E150" s="42">
        <f>3642.20515530958*Deflactores!$U$5</f>
        <v>5575.1249018799463</v>
      </c>
      <c r="F150" s="42">
        <f>3961.45757973852*Deflactores!$V$5</f>
        <v>5741.1519758198183</v>
      </c>
      <c r="G150" s="42">
        <f>4339.6961233515*Deflactores!$W$5</f>
        <v>5559.8612974642519</v>
      </c>
      <c r="H150" s="42">
        <f>4970.40285658413*Deflactores!$X$5</f>
        <v>5827.1411895888741</v>
      </c>
      <c r="I150" s="42">
        <f>5394.92810168649*Deflactores!$Y$5</f>
        <v>6012.206270392101</v>
      </c>
      <c r="J150" s="42">
        <f>6097.59756708658*Deflactores!$Z$5</f>
        <v>6465.4690638593838</v>
      </c>
      <c r="K150" s="42">
        <f>2864.77392926762*Deflactores!$AA$5</f>
        <v>2864.7739292676201</v>
      </c>
    </row>
    <row r="151" spans="3:11" x14ac:dyDescent="0.2">
      <c r="C151" s="88" t="s">
        <v>134</v>
      </c>
      <c r="D151" s="50">
        <f>7776.11401592784*Deflactores!$T$5</f>
        <v>12094.537567926393</v>
      </c>
      <c r="E151" s="50">
        <f>16131.5699648121*Deflactores!$U$5</f>
        <v>24692.600658734234</v>
      </c>
      <c r="F151" s="50">
        <f>17701.9070223138*Deflactores!$V$5</f>
        <v>25654.531553419725</v>
      </c>
      <c r="G151" s="50">
        <f>12839.7040200251*Deflactores!$W$5</f>
        <v>16449.763168371876</v>
      </c>
      <c r="H151" s="50">
        <f>32694.9352235835*Deflactores!$X$5</f>
        <v>38330.495380250839</v>
      </c>
      <c r="I151" s="50">
        <f>21580.6385206623*Deflactores!$Y$5</f>
        <v>24049.857159807441</v>
      </c>
      <c r="J151" s="50">
        <f>16208.9517183903*Deflactores!$Z$5</f>
        <v>17186.846908120144</v>
      </c>
      <c r="K151" s="50">
        <f>7519.6364716685*Deflactores!$AA$5</f>
        <v>7519.6364716685002</v>
      </c>
    </row>
    <row r="152" spans="3:11" x14ac:dyDescent="0.2">
      <c r="C152" s="87" t="s">
        <v>135</v>
      </c>
      <c r="D152" s="42">
        <f>0*Deflactores!$T$5</f>
        <v>0</v>
      </c>
      <c r="E152" s="42">
        <f>0*Deflactores!$U$5</f>
        <v>0</v>
      </c>
      <c r="F152" s="42">
        <f>0*Deflactores!$V$5</f>
        <v>0</v>
      </c>
      <c r="G152" s="42">
        <f>0*Deflactores!$W$5</f>
        <v>0</v>
      </c>
      <c r="H152" s="42">
        <f>2.91414025259*Deflactores!$X$5</f>
        <v>3.4164447406132887</v>
      </c>
      <c r="I152" s="42">
        <f>67.50728128318*Deflactores!$Y$5</f>
        <v>75.231345474461691</v>
      </c>
      <c r="J152" s="42">
        <f>103.55996841088*Deflactores!$Z$5</f>
        <v>109.80779965357995</v>
      </c>
      <c r="K152" s="42">
        <f>49.78123324794*Deflactores!$AA$5</f>
        <v>49.781233247940001</v>
      </c>
    </row>
    <row r="153" spans="3:11" x14ac:dyDescent="0.2">
      <c r="C153" s="88" t="s">
        <v>136</v>
      </c>
      <c r="D153" s="50">
        <f>819.900140468849*Deflactores!$T$5</f>
        <v>1275.2273218392893</v>
      </c>
      <c r="E153" s="50">
        <f>6777.82360945261*Deflactores!$U$5</f>
        <v>10374.817335734959</v>
      </c>
      <c r="F153" s="50">
        <f>8566.23732230856*Deflactores!$V$5</f>
        <v>12414.640151607893</v>
      </c>
      <c r="G153" s="50">
        <f>893.78689187128*Deflactores!$W$5</f>
        <v>1145.0873533647871</v>
      </c>
      <c r="H153" s="50">
        <f>1155.11700885353*Deflactores!$X$5</f>
        <v>1354.2222019627095</v>
      </c>
      <c r="I153" s="50">
        <f>1091.48163776226*Deflactores!$Y$5</f>
        <v>1216.367043801883</v>
      </c>
      <c r="J153" s="50">
        <f>1109.20070513352*Deflactores!$Z$5</f>
        <v>1176.1194086277355</v>
      </c>
      <c r="K153" s="50">
        <f>334.452533322229*Deflactores!$AA$5</f>
        <v>334.45253332222899</v>
      </c>
    </row>
    <row r="154" spans="3:11" x14ac:dyDescent="0.2">
      <c r="C154" s="87" t="s">
        <v>137</v>
      </c>
      <c r="D154" s="42">
        <f>138.82213405099*Deflactores!$T$5</f>
        <v>215.91626770136503</v>
      </c>
      <c r="E154" s="42">
        <f>142.61878989853*Deflactores!$U$5</f>
        <v>218.30663928421555</v>
      </c>
      <c r="F154" s="42">
        <f>146.13498835788*Deflactores!$V$5</f>
        <v>211.78648521654165</v>
      </c>
      <c r="G154" s="42">
        <f>166.61930328963*Deflactores!$W$5</f>
        <v>213.46660905258008</v>
      </c>
      <c r="H154" s="42">
        <f>203.45946498994*Deflactores!$X$5</f>
        <v>238.52936332596997</v>
      </c>
      <c r="I154" s="42">
        <f>226.21028168501*Deflactores!$Y$5</f>
        <v>252.09286358211676</v>
      </c>
      <c r="J154" s="42">
        <f>248.35357939095*Deflactores!$Z$5</f>
        <v>263.33689076469233</v>
      </c>
      <c r="K154" s="42">
        <f>129.32106482754*Deflactores!$AA$5</f>
        <v>129.32106482754</v>
      </c>
    </row>
    <row r="155" spans="3:11" x14ac:dyDescent="0.2">
      <c r="C155" s="88" t="s">
        <v>138</v>
      </c>
      <c r="D155" s="50">
        <f>86.51463718401*Deflactores!$T$5</f>
        <v>134.56008071052958</v>
      </c>
      <c r="E155" s="50">
        <f>90.77501368117*Deflactores!$U$5</f>
        <v>138.94935009485147</v>
      </c>
      <c r="F155" s="50">
        <f>103.43565574278*Deflactores!$V$5</f>
        <v>149.90437418165587</v>
      </c>
      <c r="G155" s="50">
        <f>99.5883479329599*Deflactores!$W$5</f>
        <v>127.58897987614242</v>
      </c>
      <c r="H155" s="50">
        <f>101.14452172284*Deflactores!$X$5</f>
        <v>118.57859928832342</v>
      </c>
      <c r="I155" s="50">
        <f>121.30639423118*Deflactores!$Y$5</f>
        <v>135.18605814364173</v>
      </c>
      <c r="J155" s="50">
        <f>135.22252019535*Deflactores!$Z$5</f>
        <v>143.38057102674028</v>
      </c>
      <c r="K155" s="50">
        <f>59.72010359831*Deflactores!$AA$5</f>
        <v>59.720103598309997</v>
      </c>
    </row>
    <row r="156" spans="3:11" x14ac:dyDescent="0.2">
      <c r="C156" s="87" t="s">
        <v>160</v>
      </c>
      <c r="D156" s="42">
        <f>1045.01139586186*Deflactores!$T$5</f>
        <v>1625.3529153860272</v>
      </c>
      <c r="E156" s="42">
        <f>1260.39943194177*Deflactores!$U$5</f>
        <v>1929.2939193966492</v>
      </c>
      <c r="F156" s="42">
        <f>1436.18682936032*Deflactores!$V$5</f>
        <v>2081.3972349976912</v>
      </c>
      <c r="G156" s="42">
        <f>1581.01322560998*Deflactores!$W$5</f>
        <v>2025.5368104113841</v>
      </c>
      <c r="H156" s="42">
        <f>1958.83320201961*Deflactores!$X$5</f>
        <v>2296.4733371465968</v>
      </c>
      <c r="I156" s="42">
        <f>2492.36837853637*Deflactores!$Y$5</f>
        <v>2777.5407773977677</v>
      </c>
      <c r="J156" s="42">
        <f>3120.73904303456*Deflactores!$Z$5</f>
        <v>3309.0149878091474</v>
      </c>
      <c r="K156" s="42">
        <f>1479.70801765668*Deflactores!$AA$5</f>
        <v>1479.7080176566801</v>
      </c>
    </row>
    <row r="157" spans="3:11" x14ac:dyDescent="0.2">
      <c r="C157" s="88" t="s">
        <v>161</v>
      </c>
      <c r="D157" s="50">
        <f>1674.96012706956*Deflactores!$T$5</f>
        <v>2605.1403233192436</v>
      </c>
      <c r="E157" s="50">
        <f>1863.24918015827*Deflactores!$U$5</f>
        <v>2852.0762724099823</v>
      </c>
      <c r="F157" s="50">
        <f>1863.02223958085*Deflactores!$V$5</f>
        <v>2699.9894853024916</v>
      </c>
      <c r="G157" s="50">
        <f>2109.71029496532*Deflactores!$W$5</f>
        <v>2702.8843228730161</v>
      </c>
      <c r="H157" s="50">
        <f>2465.02629853253*Deflactores!$X$5</f>
        <v>2889.9179185387579</v>
      </c>
      <c r="I157" s="50">
        <f>2978.18094457311*Deflactores!$Y$5</f>
        <v>3318.939161344405</v>
      </c>
      <c r="J157" s="50">
        <f>3304.61684826966*Deflactores!$Z$5</f>
        <v>3503.986244635782</v>
      </c>
      <c r="K157" s="50">
        <f>1582.82396273921*Deflactores!$AA$5</f>
        <v>1582.8239627392099</v>
      </c>
    </row>
    <row r="158" spans="3:11" x14ac:dyDescent="0.2">
      <c r="C158" s="87" t="s">
        <v>140</v>
      </c>
      <c r="D158" s="42">
        <f>173.28210162742*Deflactores!$T$5</f>
        <v>269.51339495399679</v>
      </c>
      <c r="E158" s="42">
        <f>195.1665968077*Deflactores!$U$5</f>
        <v>298.74158853780631</v>
      </c>
      <c r="F158" s="42">
        <f>205.55825146978*Deflactores!$V$5</f>
        <v>297.90579296060292</v>
      </c>
      <c r="G158" s="42">
        <f>275.51006429754*Deflactores!$W$5</f>
        <v>352.97350321542547</v>
      </c>
      <c r="H158" s="42">
        <f>268.10553047819*Deflactores!$X$5</f>
        <v>314.31834096435938</v>
      </c>
      <c r="I158" s="42">
        <f>271.75860477502*Deflactores!$Y$5</f>
        <v>302.85274555385195</v>
      </c>
      <c r="J158" s="42">
        <f>266.58950239352*Deflactores!$Z$5</f>
        <v>282.67299727661691</v>
      </c>
      <c r="K158" s="42">
        <f>171.472012070469*Deflactores!$AA$5</f>
        <v>171.47201207046899</v>
      </c>
    </row>
    <row r="159" spans="3:11" x14ac:dyDescent="0.2">
      <c r="C159" s="88" t="s">
        <v>141</v>
      </c>
      <c r="D159" s="50">
        <f>1586.53321145874*Deflactores!$T$5</f>
        <v>2467.6059905303605</v>
      </c>
      <c r="E159" s="50">
        <f>1768.62332274733*Deflactores!$U$5</f>
        <v>2707.23243426308</v>
      </c>
      <c r="F159" s="50">
        <f>2182.18972686876*Deflactores!$V$5</f>
        <v>3162.5437379675873</v>
      </c>
      <c r="G159" s="50">
        <f>2514.63189315989*Deflactores!$W$5</f>
        <v>3221.6551903066324</v>
      </c>
      <c r="H159" s="50">
        <f>2953.33554057771*Deflactores!$X$5</f>
        <v>3462.3960414758403</v>
      </c>
      <c r="I159" s="50">
        <f>3378.78237534768*Deflactores!$Y$5</f>
        <v>3765.3767020556529</v>
      </c>
      <c r="J159" s="50">
        <f>3611.47387538099*Deflactores!$Z$5</f>
        <v>3829.3561290842408</v>
      </c>
      <c r="K159" s="50">
        <f>1816.3837366353*Deflactores!$AA$5</f>
        <v>1816.3837366353</v>
      </c>
    </row>
    <row r="160" spans="3:11" x14ac:dyDescent="0.2">
      <c r="C160" s="87" t="s">
        <v>142</v>
      </c>
      <c r="D160" s="42">
        <f>78.25645318036*Deflactores!$T$5</f>
        <v>121.71575815167674</v>
      </c>
      <c r="E160" s="42">
        <f>80.36728670704*Deflactores!$U$5</f>
        <v>123.01823821312446</v>
      </c>
      <c r="F160" s="42">
        <f>224.62844248447*Deflactores!$V$5</f>
        <v>325.54331339833925</v>
      </c>
      <c r="G160" s="42">
        <f>405.4041695299*Deflactores!$W$5</f>
        <v>519.38912032835947</v>
      </c>
      <c r="H160" s="42">
        <f>223.030621817629*Deflactores!$X$5</f>
        <v>261.47396105157685</v>
      </c>
      <c r="I160" s="42">
        <f>247.64718990541*Deflactores!$Y$5</f>
        <v>275.98254507392738</v>
      </c>
      <c r="J160" s="42">
        <f>237.50452147117*Deflactores!$Z$5</f>
        <v>251.833303067961</v>
      </c>
      <c r="K160" s="42">
        <f>401.46398885191*Deflactores!$AA$5</f>
        <v>401.46398885191002</v>
      </c>
    </row>
    <row r="161" spans="1:11" x14ac:dyDescent="0.2">
      <c r="C161" s="88" t="s">
        <v>143</v>
      </c>
      <c r="D161" s="50">
        <f>571.35197721376*Deflactores!$T$5</f>
        <v>888.64925832704887</v>
      </c>
      <c r="E161" s="50">
        <f>1732.48362359133*Deflactores!$U$5</f>
        <v>2651.9133821725231</v>
      </c>
      <c r="F161" s="50">
        <f>3587.28302111029*Deflactores!$V$5</f>
        <v>5198.878592013506</v>
      </c>
      <c r="G161" s="50">
        <f>919.236445593309*Deflactores!$W$5</f>
        <v>1177.6923986847737</v>
      </c>
      <c r="H161" s="50">
        <f>733.51044320256*Deflactores!$X$5</f>
        <v>859.9441614510672</v>
      </c>
      <c r="I161" s="50">
        <f>713.69842254485*Deflactores!$Y$5</f>
        <v>795.35853867111484</v>
      </c>
      <c r="J161" s="50">
        <f>1330.47563549567*Deflactores!$Z$5</f>
        <v>1410.7439802108813</v>
      </c>
      <c r="K161" s="50">
        <f>384.40815158193*Deflactores!$AA$5</f>
        <v>384.40815158192999</v>
      </c>
    </row>
    <row r="162" spans="1:11" x14ac:dyDescent="0.2">
      <c r="C162" s="87" t="s">
        <v>144</v>
      </c>
      <c r="D162" s="42">
        <f>4147.32285530746*Deflactores!$T$5</f>
        <v>6450.5165404073332</v>
      </c>
      <c r="E162" s="42">
        <f>4314.73352545996*Deflactores!$U$5</f>
        <v>6604.5643496222656</v>
      </c>
      <c r="F162" s="42">
        <f>4675.53911346223*Deflactores!$V$5</f>
        <v>6776.0363651422267</v>
      </c>
      <c r="G162" s="42">
        <f>5178.99546720401*Deflactores!$W$5</f>
        <v>6635.1411802568082</v>
      </c>
      <c r="H162" s="42">
        <f>6266.11140587502*Deflactores!$X$5</f>
        <v>7346.1884127478161</v>
      </c>
      <c r="I162" s="42">
        <f>7662.25595568172*Deflactores!$Y$5</f>
        <v>8538.9577829031659</v>
      </c>
      <c r="J162" s="42">
        <f>8732.32619687421*Deflactores!$Z$5</f>
        <v>9259.1523563590745</v>
      </c>
      <c r="K162" s="42">
        <f>4007.74961420208*Deflactores!$AA$5</f>
        <v>4007.74961420208</v>
      </c>
    </row>
    <row r="163" spans="1:11" x14ac:dyDescent="0.2">
      <c r="C163" s="88" t="s">
        <v>145</v>
      </c>
      <c r="D163" s="50">
        <f>1293.01509590961*Deflactores!$T$5</f>
        <v>2011.0841509451247</v>
      </c>
      <c r="E163" s="50">
        <f>490.8118590638*Deflactores!$U$5</f>
        <v>751.28591084869822</v>
      </c>
      <c r="F163" s="50">
        <f>1102.22837284093*Deflactores!$V$5</f>
        <v>1597.40713441088</v>
      </c>
      <c r="G163" s="50">
        <f>2870.02529910241*Deflactores!$W$5</f>
        <v>3676.9723339290813</v>
      </c>
      <c r="H163" s="50">
        <f>2428.94230684778*Deflactores!$X$5</f>
        <v>2847.6142018586393</v>
      </c>
      <c r="I163" s="50">
        <f>725.70600988556*Deflactores!$Y$5</f>
        <v>808.74001300059285</v>
      </c>
      <c r="J163" s="50">
        <f>1990.5705291611*Deflactores!$Z$5</f>
        <v>2110.6627707263638</v>
      </c>
      <c r="K163" s="50">
        <f>1984.45566764093*Deflactores!$AA$5</f>
        <v>1984.45566764093</v>
      </c>
    </row>
    <row r="164" spans="1:11" x14ac:dyDescent="0.2">
      <c r="C164" s="87" t="s">
        <v>146</v>
      </c>
      <c r="D164" s="42">
        <f>656.833448264317*Deflactores!$T$5</f>
        <v>1021.6024095880665</v>
      </c>
      <c r="E164" s="42">
        <f>697.53786907511*Deflactores!$U$5</f>
        <v>1067.7214978447239</v>
      </c>
      <c r="F164" s="42">
        <f>796.423898614789*Deflactores!$V$5</f>
        <v>1154.2192607358991</v>
      </c>
      <c r="G164" s="42">
        <f>1069.73594034281*Deflactores!$W$5</f>
        <v>1370.5068936083162</v>
      </c>
      <c r="H164" s="42">
        <f>1099.16190887852*Deflactores!$X$5</f>
        <v>1288.62223406473</v>
      </c>
      <c r="I164" s="42">
        <f>1082.61752766359*Deflactores!$Y$5</f>
        <v>1206.488717842356</v>
      </c>
      <c r="J164" s="42">
        <f>1177.12360890228*Deflactores!$Z$5</f>
        <v>1248.1401394504558</v>
      </c>
      <c r="K164" s="42">
        <f>533.53429844205*Deflactores!$AA$5</f>
        <v>533.53429844205004</v>
      </c>
    </row>
    <row r="165" spans="1:11" x14ac:dyDescent="0.2">
      <c r="C165" s="88" t="s">
        <v>162</v>
      </c>
      <c r="D165" s="50">
        <f>28343.5967857638*Deflactores!$T$5</f>
        <v>44084.062480747336</v>
      </c>
      <c r="E165" s="50">
        <f>33399.2487409584*Deflactores!$U$5</f>
        <v>51124.243533715111</v>
      </c>
      <c r="F165" s="50">
        <f>42205.6864973238*Deflactores!$V$5</f>
        <v>61166.693205114723</v>
      </c>
      <c r="G165" s="50">
        <f>40740.2566322092*Deflactores!$W$5</f>
        <v>52194.939382817873</v>
      </c>
      <c r="H165" s="50">
        <f>48139.4022285744*Deflactores!$X$5</f>
        <v>56437.09406707812</v>
      </c>
      <c r="I165" s="50">
        <f>56316.7250304004*Deflactores!$Y$5</f>
        <v>62760.385490564055</v>
      </c>
      <c r="J165" s="50">
        <f>62785.9102580151*Deflactores!$Z$5</f>
        <v>66573.819599151684</v>
      </c>
      <c r="K165" s="50">
        <f>35135.1184168086*Deflactores!$AA$5</f>
        <v>35135.118416808597</v>
      </c>
    </row>
    <row r="166" spans="1:11" x14ac:dyDescent="0.2">
      <c r="C166" s="87" t="s">
        <v>148</v>
      </c>
      <c r="D166" s="42">
        <f>261.13458804366*Deflactores!$T$5</f>
        <v>406.15429235089243</v>
      </c>
      <c r="E166" s="42">
        <f>312.86440454456*Deflactores!$U$5</f>
        <v>478.90167036457331</v>
      </c>
      <c r="F166" s="42">
        <f>356.96159296429*Deflactores!$V$5</f>
        <v>517.32745169872396</v>
      </c>
      <c r="G166" s="42">
        <f>358.201944011099*Deflactores!$W$5</f>
        <v>458.91534074641874</v>
      </c>
      <c r="H166" s="42">
        <f>439.06493918917*Deflactores!$X$5</f>
        <v>514.74567874601848</v>
      </c>
      <c r="I166" s="42">
        <f>576.45136574244*Deflactores!$Y$5</f>
        <v>642.40791542882164</v>
      </c>
      <c r="J166" s="42">
        <f>642.43666857635*Deflactores!$Z$5</f>
        <v>681.19523475765925</v>
      </c>
      <c r="K166" s="42">
        <f>325.36380847398*Deflactores!$AA$5</f>
        <v>325.36380847397999</v>
      </c>
    </row>
    <row r="167" spans="1:11" x14ac:dyDescent="0.2">
      <c r="C167" s="88" t="s">
        <v>149</v>
      </c>
      <c r="D167" s="50">
        <f>63.18453991101*Deflactores!$T$5</f>
        <v>98.273738026547264</v>
      </c>
      <c r="E167" s="50">
        <f>53.53657371515*Deflactores!$U$5</f>
        <v>81.948455002748076</v>
      </c>
      <c r="F167" s="50">
        <f>65.62099625465*Deflactores!$V$5</f>
        <v>95.101387486652285</v>
      </c>
      <c r="G167" s="50">
        <f>93.64234653543*Deflactores!$W$5</f>
        <v>119.97117851283778</v>
      </c>
      <c r="H167" s="50">
        <f>94.08753600713*Deflactores!$X$5</f>
        <v>110.30521515329681</v>
      </c>
      <c r="I167" s="50">
        <f>113.05162368229*Deflactores!$Y$5</f>
        <v>125.98679129165718</v>
      </c>
      <c r="J167" s="50">
        <f>101.599217587*Deflactores!$Z$5</f>
        <v>107.72875562775552</v>
      </c>
      <c r="K167" s="50">
        <f>42.34735456197*Deflactores!$AA$5</f>
        <v>42.34735456197</v>
      </c>
    </row>
    <row r="168" spans="1:11" x14ac:dyDescent="0.2">
      <c r="C168" s="87" t="s">
        <v>163</v>
      </c>
      <c r="D168" s="42">
        <f>18168.8527729154*Deflactores!$T$5</f>
        <v>28258.828507149821</v>
      </c>
      <c r="E168" s="42">
        <f>22897.2988142007*Deflactores!$U$5</f>
        <v>35048.904540355601</v>
      </c>
      <c r="F168" s="42">
        <f>22240.3059732587*Deflactores!$V$5</f>
        <v>32231.81720644336</v>
      </c>
      <c r="G168" s="42">
        <f>18306.8853000158*Deflactores!$W$5</f>
        <v>23454.11756113205</v>
      </c>
      <c r="H168" s="42">
        <f>22208.3229306944*Deflactores!$X$5</f>
        <v>26036.326840130048</v>
      </c>
      <c r="I168" s="42">
        <f>27546.1053692311*Deflactores!$Y$5</f>
        <v>30697.882215335005</v>
      </c>
      <c r="J168" s="42">
        <f>38670.2381929154*Deflactores!$Z$5</f>
        <v>41003.23545094626</v>
      </c>
      <c r="K168" s="42">
        <f>17623.3031256651*Deflactores!$AA$5</f>
        <v>17623.303125665101</v>
      </c>
    </row>
    <row r="169" spans="1:11" x14ac:dyDescent="0.2">
      <c r="C169" s="88" t="s">
        <v>150</v>
      </c>
      <c r="D169" s="50">
        <f>149.06642205071*Deflactores!$T$5</f>
        <v>231.84966654498876</v>
      </c>
      <c r="E169" s="50">
        <f>148.87979864401*Deflactores!$U$5</f>
        <v>227.89036789898844</v>
      </c>
      <c r="F169" s="50">
        <f>289.701558125449*Deflactores!$V$5</f>
        <v>419.85068358091172</v>
      </c>
      <c r="G169" s="50">
        <f>329.75570859785*Deflactores!$W$5</f>
        <v>422.47105551601948</v>
      </c>
      <c r="H169" s="50">
        <f>413.41502649011*Deflactores!$X$5</f>
        <v>484.67454223842952</v>
      </c>
      <c r="I169" s="50">
        <f>393.41674990836*Deflactores!$Y$5</f>
        <v>438.43080131817027</v>
      </c>
      <c r="J169" s="50">
        <f>452.243336363769*Deflactores!$Z$5</f>
        <v>479.52743165265446</v>
      </c>
      <c r="K169" s="50">
        <f>249.343427159279*Deflactores!$AA$5</f>
        <v>249.343427159279</v>
      </c>
    </row>
    <row r="170" spans="1:11" x14ac:dyDescent="0.2">
      <c r="C170" s="87" t="s">
        <v>151</v>
      </c>
      <c r="D170" s="42">
        <f>2184.37924621438*Deflactores!$T$5</f>
        <v>3397.4626403142124</v>
      </c>
      <c r="E170" s="42">
        <f>2339.43149135068*Deflactores!$U$5</f>
        <v>3580.968728424833</v>
      </c>
      <c r="F170" s="42">
        <f>2722.94042561438*Deflactores!$V$5</f>
        <v>3946.2279956024454</v>
      </c>
      <c r="G170" s="42">
        <f>2651.12126017479*Deflactores!$W$5</f>
        <v>3396.5204176432135</v>
      </c>
      <c r="H170" s="42">
        <f>2924.4423574912*Deflactores!$X$5</f>
        <v>3428.5225985941006</v>
      </c>
      <c r="I170" s="42">
        <f>3756.2286585442*Deflactores!$Y$5</f>
        <v>4186.0097239973011</v>
      </c>
      <c r="J170" s="42">
        <f>4332.14239693372*Deflactores!$Z$5</f>
        <v>4593.502988586275</v>
      </c>
      <c r="K170" s="42">
        <f>2188.19501068084*Deflactores!$AA$5</f>
        <v>2188.1950106808399</v>
      </c>
    </row>
    <row r="171" spans="1:11" x14ac:dyDescent="0.2">
      <c r="C171" s="79" t="s">
        <v>179</v>
      </c>
      <c r="D171" s="44">
        <f t="shared" ref="D171:K171" si="6">+SUM(D140:D170)</f>
        <v>220473.90619964909</v>
      </c>
      <c r="E171" s="44">
        <f t="shared" si="6"/>
        <v>264295.2120597001</v>
      </c>
      <c r="F171" s="44">
        <f t="shared" si="6"/>
        <v>280000.67557732877</v>
      </c>
      <c r="G171" s="44">
        <f t="shared" si="6"/>
        <v>231571.53683933913</v>
      </c>
      <c r="H171" s="44">
        <f t="shared" si="6"/>
        <v>266504.83324895526</v>
      </c>
      <c r="I171" s="44">
        <f t="shared" si="6"/>
        <v>276797.90722952608</v>
      </c>
      <c r="J171" s="44">
        <f t="shared" si="6"/>
        <v>299124.56841418921</v>
      </c>
      <c r="K171" s="44">
        <f t="shared" si="6"/>
        <v>147231.12524177739</v>
      </c>
    </row>
    <row r="172" spans="1:11" s="31" customFormat="1" x14ac:dyDescent="0.2">
      <c r="A172" s="5"/>
      <c r="B172" s="5"/>
      <c r="C172" s="72" t="str">
        <f>+'C1 Aprop Resumen 2000-2026'!B20</f>
        <v>* Información con corte a 30 de Junio</v>
      </c>
      <c r="D172" s="121">
        <f>+D171-'C6 Ejec. Nac 19-26'!D79</f>
        <v>8.7311491370201111E-10</v>
      </c>
      <c r="E172" s="121">
        <f>+E171-'C6 Ejec. Nac 19-26'!E79</f>
        <v>1.1641532182693481E-9</v>
      </c>
      <c r="F172" s="121">
        <f>+F171-'C6 Ejec. Nac 19-26'!F79</f>
        <v>0</v>
      </c>
      <c r="G172" s="121">
        <f>+G171-'C6 Ejec. Nac 19-26'!G79</f>
        <v>0</v>
      </c>
      <c r="H172" s="121">
        <f>+H171-'C6 Ejec. Nac 19-26'!H79</f>
        <v>5.2386894822120667E-10</v>
      </c>
      <c r="I172" s="121">
        <f>+I171-'C6 Ejec. Nac 19-26'!I79</f>
        <v>0</v>
      </c>
      <c r="J172" s="121">
        <f>+J171-'C6 Ejec. Nac 19-26'!J79</f>
        <v>0</v>
      </c>
      <c r="K172" s="121">
        <f>+K171-'C6 Ejec. Nac 19-26'!K79</f>
        <v>4.6566128730773926E-10</v>
      </c>
    </row>
    <row r="173" spans="1:11" x14ac:dyDescent="0.2">
      <c r="C173" s="1" t="s">
        <v>52</v>
      </c>
      <c r="D173" s="11"/>
      <c r="E173" s="11"/>
      <c r="F173" s="11"/>
    </row>
    <row r="174" spans="1:11" x14ac:dyDescent="0.2">
      <c r="B174" s="9"/>
      <c r="D174" s="11"/>
      <c r="E174" s="11"/>
      <c r="F174" s="11"/>
    </row>
    <row r="175" spans="1:11" x14ac:dyDescent="0.2">
      <c r="D175" s="11"/>
      <c r="E175" s="11"/>
      <c r="F175" s="11"/>
    </row>
    <row r="176" spans="1:11" x14ac:dyDescent="0.2">
      <c r="D176" s="11"/>
      <c r="E176" s="11"/>
      <c r="F176" s="11"/>
    </row>
    <row r="177" spans="3:12" ht="18" customHeight="1" x14ac:dyDescent="0.2">
      <c r="D177" s="164" t="s">
        <v>191</v>
      </c>
      <c r="E177" s="182"/>
      <c r="F177" s="182"/>
      <c r="G177" s="182"/>
      <c r="H177" s="182"/>
      <c r="I177" s="182"/>
      <c r="J177" s="182"/>
      <c r="K177" s="182"/>
      <c r="L177" s="182"/>
    </row>
    <row r="178" spans="3:12" ht="3.75" customHeight="1" x14ac:dyDescent="0.2">
      <c r="D178" s="28"/>
      <c r="E178" s="28"/>
      <c r="F178" s="28"/>
    </row>
    <row r="179" spans="3:12" x14ac:dyDescent="0.2">
      <c r="D179" s="29"/>
      <c r="E179" s="29"/>
      <c r="F179" s="29"/>
    </row>
    <row r="180" spans="3:12" x14ac:dyDescent="0.2">
      <c r="C180" s="181" t="s">
        <v>120</v>
      </c>
      <c r="D180" s="155">
        <v>2019</v>
      </c>
      <c r="E180" s="155">
        <v>2020</v>
      </c>
      <c r="F180" s="155">
        <v>2021</v>
      </c>
      <c r="G180" s="155">
        <v>2022</v>
      </c>
      <c r="H180" s="155">
        <v>2023</v>
      </c>
      <c r="I180" s="155">
        <v>2024</v>
      </c>
      <c r="J180" s="155">
        <v>2025</v>
      </c>
      <c r="K180" s="155" t="s">
        <v>36</v>
      </c>
    </row>
    <row r="181" spans="3:12" ht="12" customHeight="1" thickBot="1" x14ac:dyDescent="0.25">
      <c r="C181" s="162"/>
      <c r="D181" s="156"/>
      <c r="E181" s="156"/>
      <c r="F181" s="156"/>
      <c r="G181" s="156"/>
      <c r="H181" s="156"/>
      <c r="I181" s="156"/>
      <c r="J181" s="156"/>
      <c r="K181" s="156"/>
    </row>
    <row r="182" spans="3:12" x14ac:dyDescent="0.2">
      <c r="C182" s="87" t="s">
        <v>123</v>
      </c>
      <c r="D182" s="47">
        <f t="shared" ref="D182:K191" si="7">+IFERROR(IF(D140&gt;0,+((D140/D14)*100)," "),"")</f>
        <v>74.725217264448858</v>
      </c>
      <c r="E182" s="47">
        <f t="shared" si="7"/>
        <v>80.523627460160924</v>
      </c>
      <c r="F182" s="47">
        <f t="shared" si="7"/>
        <v>92.710622108358891</v>
      </c>
      <c r="G182" s="47">
        <f t="shared" si="7"/>
        <v>91.717086564565463</v>
      </c>
      <c r="H182" s="47">
        <f t="shared" si="7"/>
        <v>75.980662378800886</v>
      </c>
      <c r="I182" s="47">
        <f t="shared" si="7"/>
        <v>76.999403589772911</v>
      </c>
      <c r="J182" s="47">
        <f t="shared" si="7"/>
        <v>91.281731680868333</v>
      </c>
      <c r="K182" s="47">
        <f t="shared" si="7"/>
        <v>55.958025480382268</v>
      </c>
    </row>
    <row r="183" spans="3:12" x14ac:dyDescent="0.2">
      <c r="C183" s="88" t="s">
        <v>124</v>
      </c>
      <c r="D183" s="116">
        <f t="shared" si="7"/>
        <v>95.198004377106642</v>
      </c>
      <c r="E183" s="116">
        <f t="shared" si="7"/>
        <v>96.375538249048205</v>
      </c>
      <c r="F183" s="116">
        <f t="shared" si="7"/>
        <v>92.6904145490373</v>
      </c>
      <c r="G183" s="116">
        <f t="shared" si="7"/>
        <v>91.261866401936771</v>
      </c>
      <c r="H183" s="116">
        <f t="shared" si="7"/>
        <v>94.53849398590728</v>
      </c>
      <c r="I183" s="116">
        <f t="shared" si="7"/>
        <v>95.883530322462249</v>
      </c>
      <c r="J183" s="116">
        <f t="shared" si="7"/>
        <v>97.489218306046638</v>
      </c>
      <c r="K183" s="116">
        <f t="shared" si="7"/>
        <v>48.460211486045424</v>
      </c>
    </row>
    <row r="184" spans="3:12" x14ac:dyDescent="0.2">
      <c r="C184" s="87" t="s">
        <v>125</v>
      </c>
      <c r="D184" s="47">
        <f t="shared" si="7"/>
        <v>95.122909680239744</v>
      </c>
      <c r="E184" s="47">
        <f t="shared" si="7"/>
        <v>90.811134757164439</v>
      </c>
      <c r="F184" s="47">
        <f t="shared" si="7"/>
        <v>94.850996911981227</v>
      </c>
      <c r="G184" s="47">
        <f t="shared" si="7"/>
        <v>86.826685511570219</v>
      </c>
      <c r="H184" s="47">
        <f t="shared" si="7"/>
        <v>94.01225793248021</v>
      </c>
      <c r="I184" s="47">
        <f t="shared" si="7"/>
        <v>94.226930002660893</v>
      </c>
      <c r="J184" s="47">
        <f t="shared" si="7"/>
        <v>90.147929508342244</v>
      </c>
      <c r="K184" s="47">
        <f t="shared" si="7"/>
        <v>30.782434792145718</v>
      </c>
    </row>
    <row r="185" spans="3:12" x14ac:dyDescent="0.2">
      <c r="C185" s="88" t="s">
        <v>126</v>
      </c>
      <c r="D185" s="116">
        <f t="shared" si="7"/>
        <v>90.570827895108721</v>
      </c>
      <c r="E185" s="116">
        <f t="shared" si="7"/>
        <v>96.294718568097721</v>
      </c>
      <c r="F185" s="116">
        <f t="shared" si="7"/>
        <v>94.182809857055432</v>
      </c>
      <c r="G185" s="116">
        <f t="shared" si="7"/>
        <v>98.268321515208186</v>
      </c>
      <c r="H185" s="116">
        <f t="shared" si="7"/>
        <v>96.242334681605755</v>
      </c>
      <c r="I185" s="116">
        <f t="shared" si="7"/>
        <v>69.843003456152502</v>
      </c>
      <c r="J185" s="116">
        <f t="shared" si="7"/>
        <v>89.462530226852138</v>
      </c>
      <c r="K185" s="116">
        <f t="shared" si="7"/>
        <v>33.040050845112141</v>
      </c>
    </row>
    <row r="186" spans="3:12" x14ac:dyDescent="0.2">
      <c r="C186" s="87" t="s">
        <v>127</v>
      </c>
      <c r="D186" s="47">
        <f t="shared" si="7"/>
        <v>95.907207545724802</v>
      </c>
      <c r="E186" s="47">
        <f t="shared" si="7"/>
        <v>94.588960814732332</v>
      </c>
      <c r="F186" s="47">
        <f t="shared" si="7"/>
        <v>93.898056337318508</v>
      </c>
      <c r="G186" s="47">
        <f t="shared" si="7"/>
        <v>94.817074610467614</v>
      </c>
      <c r="H186" s="47">
        <f t="shared" si="7"/>
        <v>94.075512625851971</v>
      </c>
      <c r="I186" s="47">
        <f t="shared" si="7"/>
        <v>86.306266862421992</v>
      </c>
      <c r="J186" s="47">
        <f t="shared" si="7"/>
        <v>80.284837329113131</v>
      </c>
      <c r="K186" s="47">
        <f t="shared" si="7"/>
        <v>54.086773707445104</v>
      </c>
    </row>
    <row r="187" spans="3:12" x14ac:dyDescent="0.2">
      <c r="C187" s="88" t="s">
        <v>128</v>
      </c>
      <c r="D187" s="116">
        <f t="shared" si="7"/>
        <v>97.50724726399973</v>
      </c>
      <c r="E187" s="116">
        <f t="shared" si="7"/>
        <v>97.171927445247434</v>
      </c>
      <c r="F187" s="116">
        <f t="shared" si="7"/>
        <v>89.41315078662268</v>
      </c>
      <c r="G187" s="116">
        <f t="shared" si="7"/>
        <v>93.535147386096114</v>
      </c>
      <c r="H187" s="116">
        <f t="shared" si="7"/>
        <v>91.663697377590253</v>
      </c>
      <c r="I187" s="116">
        <f t="shared" si="7"/>
        <v>93.196143149557983</v>
      </c>
      <c r="J187" s="116">
        <f t="shared" si="7"/>
        <v>90.729215464229867</v>
      </c>
      <c r="K187" s="116">
        <f t="shared" si="7"/>
        <v>45.778690593750007</v>
      </c>
    </row>
    <row r="188" spans="3:12" x14ac:dyDescent="0.2">
      <c r="C188" s="87" t="s">
        <v>129</v>
      </c>
      <c r="D188" s="47">
        <f t="shared" si="7"/>
        <v>97.625317570981963</v>
      </c>
      <c r="E188" s="47">
        <f t="shared" si="7"/>
        <v>97.811024549065735</v>
      </c>
      <c r="F188" s="47">
        <f t="shared" si="7"/>
        <v>96.785087245854882</v>
      </c>
      <c r="G188" s="47">
        <f t="shared" si="7"/>
        <v>96.787639416612365</v>
      </c>
      <c r="H188" s="47">
        <f t="shared" si="7"/>
        <v>96.013343960039947</v>
      </c>
      <c r="I188" s="47">
        <f t="shared" si="7"/>
        <v>93.277331799145031</v>
      </c>
      <c r="J188" s="47">
        <f t="shared" si="7"/>
        <v>94.377634166440103</v>
      </c>
      <c r="K188" s="47">
        <f t="shared" si="7"/>
        <v>44.337276879096329</v>
      </c>
    </row>
    <row r="189" spans="3:12" x14ac:dyDescent="0.2">
      <c r="C189" s="88" t="s">
        <v>130</v>
      </c>
      <c r="D189" s="116">
        <f t="shared" si="7"/>
        <v>93.531782249009311</v>
      </c>
      <c r="E189" s="116">
        <f t="shared" si="7"/>
        <v>94.783026652524143</v>
      </c>
      <c r="F189" s="116">
        <f t="shared" si="7"/>
        <v>89.394584068622109</v>
      </c>
      <c r="G189" s="116">
        <f t="shared" si="7"/>
        <v>92.17090053874665</v>
      </c>
      <c r="H189" s="116">
        <f t="shared" si="7"/>
        <v>83.374166406582518</v>
      </c>
      <c r="I189" s="116">
        <f t="shared" si="7"/>
        <v>93.023513732877689</v>
      </c>
      <c r="J189" s="116">
        <f t="shared" si="7"/>
        <v>89.901315579483807</v>
      </c>
      <c r="K189" s="116">
        <f t="shared" si="7"/>
        <v>42.574250827948198</v>
      </c>
    </row>
    <row r="190" spans="3:12" x14ac:dyDescent="0.2">
      <c r="C190" s="87" t="s">
        <v>131</v>
      </c>
      <c r="D190" s="47">
        <f t="shared" si="7"/>
        <v>99.941415984595395</v>
      </c>
      <c r="E190" s="47">
        <f t="shared" si="7"/>
        <v>99.97284091870408</v>
      </c>
      <c r="F190" s="47">
        <f t="shared" si="7"/>
        <v>99.943741098616954</v>
      </c>
      <c r="G190" s="47">
        <f t="shared" si="7"/>
        <v>99.905183390565881</v>
      </c>
      <c r="H190" s="47">
        <f t="shared" si="7"/>
        <v>99.000974709390832</v>
      </c>
      <c r="I190" s="47">
        <f t="shared" si="7"/>
        <v>99.681072497155853</v>
      </c>
      <c r="J190" s="47">
        <f t="shared" si="7"/>
        <v>97.937538563214758</v>
      </c>
      <c r="K190" s="47">
        <f t="shared" si="7"/>
        <v>49.403208038339507</v>
      </c>
    </row>
    <row r="191" spans="3:12" x14ac:dyDescent="0.2">
      <c r="C191" s="88" t="s">
        <v>132</v>
      </c>
      <c r="D191" s="116">
        <f t="shared" si="7"/>
        <v>88.115008340052128</v>
      </c>
      <c r="E191" s="116">
        <f t="shared" si="7"/>
        <v>89.317087689615235</v>
      </c>
      <c r="F191" s="116">
        <f t="shared" si="7"/>
        <v>93.648648416858165</v>
      </c>
      <c r="G191" s="116">
        <f t="shared" si="7"/>
        <v>91.869165296094693</v>
      </c>
      <c r="H191" s="116">
        <f t="shared" si="7"/>
        <v>97.059766525936894</v>
      </c>
      <c r="I191" s="116">
        <f t="shared" si="7"/>
        <v>94.059761103604117</v>
      </c>
      <c r="J191" s="116">
        <f t="shared" si="7"/>
        <v>91.024887214099437</v>
      </c>
      <c r="K191" s="116">
        <f t="shared" si="7"/>
        <v>41.671631982230714</v>
      </c>
    </row>
    <row r="192" spans="3:12" x14ac:dyDescent="0.2">
      <c r="C192" s="87" t="s">
        <v>133</v>
      </c>
      <c r="D192" s="47">
        <f t="shared" ref="D192:K201" si="8">+IFERROR(IF(D150&gt;0,+((D150/D24)*100)," "),"")</f>
        <v>95.488715314069182</v>
      </c>
      <c r="E192" s="47">
        <f t="shared" si="8"/>
        <v>95.456534498567919</v>
      </c>
      <c r="F192" s="47">
        <f t="shared" si="8"/>
        <v>92.500377457084511</v>
      </c>
      <c r="G192" s="47">
        <f t="shared" si="8"/>
        <v>95.2372786423458</v>
      </c>
      <c r="H192" s="47">
        <f t="shared" si="8"/>
        <v>95.490630411552957</v>
      </c>
      <c r="I192" s="47">
        <f t="shared" si="8"/>
        <v>93.878753581829926</v>
      </c>
      <c r="J192" s="47">
        <f t="shared" si="8"/>
        <v>93.862217935357833</v>
      </c>
      <c r="K192" s="47">
        <f t="shared" si="8"/>
        <v>42.334674533652318</v>
      </c>
    </row>
    <row r="193" spans="3:11" x14ac:dyDescent="0.2">
      <c r="C193" s="88" t="s">
        <v>134</v>
      </c>
      <c r="D193" s="116">
        <f t="shared" si="8"/>
        <v>91.59860887464859</v>
      </c>
      <c r="E193" s="116">
        <f t="shared" si="8"/>
        <v>41.661137688113172</v>
      </c>
      <c r="F193" s="116">
        <f t="shared" si="8"/>
        <v>81.884065242019304</v>
      </c>
      <c r="G193" s="116">
        <f t="shared" si="8"/>
        <v>83.561656694231488</v>
      </c>
      <c r="H193" s="116">
        <f t="shared" si="8"/>
        <v>89.52710164869103</v>
      </c>
      <c r="I193" s="116">
        <f t="shared" si="8"/>
        <v>74.160604691793338</v>
      </c>
      <c r="J193" s="116">
        <f t="shared" si="8"/>
        <v>74.434129149722409</v>
      </c>
      <c r="K193" s="116">
        <f t="shared" si="8"/>
        <v>27.289240857619017</v>
      </c>
    </row>
    <row r="194" spans="3:11" x14ac:dyDescent="0.2">
      <c r="C194" s="87" t="s">
        <v>135</v>
      </c>
      <c r="D194" s="47" t="str">
        <f t="shared" si="8"/>
        <v xml:space="preserve"> </v>
      </c>
      <c r="E194" s="47" t="str">
        <f t="shared" si="8"/>
        <v xml:space="preserve"> </v>
      </c>
      <c r="F194" s="47" t="str">
        <f t="shared" si="8"/>
        <v xml:space="preserve"> </v>
      </c>
      <c r="G194" s="47" t="str">
        <f t="shared" si="8"/>
        <v xml:space="preserve"> </v>
      </c>
      <c r="H194" s="47">
        <f t="shared" si="8"/>
        <v>0.58282805051800002</v>
      </c>
      <c r="I194" s="47">
        <f t="shared" si="8"/>
        <v>4.8861210663084442</v>
      </c>
      <c r="J194" s="47">
        <f t="shared" si="8"/>
        <v>92.242077906476439</v>
      </c>
      <c r="K194" s="47">
        <f t="shared" si="8"/>
        <v>14.55970928005636</v>
      </c>
    </row>
    <row r="195" spans="3:11" x14ac:dyDescent="0.2">
      <c r="C195" s="88" t="s">
        <v>136</v>
      </c>
      <c r="D195" s="116">
        <f t="shared" si="8"/>
        <v>97.077028644735336</v>
      </c>
      <c r="E195" s="116">
        <f t="shared" si="8"/>
        <v>98.472348115831863</v>
      </c>
      <c r="F195" s="116">
        <f t="shared" si="8"/>
        <v>97.889854753450649</v>
      </c>
      <c r="G195" s="116">
        <f t="shared" si="8"/>
        <v>96.395365110959787</v>
      </c>
      <c r="H195" s="116">
        <f t="shared" si="8"/>
        <v>93.968053512038594</v>
      </c>
      <c r="I195" s="116">
        <f t="shared" si="8"/>
        <v>49.519498186881769</v>
      </c>
      <c r="J195" s="116">
        <f t="shared" si="8"/>
        <v>54.515797322027929</v>
      </c>
      <c r="K195" s="116">
        <f t="shared" si="8"/>
        <v>17.359694887314454</v>
      </c>
    </row>
    <row r="196" spans="3:11" x14ac:dyDescent="0.2">
      <c r="C196" s="87" t="s">
        <v>137</v>
      </c>
      <c r="D196" s="47">
        <f t="shared" si="8"/>
        <v>89.828832057574999</v>
      </c>
      <c r="E196" s="47">
        <f t="shared" si="8"/>
        <v>88.067276695213721</v>
      </c>
      <c r="F196" s="47">
        <f t="shared" si="8"/>
        <v>80.761988951222449</v>
      </c>
      <c r="G196" s="47">
        <f t="shared" si="8"/>
        <v>88.926707098704696</v>
      </c>
      <c r="H196" s="47">
        <f t="shared" si="8"/>
        <v>92.386249183769465</v>
      </c>
      <c r="I196" s="47">
        <f t="shared" si="8"/>
        <v>94.311035220271293</v>
      </c>
      <c r="J196" s="47">
        <f t="shared" si="8"/>
        <v>94.273897845035108</v>
      </c>
      <c r="K196" s="47">
        <f t="shared" si="8"/>
        <v>43.938268175032022</v>
      </c>
    </row>
    <row r="197" spans="3:11" x14ac:dyDescent="0.2">
      <c r="C197" s="88" t="s">
        <v>138</v>
      </c>
      <c r="D197" s="116">
        <f t="shared" si="8"/>
        <v>95.715796722991129</v>
      </c>
      <c r="E197" s="116">
        <f t="shared" si="8"/>
        <v>98.028113822928489</v>
      </c>
      <c r="F197" s="116">
        <f t="shared" si="8"/>
        <v>94.611263222058597</v>
      </c>
      <c r="G197" s="116">
        <f t="shared" si="8"/>
        <v>95.93883466240213</v>
      </c>
      <c r="H197" s="116">
        <f t="shared" si="8"/>
        <v>88.109589109918645</v>
      </c>
      <c r="I197" s="116">
        <f t="shared" si="8"/>
        <v>94.735834678813248</v>
      </c>
      <c r="J197" s="116">
        <f t="shared" si="8"/>
        <v>96.140341651529297</v>
      </c>
      <c r="K197" s="116">
        <f t="shared" si="8"/>
        <v>38.652918656318917</v>
      </c>
    </row>
    <row r="198" spans="3:11" x14ac:dyDescent="0.2">
      <c r="C198" s="87" t="s">
        <v>160</v>
      </c>
      <c r="D198" s="47">
        <f t="shared" si="8"/>
        <v>88.106363701449837</v>
      </c>
      <c r="E198" s="47">
        <f t="shared" si="8"/>
        <v>86.290605827033218</v>
      </c>
      <c r="F198" s="47">
        <f t="shared" si="8"/>
        <v>81.944172946829667</v>
      </c>
      <c r="G198" s="47">
        <f t="shared" si="8"/>
        <v>70.901304377829405</v>
      </c>
      <c r="H198" s="47">
        <f t="shared" si="8"/>
        <v>72.109248743917789</v>
      </c>
      <c r="I198" s="47">
        <f t="shared" si="8"/>
        <v>74.901499358616704</v>
      </c>
      <c r="J198" s="47">
        <f t="shared" si="8"/>
        <v>82.335650395643199</v>
      </c>
      <c r="K198" s="47">
        <f t="shared" si="8"/>
        <v>37.828968004143768</v>
      </c>
    </row>
    <row r="199" spans="3:11" x14ac:dyDescent="0.2">
      <c r="C199" s="88" t="s">
        <v>161</v>
      </c>
      <c r="D199" s="116">
        <f t="shared" si="8"/>
        <v>84.492389211268105</v>
      </c>
      <c r="E199" s="116">
        <f t="shared" si="8"/>
        <v>88.640912641892328</v>
      </c>
      <c r="F199" s="116">
        <f t="shared" si="8"/>
        <v>74.541139458995886</v>
      </c>
      <c r="G199" s="116">
        <f t="shared" si="8"/>
        <v>77.408067333616671</v>
      </c>
      <c r="H199" s="116">
        <f t="shared" si="8"/>
        <v>82.951432673890238</v>
      </c>
      <c r="I199" s="116">
        <f t="shared" si="8"/>
        <v>87.599823726793602</v>
      </c>
      <c r="J199" s="116">
        <f t="shared" si="8"/>
        <v>87.78182431252327</v>
      </c>
      <c r="K199" s="116">
        <f t="shared" si="8"/>
        <v>38.470444753645772</v>
      </c>
    </row>
    <row r="200" spans="3:11" x14ac:dyDescent="0.2">
      <c r="C200" s="87" t="s">
        <v>140</v>
      </c>
      <c r="D200" s="47">
        <f t="shared" si="8"/>
        <v>92.216303273072015</v>
      </c>
      <c r="E200" s="47">
        <f t="shared" si="8"/>
        <v>89.603559157303209</v>
      </c>
      <c r="F200" s="47">
        <f t="shared" si="8"/>
        <v>90.272392870577733</v>
      </c>
      <c r="G200" s="47">
        <f t="shared" si="8"/>
        <v>93.652858310926064</v>
      </c>
      <c r="H200" s="47">
        <f t="shared" si="8"/>
        <v>89.243833460311819</v>
      </c>
      <c r="I200" s="47">
        <f t="shared" si="8"/>
        <v>84.734354393415018</v>
      </c>
      <c r="J200" s="47">
        <f t="shared" si="8"/>
        <v>88.00162722773419</v>
      </c>
      <c r="K200" s="47">
        <f t="shared" si="8"/>
        <v>51.284470534414439</v>
      </c>
    </row>
    <row r="201" spans="3:11" x14ac:dyDescent="0.2">
      <c r="C201" s="88" t="s">
        <v>141</v>
      </c>
      <c r="D201" s="116">
        <f t="shared" si="8"/>
        <v>92.350290286283425</v>
      </c>
      <c r="E201" s="116">
        <f t="shared" si="8"/>
        <v>83.365421390650127</v>
      </c>
      <c r="F201" s="116">
        <f t="shared" si="8"/>
        <v>87.671974699148336</v>
      </c>
      <c r="G201" s="116">
        <f t="shared" si="8"/>
        <v>92.239343560044034</v>
      </c>
      <c r="H201" s="116">
        <f t="shared" si="8"/>
        <v>86.740429594551927</v>
      </c>
      <c r="I201" s="116">
        <f t="shared" si="8"/>
        <v>90.063282696676154</v>
      </c>
      <c r="J201" s="116">
        <f t="shared" si="8"/>
        <v>93.548471190694244</v>
      </c>
      <c r="K201" s="116">
        <f t="shared" si="8"/>
        <v>43.990571632144984</v>
      </c>
    </row>
    <row r="202" spans="3:11" x14ac:dyDescent="0.2">
      <c r="C202" s="87" t="s">
        <v>142</v>
      </c>
      <c r="D202" s="47">
        <f t="shared" ref="D202:K211" si="9">+IFERROR(IF(D160&gt;0,+((D160/D34)*100)," "),"")</f>
        <v>94.42035145655953</v>
      </c>
      <c r="E202" s="47">
        <f t="shared" si="9"/>
        <v>94.212680015837705</v>
      </c>
      <c r="F202" s="47">
        <f t="shared" si="9"/>
        <v>80.47519050118936</v>
      </c>
      <c r="G202" s="47">
        <f t="shared" si="9"/>
        <v>93.540175891113435</v>
      </c>
      <c r="H202" s="47">
        <f t="shared" si="9"/>
        <v>90.380315085443868</v>
      </c>
      <c r="I202" s="47">
        <f t="shared" si="9"/>
        <v>90.53120239813785</v>
      </c>
      <c r="J202" s="47">
        <f t="shared" si="9"/>
        <v>85.018783941246937</v>
      </c>
      <c r="K202" s="47">
        <f t="shared" si="9"/>
        <v>83.934696582849597</v>
      </c>
    </row>
    <row r="203" spans="3:11" x14ac:dyDescent="0.2">
      <c r="C203" s="88" t="s">
        <v>143</v>
      </c>
      <c r="D203" s="116">
        <f t="shared" si="9"/>
        <v>43.309879343349166</v>
      </c>
      <c r="E203" s="116">
        <f t="shared" si="9"/>
        <v>37.48554878268834</v>
      </c>
      <c r="F203" s="116">
        <f t="shared" si="9"/>
        <v>56.352553108583045</v>
      </c>
      <c r="G203" s="116">
        <f t="shared" si="9"/>
        <v>19.36942302708476</v>
      </c>
      <c r="H203" s="116">
        <f t="shared" si="9"/>
        <v>22.313979381968522</v>
      </c>
      <c r="I203" s="116">
        <f t="shared" si="9"/>
        <v>33.774696654023202</v>
      </c>
      <c r="J203" s="116">
        <f t="shared" si="9"/>
        <v>37.086238859915937</v>
      </c>
      <c r="K203" s="116">
        <f t="shared" si="9"/>
        <v>4.1579919281578688</v>
      </c>
    </row>
    <row r="204" spans="3:11" x14ac:dyDescent="0.2">
      <c r="C204" s="87" t="s">
        <v>144</v>
      </c>
      <c r="D204" s="47">
        <f t="shared" si="9"/>
        <v>95.68540732532017</v>
      </c>
      <c r="E204" s="47">
        <f t="shared" si="9"/>
        <v>93.808135668950868</v>
      </c>
      <c r="F204" s="47">
        <f t="shared" si="9"/>
        <v>94.312895963805843</v>
      </c>
      <c r="G204" s="47">
        <f t="shared" si="9"/>
        <v>94.936697701785846</v>
      </c>
      <c r="H204" s="47">
        <f t="shared" si="9"/>
        <v>87.317600501419591</v>
      </c>
      <c r="I204" s="47">
        <f t="shared" si="9"/>
        <v>93.526775975854491</v>
      </c>
      <c r="J204" s="47">
        <f t="shared" si="9"/>
        <v>92.649004564731229</v>
      </c>
      <c r="K204" s="47">
        <f t="shared" si="9"/>
        <v>42.367533193442306</v>
      </c>
    </row>
    <row r="205" spans="3:11" x14ac:dyDescent="0.2">
      <c r="C205" s="88" t="s">
        <v>145</v>
      </c>
      <c r="D205" s="116">
        <f t="shared" si="9"/>
        <v>92.205727776210864</v>
      </c>
      <c r="E205" s="116">
        <f t="shared" si="9"/>
        <v>93.249037338169643</v>
      </c>
      <c r="F205" s="116">
        <f t="shared" si="9"/>
        <v>85.553407739243639</v>
      </c>
      <c r="G205" s="116">
        <f t="shared" si="9"/>
        <v>93.581883720472419</v>
      </c>
      <c r="H205" s="116">
        <f t="shared" si="9"/>
        <v>79.799421801172628</v>
      </c>
      <c r="I205" s="116">
        <f t="shared" si="9"/>
        <v>58.15687453415179</v>
      </c>
      <c r="J205" s="116">
        <f t="shared" si="9"/>
        <v>72.661795906684333</v>
      </c>
      <c r="K205" s="116">
        <f t="shared" si="9"/>
        <v>30.057475065136934</v>
      </c>
    </row>
    <row r="206" spans="3:11" x14ac:dyDescent="0.2">
      <c r="C206" s="87" t="s">
        <v>146</v>
      </c>
      <c r="D206" s="47">
        <f t="shared" si="9"/>
        <v>94.39528549504233</v>
      </c>
      <c r="E206" s="47">
        <f t="shared" si="9"/>
        <v>90.505361720241595</v>
      </c>
      <c r="F206" s="47">
        <f t="shared" si="9"/>
        <v>90.839212319687775</v>
      </c>
      <c r="G206" s="47">
        <f t="shared" si="9"/>
        <v>94.87297514582778</v>
      </c>
      <c r="H206" s="47">
        <f t="shared" si="9"/>
        <v>92.783605372259004</v>
      </c>
      <c r="I206" s="47">
        <f t="shared" si="9"/>
        <v>91.334215730151115</v>
      </c>
      <c r="J206" s="47">
        <f t="shared" si="9"/>
        <v>91.887921649333066</v>
      </c>
      <c r="K206" s="47">
        <f t="shared" si="9"/>
        <v>42.045407949815413</v>
      </c>
    </row>
    <row r="207" spans="3:11" x14ac:dyDescent="0.2">
      <c r="C207" s="88" t="s">
        <v>162</v>
      </c>
      <c r="D207" s="116">
        <f t="shared" si="9"/>
        <v>99.61117724903103</v>
      </c>
      <c r="E207" s="116">
        <f t="shared" si="9"/>
        <v>97.484190137437963</v>
      </c>
      <c r="F207" s="116">
        <f t="shared" si="9"/>
        <v>99.464259321187413</v>
      </c>
      <c r="G207" s="116">
        <f t="shared" si="9"/>
        <v>99.895956166318001</v>
      </c>
      <c r="H207" s="116">
        <f t="shared" si="9"/>
        <v>94.07443657222953</v>
      </c>
      <c r="I207" s="116">
        <f t="shared" si="9"/>
        <v>95.813526515114958</v>
      </c>
      <c r="J207" s="116">
        <f t="shared" si="9"/>
        <v>97.925997980149731</v>
      </c>
      <c r="K207" s="116">
        <f t="shared" si="9"/>
        <v>46.781472172565081</v>
      </c>
    </row>
    <row r="208" spans="3:11" x14ac:dyDescent="0.2">
      <c r="C208" s="87" t="s">
        <v>148</v>
      </c>
      <c r="D208" s="47">
        <f t="shared" si="9"/>
        <v>93.532884578094311</v>
      </c>
      <c r="E208" s="47">
        <f t="shared" si="9"/>
        <v>96.250713518023375</v>
      </c>
      <c r="F208" s="47">
        <f t="shared" si="9"/>
        <v>96.946058776895228</v>
      </c>
      <c r="G208" s="47">
        <f t="shared" si="9"/>
        <v>98.138786431149157</v>
      </c>
      <c r="H208" s="47">
        <f t="shared" si="9"/>
        <v>89.563425353192017</v>
      </c>
      <c r="I208" s="47">
        <f t="shared" si="9"/>
        <v>95.883189940933946</v>
      </c>
      <c r="J208" s="47">
        <f t="shared" si="9"/>
        <v>91.337649622033013</v>
      </c>
      <c r="K208" s="47">
        <f t="shared" si="9"/>
        <v>48.190880302031616</v>
      </c>
    </row>
    <row r="209" spans="1:12" x14ac:dyDescent="0.2">
      <c r="C209" s="88" t="s">
        <v>149</v>
      </c>
      <c r="D209" s="116">
        <f t="shared" si="9"/>
        <v>91.917491754497931</v>
      </c>
      <c r="E209" s="116">
        <f t="shared" si="9"/>
        <v>98.374462350665425</v>
      </c>
      <c r="F209" s="116">
        <f t="shared" si="9"/>
        <v>80.131535169235917</v>
      </c>
      <c r="G209" s="116">
        <f t="shared" si="9"/>
        <v>87.685846951981844</v>
      </c>
      <c r="H209" s="116">
        <f t="shared" si="9"/>
        <v>86.956893440752154</v>
      </c>
      <c r="I209" s="116">
        <f t="shared" si="9"/>
        <v>94.142217812476076</v>
      </c>
      <c r="J209" s="116">
        <f t="shared" si="9"/>
        <v>79.376326638443317</v>
      </c>
      <c r="K209" s="116">
        <f t="shared" si="9"/>
        <v>40.030648976679714</v>
      </c>
    </row>
    <row r="210" spans="1:12" x14ac:dyDescent="0.2">
      <c r="C210" s="87" t="s">
        <v>163</v>
      </c>
      <c r="D210" s="47">
        <f t="shared" si="9"/>
        <v>79.776734757412086</v>
      </c>
      <c r="E210" s="47">
        <f t="shared" si="9"/>
        <v>86.25433571223094</v>
      </c>
      <c r="F210" s="47">
        <f t="shared" si="9"/>
        <v>94.051546478178381</v>
      </c>
      <c r="G210" s="47">
        <f t="shared" si="9"/>
        <v>60.699174561992564</v>
      </c>
      <c r="H210" s="47">
        <f t="shared" si="9"/>
        <v>75.340395786684795</v>
      </c>
      <c r="I210" s="47">
        <f t="shared" si="9"/>
        <v>80.106172322246167</v>
      </c>
      <c r="J210" s="47">
        <f t="shared" si="9"/>
        <v>85.832419365393136</v>
      </c>
      <c r="K210" s="47">
        <f t="shared" si="9"/>
        <v>35.348058555036502</v>
      </c>
    </row>
    <row r="211" spans="1:12" x14ac:dyDescent="0.2">
      <c r="C211" s="88" t="s">
        <v>150</v>
      </c>
      <c r="D211" s="116">
        <f t="shared" si="9"/>
        <v>83.878900094524298</v>
      </c>
      <c r="E211" s="116">
        <f t="shared" si="9"/>
        <v>85.829758353569048</v>
      </c>
      <c r="F211" s="116">
        <f t="shared" si="9"/>
        <v>90.508820546960749</v>
      </c>
      <c r="G211" s="116">
        <f t="shared" si="9"/>
        <v>86.230583030534163</v>
      </c>
      <c r="H211" s="116">
        <f t="shared" si="9"/>
        <v>81.809120836510829</v>
      </c>
      <c r="I211" s="116">
        <f t="shared" si="9"/>
        <v>72.091516033076402</v>
      </c>
      <c r="J211" s="116">
        <f t="shared" si="9"/>
        <v>94.080644068601558</v>
      </c>
      <c r="K211" s="116">
        <f t="shared" si="9"/>
        <v>46.271931105206292</v>
      </c>
    </row>
    <row r="212" spans="1:12" x14ac:dyDescent="0.2">
      <c r="C212" s="87" t="s">
        <v>151</v>
      </c>
      <c r="D212" s="47">
        <f t="shared" ref="D212:K213" si="10">+IFERROR(IF(D170&gt;0,+((D170/D44)*100)," "),"")</f>
        <v>99.56793011914543</v>
      </c>
      <c r="E212" s="47">
        <f t="shared" si="10"/>
        <v>98.639315522602161</v>
      </c>
      <c r="F212" s="47">
        <f t="shared" si="10"/>
        <v>99.258780807990917</v>
      </c>
      <c r="G212" s="47">
        <f t="shared" si="10"/>
        <v>99.698220975307194</v>
      </c>
      <c r="H212" s="47">
        <f t="shared" si="10"/>
        <v>99.404395731704881</v>
      </c>
      <c r="I212" s="47">
        <f t="shared" si="10"/>
        <v>99.522863946330318</v>
      </c>
      <c r="J212" s="47">
        <f t="shared" si="10"/>
        <v>99.76784442537766</v>
      </c>
      <c r="K212" s="47">
        <f t="shared" si="10"/>
        <v>46.570999770974076</v>
      </c>
    </row>
    <row r="213" spans="1:12" x14ac:dyDescent="0.2">
      <c r="C213" s="91" t="s">
        <v>179</v>
      </c>
      <c r="D213" s="64">
        <f t="shared" si="10"/>
        <v>94.404928151170864</v>
      </c>
      <c r="E213" s="64">
        <f t="shared" si="10"/>
        <v>84.157490334955511</v>
      </c>
      <c r="F213" s="64">
        <f t="shared" si="10"/>
        <v>94.087989696853754</v>
      </c>
      <c r="G213" s="64">
        <f t="shared" si="10"/>
        <v>89.117465327572617</v>
      </c>
      <c r="H213" s="64">
        <f t="shared" si="10"/>
        <v>90.568481649866314</v>
      </c>
      <c r="I213" s="64">
        <f t="shared" si="10"/>
        <v>89.76698410090215</v>
      </c>
      <c r="J213" s="64">
        <f t="shared" si="10"/>
        <v>91.827964977156768</v>
      </c>
      <c r="K213" s="64">
        <f t="shared" si="10"/>
        <v>41.810905595316008</v>
      </c>
    </row>
    <row r="214" spans="1:12" s="31" customFormat="1" x14ac:dyDescent="0.2">
      <c r="A214" s="5"/>
      <c r="B214" s="5"/>
      <c r="C214" s="72" t="str">
        <f>+'C1 Aprop Resumen 2000-2026'!B20</f>
        <v>* Información con corte a 30 de Junio</v>
      </c>
      <c r="D214" s="47"/>
      <c r="E214" s="47"/>
      <c r="F214" s="47"/>
      <c r="G214" s="47"/>
      <c r="H214" s="47"/>
      <c r="I214" s="47"/>
    </row>
    <row r="215" spans="1:12" x14ac:dyDescent="0.2">
      <c r="C215" s="1" t="s">
        <v>52</v>
      </c>
      <c r="D215" s="11"/>
      <c r="E215" s="11"/>
      <c r="F215" s="11"/>
    </row>
    <row r="216" spans="1:12" x14ac:dyDescent="0.2">
      <c r="E216" s="3"/>
      <c r="F216" s="3"/>
    </row>
    <row r="217" spans="1:12" x14ac:dyDescent="0.2">
      <c r="E217" s="3"/>
      <c r="F217" s="3"/>
    </row>
    <row r="218" spans="1:12" x14ac:dyDescent="0.2">
      <c r="E218" s="3"/>
      <c r="F218" s="3"/>
    </row>
    <row r="219" spans="1:12" ht="18" customHeight="1" x14ac:dyDescent="0.2">
      <c r="D219" s="187" t="s">
        <v>192</v>
      </c>
      <c r="E219" s="182"/>
      <c r="F219" s="182"/>
      <c r="G219" s="182"/>
      <c r="H219" s="182"/>
      <c r="I219" s="182"/>
      <c r="J219" s="182"/>
      <c r="K219" s="182"/>
      <c r="L219" s="182"/>
    </row>
    <row r="220" spans="1:12" x14ac:dyDescent="0.2">
      <c r="C220" s="2"/>
      <c r="D220" s="2"/>
      <c r="E220" s="2"/>
      <c r="F220" s="2"/>
      <c r="G220" s="2"/>
      <c r="H220" s="2"/>
      <c r="I220" s="2"/>
    </row>
    <row r="221" spans="1:12" x14ac:dyDescent="0.2">
      <c r="C221" s="181" t="s">
        <v>120</v>
      </c>
      <c r="D221" s="155">
        <v>2019</v>
      </c>
      <c r="E221" s="155">
        <v>2020</v>
      </c>
      <c r="F221" s="155">
        <v>2021</v>
      </c>
      <c r="G221" s="155">
        <v>2022</v>
      </c>
      <c r="H221" s="155">
        <v>2023</v>
      </c>
      <c r="I221" s="155">
        <v>2024</v>
      </c>
      <c r="J221" s="155">
        <v>2025</v>
      </c>
      <c r="K221" s="155" t="s">
        <v>36</v>
      </c>
    </row>
    <row r="222" spans="1:12" ht="15.75" customHeight="1" thickBot="1" x14ac:dyDescent="0.25">
      <c r="C222" s="162"/>
      <c r="D222" s="156"/>
      <c r="E222" s="156"/>
      <c r="F222" s="156"/>
      <c r="G222" s="156"/>
      <c r="H222" s="156"/>
      <c r="I222" s="156"/>
      <c r="J222" s="156"/>
      <c r="K222" s="156"/>
    </row>
    <row r="223" spans="1:12" x14ac:dyDescent="0.2">
      <c r="C223" s="87" t="s">
        <v>123</v>
      </c>
      <c r="D223" s="42">
        <f>543.02381428038*Deflactores!$T$5</f>
        <v>844.58920080650273</v>
      </c>
      <c r="E223" s="42">
        <f>573.90733094228*Deflactores!$U$5</f>
        <v>878.48018320533106</v>
      </c>
      <c r="F223" s="42">
        <f>578.71635256596*Deflactores!$V$5</f>
        <v>838.70607323090542</v>
      </c>
      <c r="G223" s="42">
        <f>688.24175574509*Deflactores!$W$5</f>
        <v>881.75037889767827</v>
      </c>
      <c r="H223" s="42">
        <f>700.118345710039*Deflactores!$X$5</f>
        <v>820.79633534524498</v>
      </c>
      <c r="I223" s="42">
        <f>801.9228516142*Deflactores!$Y$5</f>
        <v>893.67745148233382</v>
      </c>
      <c r="J223" s="42">
        <f>759.43086650291*Deflactores!$Z$5</f>
        <v>805.24775856280644</v>
      </c>
      <c r="K223" s="42">
        <f>493.821774739879*Deflactores!$AA$5</f>
        <v>493.821774739879</v>
      </c>
    </row>
    <row r="224" spans="1:12" x14ac:dyDescent="0.2">
      <c r="C224" s="88" t="s">
        <v>124</v>
      </c>
      <c r="D224" s="50">
        <f>273.20362468812*Deflactores!$T$5</f>
        <v>424.92580429196119</v>
      </c>
      <c r="E224" s="50">
        <f>302.731953769969*Deflactores!$U$5</f>
        <v>463.39192387263154</v>
      </c>
      <c r="F224" s="50">
        <f>332.2837689024*Deflactores!$V$5</f>
        <v>481.56305550867188</v>
      </c>
      <c r="G224" s="50">
        <f>335.898079173469*Deflactores!$W$5</f>
        <v>430.34043794911321</v>
      </c>
      <c r="H224" s="50">
        <f>405.77709283487*Deflactores!$X$5</f>
        <v>475.72007333721388</v>
      </c>
      <c r="I224" s="50">
        <f>484.63381586385*Deflactores!$Y$5</f>
        <v>540.08476325566642</v>
      </c>
      <c r="J224" s="50">
        <f>669.63559896893*Deflactores!$Z$5</f>
        <v>710.03509194543255</v>
      </c>
      <c r="K224" s="50">
        <f>280.10563543379*Deflactores!$AA$5</f>
        <v>280.10563543378998</v>
      </c>
    </row>
    <row r="225" spans="3:11" x14ac:dyDescent="0.2">
      <c r="C225" s="87" t="s">
        <v>125</v>
      </c>
      <c r="D225" s="42">
        <f>22.25149053408*Deflactores!$T$5</f>
        <v>34.608737430488624</v>
      </c>
      <c r="E225" s="42">
        <f>21.95107669705*Deflactores!$U$5</f>
        <v>33.600521963567978</v>
      </c>
      <c r="F225" s="42">
        <f>24.25307473745*Deflactores!$V$5</f>
        <v>35.148827204608743</v>
      </c>
      <c r="G225" s="42">
        <f>23.96039671316*Deflactores!$W$5</f>
        <v>30.697191363368162</v>
      </c>
      <c r="H225" s="42">
        <f>25.56892056175*Deflactores!$X$5</f>
        <v>29.976183918639965</v>
      </c>
      <c r="I225" s="42">
        <f>25.32357174979*Deflactores!$Y$5</f>
        <v>28.221050214778057</v>
      </c>
      <c r="J225" s="42">
        <f>23.99464129079*Deflactores!$Z$5</f>
        <v>25.442251519089623</v>
      </c>
      <c r="K225" s="42">
        <f>9.63141430279*Deflactores!$AA$5</f>
        <v>9.6314143027900005</v>
      </c>
    </row>
    <row r="226" spans="3:11" x14ac:dyDescent="0.2">
      <c r="C226" s="88" t="s">
        <v>126</v>
      </c>
      <c r="D226" s="50">
        <f>407.595871002729*Deflactores!$T$5</f>
        <v>633.9520696683071</v>
      </c>
      <c r="E226" s="50">
        <f>496.58345123833*Deflactores!$U$5</f>
        <v>760.12048932070161</v>
      </c>
      <c r="F226" s="50">
        <f>408.45891409809*Deflactores!$V$5</f>
        <v>591.96006886693783</v>
      </c>
      <c r="G226" s="50">
        <f>402.01373598692*Deflactores!$W$5</f>
        <v>515.04541982458284</v>
      </c>
      <c r="H226" s="50">
        <f>473.59726467977*Deflactores!$X$5</f>
        <v>555.23027165421888</v>
      </c>
      <c r="I226" s="50">
        <f>536.78853533416*Deflactores!$Y$5</f>
        <v>598.20693384250262</v>
      </c>
      <c r="J226" s="50">
        <f>619.484416939449*Deflactores!$Z$5</f>
        <v>656.85826084758821</v>
      </c>
      <c r="K226" s="50">
        <f>324.51402016292*Deflactores!$AA$5</f>
        <v>324.51402016292002</v>
      </c>
    </row>
    <row r="227" spans="3:11" x14ac:dyDescent="0.2">
      <c r="C227" s="87" t="s">
        <v>127</v>
      </c>
      <c r="D227" s="42">
        <f>534.54812548138*Deflactores!$T$5</f>
        <v>831.40658332126691</v>
      </c>
      <c r="E227" s="42">
        <f>574.04592685615*Deflactores!$U$5</f>
        <v>878.69233202665407</v>
      </c>
      <c r="F227" s="42">
        <f>619.06556045522*Deflactores!$V$5</f>
        <v>897.18226032451537</v>
      </c>
      <c r="G227" s="42">
        <f>722.3133069686*Deflactores!$W$5</f>
        <v>925.40161474639183</v>
      </c>
      <c r="H227" s="42">
        <f>853.21862736429*Deflactores!$X$5</f>
        <v>1000.2862042968853</v>
      </c>
      <c r="I227" s="42">
        <f>956.774522803159*Deflactores!$Y$5</f>
        <v>1066.2469780737852</v>
      </c>
      <c r="J227" s="42">
        <f>1096.79041804132*Deflactores!$Z$5</f>
        <v>1162.9604019229737</v>
      </c>
      <c r="K227" s="42">
        <f>610.96041131263*Deflactores!$AA$5</f>
        <v>610.96041131262996</v>
      </c>
    </row>
    <row r="228" spans="3:11" x14ac:dyDescent="0.2">
      <c r="C228" s="88" t="s">
        <v>128</v>
      </c>
      <c r="D228" s="50">
        <f>227.118611884309*Deflactores!$T$5</f>
        <v>353.24772478690454</v>
      </c>
      <c r="E228" s="50">
        <f>225.727638707829*Deflactores!$U$5</f>
        <v>345.52138771425427</v>
      </c>
      <c r="F228" s="50">
        <f>197.036787482599*Deflactores!$V$5</f>
        <v>285.55604067318581</v>
      </c>
      <c r="G228" s="50">
        <f>178.20416570913*Deflactores!$W$5</f>
        <v>228.30871466823382</v>
      </c>
      <c r="H228" s="50">
        <f>270.56885585278*Deflactores!$X$5</f>
        <v>317.20626477412026</v>
      </c>
      <c r="I228" s="50">
        <f>300.46375677697*Deflactores!$Y$5</f>
        <v>334.8422904756336</v>
      </c>
      <c r="J228" s="50">
        <f>306.28600848734*Deflactores!$Z$5</f>
        <v>324.76441594915627</v>
      </c>
      <c r="K228" s="50">
        <f>187.8997010217*Deflactores!$AA$5</f>
        <v>187.8997010217</v>
      </c>
    </row>
    <row r="229" spans="3:11" x14ac:dyDescent="0.2">
      <c r="C229" s="87" t="s">
        <v>129</v>
      </c>
      <c r="D229" s="42">
        <f>29514.9401043617*Deflactores!$T$5</f>
        <v>45905.905080110446</v>
      </c>
      <c r="E229" s="42">
        <f>31409.7792232463*Deflactores!$U$5</f>
        <v>48078.961739646307</v>
      </c>
      <c r="F229" s="42">
        <f>33266.4461325916*Deflactores!$V$5</f>
        <v>48211.477492392623</v>
      </c>
      <c r="G229" s="42">
        <f>36300.5069287367*Deflactores!$W$5</f>
        <v>46506.893066869445</v>
      </c>
      <c r="H229" s="42">
        <f>41510.2082578213*Deflactores!$X$5</f>
        <v>48665.239278772846</v>
      </c>
      <c r="I229" s="42">
        <f>46451.8398199497*Deflactores!$Y$5</f>
        <v>51766.777494114693</v>
      </c>
      <c r="J229" s="42">
        <f>51917.9186460419*Deflactores!$Z$5</f>
        <v>55050.155929909357</v>
      </c>
      <c r="K229" s="42">
        <f>26101.0178582826*Deflactores!$AA$5</f>
        <v>26101.017858282601</v>
      </c>
    </row>
    <row r="230" spans="3:11" x14ac:dyDescent="0.2">
      <c r="C230" s="88" t="s">
        <v>130</v>
      </c>
      <c r="D230" s="50">
        <f>35.19635672401*Deflactores!$T$5</f>
        <v>54.74246619593648</v>
      </c>
      <c r="E230" s="50">
        <f>37.52763321301*Deflactores!$U$5</f>
        <v>57.443563312041277</v>
      </c>
      <c r="F230" s="50">
        <f>35.65260900663*Deflactores!$V$5</f>
        <v>51.669629807081229</v>
      </c>
      <c r="G230" s="50">
        <f>48.6718256948099*Deflactores!$W$5</f>
        <v>62.356578033512534</v>
      </c>
      <c r="H230" s="50">
        <f>47.58309044185*Deflactores!$X$5</f>
        <v>55.784891937751446</v>
      </c>
      <c r="I230" s="50">
        <f>60.11913009778*Deflactores!$Y$5</f>
        <v>66.997855046742913</v>
      </c>
      <c r="J230" s="50">
        <f>44.59167876021*Deflactores!$Z$5</f>
        <v>47.281919863964625</v>
      </c>
      <c r="K230" s="50">
        <f>23.0729912438099*Deflactores!$AA$5</f>
        <v>23.072991243809899</v>
      </c>
    </row>
    <row r="231" spans="3:11" x14ac:dyDescent="0.2">
      <c r="C231" s="87" t="s">
        <v>131</v>
      </c>
      <c r="D231" s="42">
        <f>37361.7204136128*Deflactores!$T$5</f>
        <v>58110.353091432298</v>
      </c>
      <c r="E231" s="42">
        <f>40589.7107278951*Deflactores!$U$5</f>
        <v>62130.686600479865</v>
      </c>
      <c r="F231" s="42">
        <f>43190.8427739365*Deflactores!$V$5</f>
        <v>62594.433320998949</v>
      </c>
      <c r="G231" s="42">
        <f>44157.9556841809*Deflactores!$W$5</f>
        <v>56573.57146795169</v>
      </c>
      <c r="H231" s="42">
        <f>51103.8900502773*Deflactores!$X$5</f>
        <v>59912.564685922756</v>
      </c>
      <c r="I231" s="42">
        <f>61803.528248381*Deflactores!$Y$5</f>
        <v>68874.979066192682</v>
      </c>
      <c r="J231" s="42">
        <f>71874.203741382*Deflactores!$Z$5</f>
        <v>76210.414948959107</v>
      </c>
      <c r="K231" s="42">
        <f>39498.1235022293*Deflactores!$AA$5</f>
        <v>39498.123502229297</v>
      </c>
    </row>
    <row r="232" spans="3:11" x14ac:dyDescent="0.2">
      <c r="C232" s="88" t="s">
        <v>132</v>
      </c>
      <c r="D232" s="50">
        <f>22.44254516431*Deflactores!$T$5</f>
        <v>34.905893233259775</v>
      </c>
      <c r="E232" s="50">
        <f>23.14621624126*Deflactores!$U$5</f>
        <v>35.429922546463004</v>
      </c>
      <c r="F232" s="50">
        <f>29.9345987850299*Deflactores!$V$5</f>
        <v>43.382789667885746</v>
      </c>
      <c r="G232" s="50">
        <f>31.83422796036*Deflactores!$W$5</f>
        <v>40.784858418789348</v>
      </c>
      <c r="H232" s="50">
        <f>34.64410383365*Deflactores!$X$5</f>
        <v>40.61563825918801</v>
      </c>
      <c r="I232" s="50">
        <f>38.9439444095*Deflactores!$Y$5</f>
        <v>43.399841918079296</v>
      </c>
      <c r="J232" s="50">
        <f>41.86871894285*Deflactores!$Z$5</f>
        <v>44.394682346634497</v>
      </c>
      <c r="K232" s="50">
        <f>21.80083663296*Deflactores!$AA$5</f>
        <v>21.800836632959999</v>
      </c>
    </row>
    <row r="233" spans="3:11" x14ac:dyDescent="0.2">
      <c r="C233" s="87" t="s">
        <v>133</v>
      </c>
      <c r="D233" s="42">
        <f>3520.08104222168*Deflactores!$T$5</f>
        <v>5474.939323175</v>
      </c>
      <c r="E233" s="42">
        <f>3641.55223334158*Deflactores!$U$5</f>
        <v>5574.1254739598926</v>
      </c>
      <c r="F233" s="42">
        <f>3956.58486274052*Deflactores!$V$5</f>
        <v>5734.0901789287545</v>
      </c>
      <c r="G233" s="42">
        <f>4334.3365460785*Deflactores!$W$5</f>
        <v>5552.9948014230704</v>
      </c>
      <c r="H233" s="42">
        <f>4963.60928468713*Deflactores!$X$5</f>
        <v>5819.1766233821327</v>
      </c>
      <c r="I233" s="42">
        <f>5385.85522312093*Deflactores!$Y$5</f>
        <v>6002.0952890455064</v>
      </c>
      <c r="J233" s="42">
        <f>6087.8641653111*Deflactores!$Z$5</f>
        <v>6455.1484404707289</v>
      </c>
      <c r="K233" s="42">
        <f>2854.83736730306*Deflactores!$AA$5</f>
        <v>2854.8373673030601</v>
      </c>
    </row>
    <row r="234" spans="3:11" x14ac:dyDescent="0.2">
      <c r="C234" s="88" t="s">
        <v>134</v>
      </c>
      <c r="D234" s="50">
        <f>7755.31104425492*Deflactores!$T$5</f>
        <v>12062.181776600893</v>
      </c>
      <c r="E234" s="50">
        <f>16131.394278164*Deflactores!$U$5</f>
        <v>24692.331735111049</v>
      </c>
      <c r="F234" s="50">
        <f>17660.0754668316*Deflactores!$V$5</f>
        <v>25593.907070492889</v>
      </c>
      <c r="G234" s="50">
        <f>12838.0795146601*Deflactores!$W$5</f>
        <v>16447.681911009688</v>
      </c>
      <c r="H234" s="50">
        <f>32685.3952169124*Deflactores!$X$5</f>
        <v>38319.31098183764</v>
      </c>
      <c r="I234" s="50">
        <f>21569.510934969*Deflactores!$Y$5</f>
        <v>24037.456375363498</v>
      </c>
      <c r="J234" s="50">
        <f>16204.079209475*Deflactores!$Z$5</f>
        <v>17181.680437996678</v>
      </c>
      <c r="K234" s="50">
        <f>7516.12829764459*Deflactores!$AA$5</f>
        <v>7516.12829764459</v>
      </c>
    </row>
    <row r="235" spans="3:11" x14ac:dyDescent="0.2">
      <c r="C235" s="87" t="s">
        <v>135</v>
      </c>
      <c r="D235" s="42">
        <f>0*Deflactores!$T$5</f>
        <v>0</v>
      </c>
      <c r="E235" s="42">
        <f>0*Deflactores!$U$5</f>
        <v>0</v>
      </c>
      <c r="F235" s="42">
        <f>0*Deflactores!$V$5</f>
        <v>0</v>
      </c>
      <c r="G235" s="42">
        <f>0*Deflactores!$W$5</f>
        <v>0</v>
      </c>
      <c r="H235" s="42">
        <f>2.127776892*Deflactores!$X$5</f>
        <v>2.4945375108185122</v>
      </c>
      <c r="I235" s="42">
        <f>66.79394174573*Deflactores!$Y$5</f>
        <v>74.436386883885689</v>
      </c>
      <c r="J235" s="42">
        <f>103.4797454119*Deflactores!$Z$5</f>
        <v>109.72273675587168</v>
      </c>
      <c r="K235" s="42">
        <f>49.78123324794*Deflactores!$AA$5</f>
        <v>49.781233247940001</v>
      </c>
    </row>
    <row r="236" spans="3:11" x14ac:dyDescent="0.2">
      <c r="C236" s="88" t="s">
        <v>136</v>
      </c>
      <c r="D236" s="50">
        <f>819.86160529885*Deflactores!$T$5</f>
        <v>1275.1673863676276</v>
      </c>
      <c r="E236" s="50">
        <f>6777.80608878861*Deflactores!$U$5</f>
        <v>10374.790516847501</v>
      </c>
      <c r="F236" s="50">
        <f>8565.83834604156*Deflactores!$V$5</f>
        <v>12414.061934288264</v>
      </c>
      <c r="G236" s="50">
        <f>891.87539829558*Deflactores!$W$5</f>
        <v>1142.6384171144584</v>
      </c>
      <c r="H236" s="50">
        <f>1146.64449478443*Deflactores!$X$5</f>
        <v>1344.2892977020367</v>
      </c>
      <c r="I236" s="50">
        <f>1088.61545742351*Deflactores!$Y$5</f>
        <v>1213.1729201583591</v>
      </c>
      <c r="J236" s="50">
        <f>1108.92199015125*Deflactores!$Z$5</f>
        <v>1175.8238786135496</v>
      </c>
      <c r="K236" s="50">
        <f>329.24552165036*Deflactores!$AA$5</f>
        <v>329.24552165035999</v>
      </c>
    </row>
    <row r="237" spans="3:11" x14ac:dyDescent="0.2">
      <c r="C237" s="87" t="s">
        <v>137</v>
      </c>
      <c r="D237" s="42">
        <f>138.80745074279*Deflactores!$T$5</f>
        <v>215.89343009606722</v>
      </c>
      <c r="E237" s="42">
        <f>142.60560799962*Deflactores!$U$5</f>
        <v>218.28646174623142</v>
      </c>
      <c r="F237" s="42">
        <f>146.11112293388*Deflactores!$V$5</f>
        <v>211.7518981931056</v>
      </c>
      <c r="G237" s="42">
        <f>166.55224488763*Deflactores!$W$5</f>
        <v>213.38069625975953</v>
      </c>
      <c r="H237" s="42">
        <f>202.93134764895*Deflactores!$X$5</f>
        <v>237.9102154622224</v>
      </c>
      <c r="I237" s="42">
        <f>225.93222187271*Deflactores!$Y$5</f>
        <v>251.78298865597429</v>
      </c>
      <c r="J237" s="42">
        <f>248.320785337949*Deflactores!$Z$5</f>
        <v>263.30211822799674</v>
      </c>
      <c r="K237" s="42">
        <f>129.28174424754*Deflactores!$AA$5</f>
        <v>129.28174424753999</v>
      </c>
    </row>
    <row r="238" spans="3:11" x14ac:dyDescent="0.2">
      <c r="C238" s="88" t="s">
        <v>138</v>
      </c>
      <c r="D238" s="50">
        <f>86.1550347765099*Deflactores!$T$5</f>
        <v>134.0007750190083</v>
      </c>
      <c r="E238" s="50">
        <f>90.77501368117*Deflactores!$U$5</f>
        <v>138.94935009485147</v>
      </c>
      <c r="F238" s="50">
        <f>103.43565574278*Deflactores!$V$5</f>
        <v>149.90437418165587</v>
      </c>
      <c r="G238" s="50">
        <f>97.92361061966*Deflactores!$W$5</f>
        <v>125.45617880077295</v>
      </c>
      <c r="H238" s="50">
        <f>101.14452172284*Deflactores!$X$5</f>
        <v>118.57859928832342</v>
      </c>
      <c r="I238" s="50">
        <f>121.15914611053*Deflactores!$Y$5</f>
        <v>135.02196215244612</v>
      </c>
      <c r="J238" s="50">
        <f>135.22252019535*Deflactores!$Z$5</f>
        <v>143.38057102674028</v>
      </c>
      <c r="K238" s="50">
        <f>59.72010359831*Deflactores!$AA$5</f>
        <v>59.720103598309997</v>
      </c>
    </row>
    <row r="239" spans="3:11" x14ac:dyDescent="0.2">
      <c r="C239" s="87" t="s">
        <v>160</v>
      </c>
      <c r="D239" s="42">
        <f>1041.62321457086*Deflactores!$T$5</f>
        <v>1620.0831256392453</v>
      </c>
      <c r="E239" s="42">
        <f>1259.10179664692*Deflactores!$U$5</f>
        <v>1927.3076285268639</v>
      </c>
      <c r="F239" s="42">
        <f>1414.50821090615*Deflactores!$V$5</f>
        <v>2049.9794447863878</v>
      </c>
      <c r="G239" s="42">
        <f>1571.53993947265*Deflactores!$W$5</f>
        <v>2013.3999797537413</v>
      </c>
      <c r="H239" s="42">
        <f>1953.77696586819*Deflactores!$X$5</f>
        <v>2290.5455677499576</v>
      </c>
      <c r="I239" s="42">
        <f>2486.1018910568*Deflactores!$Y$5</f>
        <v>2770.5572894609727</v>
      </c>
      <c r="J239" s="42">
        <f>3086.9264336193*Deflactores!$Z$5</f>
        <v>3273.1624446169312</v>
      </c>
      <c r="K239" s="42">
        <f>1478.56861984228*Deflactores!$AA$5</f>
        <v>1478.56861984228</v>
      </c>
    </row>
    <row r="240" spans="3:11" x14ac:dyDescent="0.2">
      <c r="C240" s="88" t="s">
        <v>161</v>
      </c>
      <c r="D240" s="50">
        <f>1674.81882704189*Deflactores!$T$5</f>
        <v>2604.9205530728836</v>
      </c>
      <c r="E240" s="50">
        <f>1862.46619374027*Deflactores!$U$5</f>
        <v>2850.8777547837954</v>
      </c>
      <c r="F240" s="50">
        <f>1862.81914666019*Deflactores!$V$5</f>
        <v>2699.6951523961679</v>
      </c>
      <c r="G240" s="50">
        <f>2098.01764157386*Deflactores!$W$5</f>
        <v>2687.904119373045</v>
      </c>
      <c r="H240" s="50">
        <f>2461.43018830802*Deflactores!$X$5</f>
        <v>2885.7019540352403</v>
      </c>
      <c r="I240" s="50">
        <f>2974.38249550476*Deflactores!$Y$5</f>
        <v>3314.7061004256948</v>
      </c>
      <c r="J240" s="50">
        <f>3304.02150133778*Deflactores!$Z$5</f>
        <v>3503.3549800880674</v>
      </c>
      <c r="K240" s="50">
        <f>1549.77201397471*Deflactores!$AA$5</f>
        <v>1549.77201397471</v>
      </c>
    </row>
    <row r="241" spans="1:11" x14ac:dyDescent="0.2">
      <c r="C241" s="87" t="s">
        <v>140</v>
      </c>
      <c r="D241" s="42">
        <f>169.309340192769*Deflactores!$T$5</f>
        <v>263.33438159058971</v>
      </c>
      <c r="E241" s="42">
        <f>194.591300737639*Deflactores!$U$5</f>
        <v>297.86098261107122</v>
      </c>
      <c r="F241" s="42">
        <f>204.8845824458*Deflactores!$V$5</f>
        <v>296.92947649873969</v>
      </c>
      <c r="G241" s="42">
        <f>275.09148683978*Deflactores!$W$5</f>
        <v>352.43723695593593</v>
      </c>
      <c r="H241" s="42">
        <f>266.4704148511*Deflactores!$X$5</f>
        <v>312.40138374876159</v>
      </c>
      <c r="I241" s="42">
        <f>270.57342965147*Deflactores!$Y$5</f>
        <v>301.531964780686</v>
      </c>
      <c r="J241" s="42">
        <f>265.82032903053*Deflactores!$Z$5</f>
        <v>281.85741925126473</v>
      </c>
      <c r="K241" s="42">
        <f>170.47190415651*Deflactores!$AA$5</f>
        <v>170.47190415650999</v>
      </c>
    </row>
    <row r="242" spans="1:11" x14ac:dyDescent="0.2">
      <c r="C242" s="88" t="s">
        <v>141</v>
      </c>
      <c r="D242" s="50">
        <f>1584.79290225124*Deflactores!$T$5</f>
        <v>2464.8992098624326</v>
      </c>
      <c r="E242" s="50">
        <f>1750.98694379723*Deflactores!$U$5</f>
        <v>2680.2364218829548</v>
      </c>
      <c r="F242" s="50">
        <f>2155.1801494663*Deflactores!$V$5</f>
        <v>3123.4000426107823</v>
      </c>
      <c r="G242" s="50">
        <f>2483.0236027618*Deflactores!$W$5</f>
        <v>3181.1597948991698</v>
      </c>
      <c r="H242" s="50">
        <f>2942.38224379191*Deflactores!$X$5</f>
        <v>3449.5547469763851</v>
      </c>
      <c r="I242" s="50">
        <f>3371.05082261323*Deflactores!$Y$5</f>
        <v>3756.7605186786404</v>
      </c>
      <c r="J242" s="50">
        <f>3598.75622591072*Deflactores!$Z$5</f>
        <v>3815.8712166559635</v>
      </c>
      <c r="K242" s="50">
        <f>1811.25794607719*Deflactores!$AA$5</f>
        <v>1811.2579460771899</v>
      </c>
    </row>
    <row r="243" spans="1:11" x14ac:dyDescent="0.2">
      <c r="C243" s="87" t="s">
        <v>142</v>
      </c>
      <c r="D243" s="42">
        <f>78.25621735736*Deflactores!$T$5</f>
        <v>121.71539136562821</v>
      </c>
      <c r="E243" s="42">
        <f>79.4729415690399*Deflactores!$U$5</f>
        <v>121.64926374926955</v>
      </c>
      <c r="F243" s="42">
        <f>224.56627628847*Deflactores!$V$5</f>
        <v>325.45321888847496</v>
      </c>
      <c r="G243" s="42">
        <f>405.2790715029*Deflactores!$W$5</f>
        <v>519.22884927275175</v>
      </c>
      <c r="H243" s="42">
        <f>222.29599933127*Deflactores!$X$5</f>
        <v>260.61271316632946</v>
      </c>
      <c r="I243" s="42">
        <f>246.29604005652*Deflactores!$Y$5</f>
        <v>274.47679903975944</v>
      </c>
      <c r="J243" s="42">
        <f>237.280160702169*Deflactores!$Z$5</f>
        <v>251.59540648735529</v>
      </c>
      <c r="K243" s="42">
        <f>400.01049326615*Deflactores!$AA$5</f>
        <v>400.01049326614998</v>
      </c>
    </row>
    <row r="244" spans="1:11" x14ac:dyDescent="0.2">
      <c r="C244" s="88" t="s">
        <v>143</v>
      </c>
      <c r="D244" s="50">
        <f>567.97958582633*Deflactores!$T$5</f>
        <v>883.40402732278642</v>
      </c>
      <c r="E244" s="50">
        <f>1729.4800182068*Deflactores!$U$5</f>
        <v>2647.3157621976288</v>
      </c>
      <c r="F244" s="50">
        <f>3585.52211482809*Deflactores!$V$5</f>
        <v>5196.3265943263432</v>
      </c>
      <c r="G244" s="50">
        <f>914.481658240059*Deflactores!$W$5</f>
        <v>1171.6007375565307</v>
      </c>
      <c r="H244" s="50">
        <f>726.76705567876*Deflactores!$X$5</f>
        <v>852.03842979689296</v>
      </c>
      <c r="I244" s="50">
        <f>712.29303404206*Deflactores!$Y$5</f>
        <v>793.79234809182424</v>
      </c>
      <c r="J244" s="50">
        <f>1328.96235205607*Deflactores!$Z$5</f>
        <v>1409.1393995287456</v>
      </c>
      <c r="K244" s="50">
        <f>383.513804599959*Deflactores!$AA$5</f>
        <v>383.51380459995897</v>
      </c>
    </row>
    <row r="245" spans="1:11" x14ac:dyDescent="0.2">
      <c r="C245" s="87" t="s">
        <v>144</v>
      </c>
      <c r="D245" s="42">
        <f>4146.96161893015*Deflactores!$T$5</f>
        <v>6449.9546933295596</v>
      </c>
      <c r="E245" s="42">
        <f>4303.76763789497*Deflactores!$U$5</f>
        <v>6587.7788610987345</v>
      </c>
      <c r="F245" s="42">
        <f>4651.07505393403*Deflactores!$V$5</f>
        <v>6740.5817677194846</v>
      </c>
      <c r="G245" s="42">
        <f>5148.81283218463*Deflactores!$W$5</f>
        <v>6596.4722828202421</v>
      </c>
      <c r="H245" s="42">
        <f>6254.43319146432*Deflactores!$X$5</f>
        <v>7332.497248032003</v>
      </c>
      <c r="I245" s="42">
        <f>7643.24711338602*Deflactores!$Y$5</f>
        <v>8517.7739823614356</v>
      </c>
      <c r="J245" s="42">
        <f>8727.96979723988*Deflactores!$Z$5</f>
        <v>9254.5331326802934</v>
      </c>
      <c r="K245" s="42">
        <f>4006.28855013111*Deflactores!$AA$5</f>
        <v>4006.2885501311098</v>
      </c>
    </row>
    <row r="246" spans="1:11" x14ac:dyDescent="0.2">
      <c r="C246" s="88" t="s">
        <v>145</v>
      </c>
      <c r="D246" s="50">
        <f>1287.83655648011*Deflactores!$T$5</f>
        <v>2003.0297371918302</v>
      </c>
      <c r="E246" s="50">
        <f>490.6920827208*Deflactores!$U$5</f>
        <v>751.10256915210493</v>
      </c>
      <c r="F246" s="50">
        <f>1099.57400858292*Deflactores!$V$5</f>
        <v>1593.560290591988</v>
      </c>
      <c r="G246" s="50">
        <f>2869.98121737141*Deflactores!$W$5</f>
        <v>3676.9158580139147</v>
      </c>
      <c r="H246" s="50">
        <f>2418.80339096578*Deflactores!$X$5</f>
        <v>2835.7276614597026</v>
      </c>
      <c r="I246" s="50">
        <f>725.02362097556*Deflactores!$Y$5</f>
        <v>807.97954635373139</v>
      </c>
      <c r="J246" s="50">
        <f>1988.76825603714*Deflactores!$Z$5</f>
        <v>2108.7517654493859</v>
      </c>
      <c r="K246" s="50">
        <f>1879.37277305093*Deflactores!$AA$5</f>
        <v>1879.3727730509299</v>
      </c>
    </row>
    <row r="247" spans="1:11" x14ac:dyDescent="0.2">
      <c r="C247" s="87" t="s">
        <v>146</v>
      </c>
      <c r="D247" s="42">
        <f>652.834399596117*Deflactores!$T$5</f>
        <v>1015.3825105157997</v>
      </c>
      <c r="E247" s="42">
        <f>696.99038734988*Deflactores!$U$5</f>
        <v>1066.8834673468525</v>
      </c>
      <c r="F247" s="42">
        <f>796.054412517849*Deflactores!$V$5</f>
        <v>1153.6837821165307</v>
      </c>
      <c r="G247" s="42">
        <f>1069.72694034281*Deflactores!$W$5</f>
        <v>1370.4953631346943</v>
      </c>
      <c r="H247" s="42">
        <f>1098.84329694931*Deflactores!$X$5</f>
        <v>1288.2487036387736</v>
      </c>
      <c r="I247" s="42">
        <f>1080.01866595528*Deflactores!$Y$5</f>
        <v>1203.5924989560101</v>
      </c>
      <c r="J247" s="42">
        <f>1176.02797004011*Deflactores!$Z$5</f>
        <v>1246.9784000784186</v>
      </c>
      <c r="K247" s="42">
        <f>531.91027167777*Deflactores!$AA$5</f>
        <v>531.91027167776997</v>
      </c>
    </row>
    <row r="248" spans="1:11" x14ac:dyDescent="0.2">
      <c r="C248" s="88" t="s">
        <v>162</v>
      </c>
      <c r="D248" s="50">
        <f>28341.6754276778*Deflactores!$T$5</f>
        <v>44081.074106669366</v>
      </c>
      <c r="E248" s="50">
        <f>33399.0700136068*Deflactores!$U$5</f>
        <v>51123.969955685847</v>
      </c>
      <c r="F248" s="50">
        <f>42198.0584531454*Deflactores!$V$5</f>
        <v>61155.638243645386</v>
      </c>
      <c r="G248" s="50">
        <f>40740.220013897*Deflactores!$W$5</f>
        <v>52194.892468764214</v>
      </c>
      <c r="H248" s="50">
        <f>48138.2387114923*Deflactores!$X$5</f>
        <v>56435.729996899194</v>
      </c>
      <c r="I248" s="50">
        <f>56315.7278521713*Deflactores!$Y$5</f>
        <v>62759.274216958795</v>
      </c>
      <c r="J248" s="50">
        <f>62785.0842960598*Deflactores!$Z$5</f>
        <v>66572.943806446245</v>
      </c>
      <c r="K248" s="50">
        <f>35133.7335398337*Deflactores!$AA$5</f>
        <v>35133.733539833702</v>
      </c>
    </row>
    <row r="249" spans="1:11" x14ac:dyDescent="0.2">
      <c r="C249" s="87" t="s">
        <v>148</v>
      </c>
      <c r="D249" s="42">
        <f>259.78888794685*Deflactores!$T$5</f>
        <v>404.06126486406635</v>
      </c>
      <c r="E249" s="42">
        <f>312.25130553392*Deflactores!$U$5</f>
        <v>477.96319946142989</v>
      </c>
      <c r="F249" s="42">
        <f>356.32473052329*Deflactores!$V$5</f>
        <v>516.40447726623904</v>
      </c>
      <c r="G249" s="42">
        <f>357.949919800099*Deflactores!$W$5</f>
        <v>458.59245646675157</v>
      </c>
      <c r="H249" s="42">
        <f>437.92387793794*Deflactores!$X$5</f>
        <v>513.40793506432101</v>
      </c>
      <c r="I249" s="42">
        <f>573.84912724069*Deflactores!$Y$5</f>
        <v>639.50793338227936</v>
      </c>
      <c r="J249" s="42">
        <f>640.88192650466*Deflactores!$Z$5</f>
        <v>679.54669422080065</v>
      </c>
      <c r="K249" s="42">
        <f>325.336719020979*Deflactores!$AA$5</f>
        <v>325.33671902097899</v>
      </c>
    </row>
    <row r="250" spans="1:11" x14ac:dyDescent="0.2">
      <c r="C250" s="88" t="s">
        <v>149</v>
      </c>
      <c r="D250" s="50">
        <f>63.06941549048*Deflactores!$T$5</f>
        <v>98.094679871505576</v>
      </c>
      <c r="E250" s="50">
        <f>53.49254585887*Deflactores!$U$5</f>
        <v>81.881061545362741</v>
      </c>
      <c r="F250" s="50">
        <f>65.41212541591*Deflactores!$V$5</f>
        <v>94.798680918580843</v>
      </c>
      <c r="G250" s="50">
        <f>92.25661037743*Deflactores!$W$5</f>
        <v>118.19582359987422</v>
      </c>
      <c r="H250" s="50">
        <f>92.48053646739*Deflactores!$X$5</f>
        <v>108.4212203384168</v>
      </c>
      <c r="I250" s="50">
        <f>112.836237690289*Deflactores!$Y$5</f>
        <v>125.74676121391467</v>
      </c>
      <c r="J250" s="50">
        <f>98.57549336688*Deflactores!$Z$5</f>
        <v>104.52260842178812</v>
      </c>
      <c r="K250" s="50">
        <f>41.83242777455*Deflactores!$AA$5</f>
        <v>41.832427774549998</v>
      </c>
    </row>
    <row r="251" spans="1:11" x14ac:dyDescent="0.2">
      <c r="C251" s="87" t="s">
        <v>163</v>
      </c>
      <c r="D251" s="42">
        <f>18168.7878332584*Deflactores!$T$5</f>
        <v>28258.727503599766</v>
      </c>
      <c r="E251" s="42">
        <f>22897.2988142007*Deflactores!$U$5</f>
        <v>35048.904540355601</v>
      </c>
      <c r="F251" s="42">
        <f>22240.3032253927*Deflactores!$V$5</f>
        <v>32231.813224091919</v>
      </c>
      <c r="G251" s="42">
        <f>18304.6048790854*Deflactores!$W$5</f>
        <v>23451.195968533746</v>
      </c>
      <c r="H251" s="42">
        <f>22204.3720395238*Deflactores!$X$5</f>
        <v>26031.694941803078</v>
      </c>
      <c r="I251" s="42">
        <f>27544.2476624817*Deflactores!$Y$5</f>
        <v>30695.811953052213</v>
      </c>
      <c r="J251" s="42">
        <f>38669.9668552806*Deflactores!$Z$5</f>
        <v>41002.94774335908</v>
      </c>
      <c r="K251" s="42">
        <f>17623.1876151981*Deflactores!$AA$5</f>
        <v>17623.187615198101</v>
      </c>
    </row>
    <row r="252" spans="1:11" x14ac:dyDescent="0.2">
      <c r="C252" s="88" t="s">
        <v>150</v>
      </c>
      <c r="D252" s="50">
        <f>147.78395671095*Deflactores!$T$5</f>
        <v>229.85499090114922</v>
      </c>
      <c r="E252" s="50">
        <f>147.04389850981*Deflactores!$U$5</f>
        <v>225.08015482226975</v>
      </c>
      <c r="F252" s="50">
        <f>289.38977432158*Deflactores!$V$5</f>
        <v>419.39883014929438</v>
      </c>
      <c r="G252" s="50">
        <f>327.63152807985*Deflactores!$W$5</f>
        <v>419.74963246814605</v>
      </c>
      <c r="H252" s="50">
        <f>406.40736745863*Deflactores!$X$5</f>
        <v>476.45898712887953</v>
      </c>
      <c r="I252" s="50">
        <f>386.930936752799*Deflactores!$Y$5</f>
        <v>431.20289284794143</v>
      </c>
      <c r="J252" s="50">
        <f>449.876488610739*Deflactores!$Z$5</f>
        <v>477.01779064113845</v>
      </c>
      <c r="K252" s="50">
        <f>248.96271185147*Deflactores!$AA$5</f>
        <v>248.96271185147</v>
      </c>
    </row>
    <row r="253" spans="1:11" x14ac:dyDescent="0.2">
      <c r="C253" s="87" t="s">
        <v>151</v>
      </c>
      <c r="D253" s="42">
        <f>2184.34873721739*Deflactores!$T$5</f>
        <v>3397.4151883080431</v>
      </c>
      <c r="E253" s="42">
        <f>2334.07401490468*Deflactores!$U$5</f>
        <v>3572.7680370657017</v>
      </c>
      <c r="F253" s="42">
        <f>2718.89761447776*Deflactores!$V$5</f>
        <v>3940.3689417876108</v>
      </c>
      <c r="G253" s="42">
        <f>2645.99908813304*Deflactores!$W$5</f>
        <v>3389.9580765749897</v>
      </c>
      <c r="H253" s="42">
        <f>2922.82673025365*Deflactores!$X$5</f>
        <v>3426.6284889425106</v>
      </c>
      <c r="I253" s="42">
        <f>3756.1458252721*Deflactores!$Y$5</f>
        <v>4185.917413088142</v>
      </c>
      <c r="J253" s="42">
        <f>4331.82240967672*Deflactores!$Z$5</f>
        <v>4593.1636963177707</v>
      </c>
      <c r="K253" s="42">
        <f>2188.19263373984*Deflactores!$AA$5</f>
        <v>2188.1926337398399</v>
      </c>
    </row>
    <row r="254" spans="1:11" x14ac:dyDescent="0.2">
      <c r="C254" s="79" t="s">
        <v>179</v>
      </c>
      <c r="D254" s="44">
        <f t="shared" ref="D254:K254" si="11">+SUM(D223:D253)</f>
        <v>220286.77070664061</v>
      </c>
      <c r="E254" s="44">
        <f t="shared" si="11"/>
        <v>264122.39186213294</v>
      </c>
      <c r="F254" s="44">
        <f t="shared" si="11"/>
        <v>279672.827182554</v>
      </c>
      <c r="G254" s="44">
        <f t="shared" si="11"/>
        <v>231279.50038151827</v>
      </c>
      <c r="H254" s="44">
        <f t="shared" si="11"/>
        <v>266214.85006218246</v>
      </c>
      <c r="I254" s="44">
        <f t="shared" si="11"/>
        <v>276506.03186556854</v>
      </c>
      <c r="J254" s="44">
        <f t="shared" si="11"/>
        <v>298942.00034916087</v>
      </c>
      <c r="K254" s="44">
        <f t="shared" si="11"/>
        <v>146262.35443724945</v>
      </c>
    </row>
    <row r="255" spans="1:11" s="31" customFormat="1" x14ac:dyDescent="0.2">
      <c r="A255" s="5"/>
      <c r="B255" s="5"/>
      <c r="C255" s="72" t="str">
        <f>+'C1 Aprop Resumen 2000-2026'!B20</f>
        <v>* Información con corte a 30 de Junio</v>
      </c>
      <c r="D255" s="121">
        <f>+D254-'C6 Ejec. Nac 19-26'!D112</f>
        <v>2.6193447411060333E-10</v>
      </c>
      <c r="E255" s="121">
        <f>+E254-'C6 Ejec. Nac 19-26'!E112</f>
        <v>1.3969838619232178E-9</v>
      </c>
      <c r="F255" s="121">
        <f>+F254-'C6 Ejec. Nac 19-26'!F112</f>
        <v>0</v>
      </c>
      <c r="G255" s="121">
        <f>+G254-'C6 Ejec. Nac 19-26'!G112</f>
        <v>0</v>
      </c>
      <c r="H255" s="121">
        <f>+H254-'C6 Ejec. Nac 19-26'!H112</f>
        <v>9.3132257461547852E-10</v>
      </c>
      <c r="I255" s="121">
        <f>+I254-'C6 Ejec. Nac 19-26'!I112</f>
        <v>0</v>
      </c>
      <c r="J255" s="121">
        <f>+J254-'C6 Ejec. Nac 19-26'!J112</f>
        <v>0</v>
      </c>
      <c r="K255" s="121">
        <f>+K254-'C6 Ejec. Nac 19-26'!K112</f>
        <v>8.7311491370201111E-10</v>
      </c>
    </row>
    <row r="256" spans="1:11" x14ac:dyDescent="0.2">
      <c r="C256" s="1" t="s">
        <v>52</v>
      </c>
      <c r="E256" s="3"/>
      <c r="F256" s="3"/>
    </row>
    <row r="257" spans="2:12" x14ac:dyDescent="0.2">
      <c r="B257" s="9"/>
      <c r="E257" s="3"/>
      <c r="F257" s="3"/>
    </row>
    <row r="258" spans="2:12" x14ac:dyDescent="0.2">
      <c r="E258" s="3"/>
      <c r="F258" s="3"/>
    </row>
    <row r="259" spans="2:12" x14ac:dyDescent="0.2">
      <c r="E259" s="3"/>
      <c r="F259" s="3"/>
    </row>
    <row r="260" spans="2:12" ht="18" customHeight="1" x14ac:dyDescent="0.2">
      <c r="D260" s="164" t="s">
        <v>193</v>
      </c>
      <c r="E260" s="182"/>
      <c r="F260" s="182"/>
      <c r="G260" s="182"/>
      <c r="H260" s="182"/>
      <c r="I260" s="182"/>
      <c r="J260" s="182"/>
      <c r="K260" s="182"/>
      <c r="L260" s="182"/>
    </row>
    <row r="261" spans="2:12" ht="1.5" customHeight="1" x14ac:dyDescent="0.2">
      <c r="D261" s="28"/>
      <c r="E261" s="28"/>
      <c r="F261" s="28"/>
    </row>
    <row r="262" spans="2:12" x14ac:dyDescent="0.2">
      <c r="E262" s="29"/>
      <c r="F262" s="29"/>
    </row>
    <row r="263" spans="2:12" ht="13.5" customHeight="1" x14ac:dyDescent="0.2">
      <c r="C263" s="181" t="s">
        <v>120</v>
      </c>
      <c r="D263" s="155">
        <v>2019</v>
      </c>
      <c r="E263" s="155">
        <v>2020</v>
      </c>
      <c r="F263" s="155">
        <v>2021</v>
      </c>
      <c r="G263" s="155">
        <v>2022</v>
      </c>
      <c r="H263" s="155">
        <v>2023</v>
      </c>
      <c r="I263" s="155">
        <v>2024</v>
      </c>
      <c r="J263" s="155">
        <v>2025</v>
      </c>
      <c r="K263" s="155" t="s">
        <v>36</v>
      </c>
    </row>
    <row r="264" spans="2:12" ht="12" customHeight="1" thickBot="1" x14ac:dyDescent="0.25">
      <c r="C264" s="162"/>
      <c r="D264" s="156"/>
      <c r="E264" s="156"/>
      <c r="F264" s="156"/>
      <c r="G264" s="156"/>
      <c r="H264" s="156"/>
      <c r="I264" s="156"/>
      <c r="J264" s="156"/>
      <c r="K264" s="156"/>
    </row>
    <row r="265" spans="2:12" x14ac:dyDescent="0.2">
      <c r="C265" s="87" t="s">
        <v>123</v>
      </c>
      <c r="D265" s="47">
        <f t="shared" ref="D265:K274" si="12">+IFERROR(IF(D223&gt;0,+((D223/D14)*100)," "),"")</f>
        <v>74.686800027216663</v>
      </c>
      <c r="E265" s="47">
        <f t="shared" si="12"/>
        <v>80.468961046475371</v>
      </c>
      <c r="F265" s="47">
        <f t="shared" si="12"/>
        <v>92.582907709447753</v>
      </c>
      <c r="G265" s="47">
        <f t="shared" si="12"/>
        <v>91.60941885565191</v>
      </c>
      <c r="H265" s="47">
        <f t="shared" si="12"/>
        <v>75.847120621493787</v>
      </c>
      <c r="I265" s="47">
        <f t="shared" si="12"/>
        <v>76.56660814090543</v>
      </c>
      <c r="J265" s="47">
        <f t="shared" si="12"/>
        <v>91.226712492011146</v>
      </c>
      <c r="K265" s="47">
        <f t="shared" si="12"/>
        <v>55.861603775595434</v>
      </c>
    </row>
    <row r="266" spans="2:12" x14ac:dyDescent="0.2">
      <c r="C266" s="88" t="s">
        <v>124</v>
      </c>
      <c r="D266" s="116">
        <f t="shared" si="12"/>
        <v>94.358913353785539</v>
      </c>
      <c r="E266" s="116">
        <f t="shared" si="12"/>
        <v>95.125892117871842</v>
      </c>
      <c r="F266" s="116">
        <f t="shared" si="12"/>
        <v>92.443855433455781</v>
      </c>
      <c r="G266" s="116">
        <f t="shared" si="12"/>
        <v>90.71744779440796</v>
      </c>
      <c r="H266" s="116">
        <f t="shared" si="12"/>
        <v>93.959011902728079</v>
      </c>
      <c r="I266" s="116">
        <f t="shared" si="12"/>
        <v>95.069458072496531</v>
      </c>
      <c r="J266" s="116">
        <f t="shared" si="12"/>
        <v>97.215849851153251</v>
      </c>
      <c r="K266" s="116">
        <f t="shared" si="12"/>
        <v>48.046348764429972</v>
      </c>
    </row>
    <row r="267" spans="2:12" x14ac:dyDescent="0.2">
      <c r="C267" s="87" t="s">
        <v>125</v>
      </c>
      <c r="D267" s="47">
        <f t="shared" si="12"/>
        <v>94.812715484948853</v>
      </c>
      <c r="E267" s="47">
        <f t="shared" si="12"/>
        <v>90.810079500649678</v>
      </c>
      <c r="F267" s="47">
        <f t="shared" si="12"/>
        <v>94.850061437409806</v>
      </c>
      <c r="G267" s="47">
        <f t="shared" si="12"/>
        <v>86.804687626077111</v>
      </c>
      <c r="H267" s="47">
        <f t="shared" si="12"/>
        <v>93.917073936684019</v>
      </c>
      <c r="I267" s="47">
        <f t="shared" si="12"/>
        <v>91.046179967840629</v>
      </c>
      <c r="J267" s="47">
        <f t="shared" si="12"/>
        <v>88.784844663570624</v>
      </c>
      <c r="K267" s="47">
        <f t="shared" si="12"/>
        <v>30.782434792145718</v>
      </c>
    </row>
    <row r="268" spans="2:12" x14ac:dyDescent="0.2">
      <c r="C268" s="88" t="s">
        <v>126</v>
      </c>
      <c r="D268" s="116">
        <f t="shared" si="12"/>
        <v>90.543767264429135</v>
      </c>
      <c r="E268" s="116">
        <f t="shared" si="12"/>
        <v>96.28837282063742</v>
      </c>
      <c r="F268" s="116">
        <f t="shared" si="12"/>
        <v>94.141671597501684</v>
      </c>
      <c r="G268" s="116">
        <f t="shared" si="12"/>
        <v>98.268321515208186</v>
      </c>
      <c r="H268" s="116">
        <f t="shared" si="12"/>
        <v>96.229382684966041</v>
      </c>
      <c r="I268" s="116">
        <f t="shared" si="12"/>
        <v>69.807019784209501</v>
      </c>
      <c r="J268" s="116">
        <f t="shared" si="12"/>
        <v>89.443299572689668</v>
      </c>
      <c r="K268" s="116">
        <f t="shared" si="12"/>
        <v>32.954189123787728</v>
      </c>
    </row>
    <row r="269" spans="2:12" x14ac:dyDescent="0.2">
      <c r="C269" s="87" t="s">
        <v>127</v>
      </c>
      <c r="D269" s="47">
        <f t="shared" si="12"/>
        <v>95.905951640728631</v>
      </c>
      <c r="E269" s="47">
        <f t="shared" si="12"/>
        <v>94.521209645619933</v>
      </c>
      <c r="F269" s="47">
        <f t="shared" si="12"/>
        <v>93.707735036540626</v>
      </c>
      <c r="G269" s="47">
        <f t="shared" si="12"/>
        <v>94.716716560699695</v>
      </c>
      <c r="H269" s="47">
        <f t="shared" si="12"/>
        <v>94.054959809721439</v>
      </c>
      <c r="I269" s="47">
        <f t="shared" si="12"/>
        <v>86.304133003113719</v>
      </c>
      <c r="J269" s="47">
        <f t="shared" si="12"/>
        <v>80.252742544090793</v>
      </c>
      <c r="K269" s="47">
        <f t="shared" si="12"/>
        <v>53.934985267346825</v>
      </c>
    </row>
    <row r="270" spans="2:12" x14ac:dyDescent="0.2">
      <c r="C270" s="88" t="s">
        <v>128</v>
      </c>
      <c r="D270" s="116">
        <f t="shared" si="12"/>
        <v>97.283078193086141</v>
      </c>
      <c r="E270" s="116">
        <f t="shared" si="12"/>
        <v>96.401058130371496</v>
      </c>
      <c r="F270" s="116">
        <f t="shared" si="12"/>
        <v>82.94087769223654</v>
      </c>
      <c r="G270" s="116">
        <f t="shared" si="12"/>
        <v>93.513530167300587</v>
      </c>
      <c r="H270" s="116">
        <f t="shared" si="12"/>
        <v>91.557884774504231</v>
      </c>
      <c r="I270" s="116">
        <f t="shared" si="12"/>
        <v>89.745118543397879</v>
      </c>
      <c r="J270" s="116">
        <f t="shared" si="12"/>
        <v>90.710272157680862</v>
      </c>
      <c r="K270" s="116">
        <f t="shared" si="12"/>
        <v>45.527230462557981</v>
      </c>
    </row>
    <row r="271" spans="2:12" x14ac:dyDescent="0.2">
      <c r="C271" s="87" t="s">
        <v>129</v>
      </c>
      <c r="D271" s="47">
        <f t="shared" si="12"/>
        <v>97.404336479318971</v>
      </c>
      <c r="E271" s="47">
        <f t="shared" si="12"/>
        <v>97.62152104477201</v>
      </c>
      <c r="F271" s="47">
        <f t="shared" si="12"/>
        <v>96.586117573003094</v>
      </c>
      <c r="G271" s="47">
        <f t="shared" si="12"/>
        <v>96.486189461615538</v>
      </c>
      <c r="H271" s="47">
        <f t="shared" si="12"/>
        <v>95.680713739409157</v>
      </c>
      <c r="I271" s="47">
        <f t="shared" si="12"/>
        <v>92.982560587650156</v>
      </c>
      <c r="J271" s="47">
        <f t="shared" si="12"/>
        <v>94.244101976410064</v>
      </c>
      <c r="K271" s="47">
        <f t="shared" si="12"/>
        <v>44.196293673068269</v>
      </c>
    </row>
    <row r="272" spans="2:12" x14ac:dyDescent="0.2">
      <c r="C272" s="88" t="s">
        <v>130</v>
      </c>
      <c r="D272" s="116">
        <f t="shared" si="12"/>
        <v>93.531782249009311</v>
      </c>
      <c r="E272" s="116">
        <f t="shared" si="12"/>
        <v>94.781225347129151</v>
      </c>
      <c r="F272" s="116">
        <f t="shared" si="12"/>
        <v>89.394584068622109</v>
      </c>
      <c r="G272" s="116">
        <f t="shared" si="12"/>
        <v>92.117205415162957</v>
      </c>
      <c r="H272" s="116">
        <f t="shared" si="12"/>
        <v>83.374166406582518</v>
      </c>
      <c r="I272" s="116">
        <f t="shared" si="12"/>
        <v>93.023513732877689</v>
      </c>
      <c r="J272" s="116">
        <f t="shared" si="12"/>
        <v>89.901315579483807</v>
      </c>
      <c r="K272" s="116">
        <f t="shared" si="12"/>
        <v>42.574250827948198</v>
      </c>
    </row>
    <row r="273" spans="3:11" x14ac:dyDescent="0.2">
      <c r="C273" s="87" t="s">
        <v>131</v>
      </c>
      <c r="D273" s="47">
        <f t="shared" si="12"/>
        <v>99.941414035428991</v>
      </c>
      <c r="E273" s="47">
        <f t="shared" si="12"/>
        <v>99.971475211488155</v>
      </c>
      <c r="F273" s="47">
        <f t="shared" si="12"/>
        <v>99.942996493203083</v>
      </c>
      <c r="G273" s="47">
        <f t="shared" si="12"/>
        <v>99.903874819184963</v>
      </c>
      <c r="H273" s="47">
        <f t="shared" si="12"/>
        <v>98.991044608228037</v>
      </c>
      <c r="I273" s="47">
        <f t="shared" si="12"/>
        <v>99.66067382862046</v>
      </c>
      <c r="J273" s="47">
        <f t="shared" si="12"/>
        <v>97.917133619292201</v>
      </c>
      <c r="K273" s="47">
        <f t="shared" si="12"/>
        <v>48.534832351778242</v>
      </c>
    </row>
    <row r="274" spans="3:11" x14ac:dyDescent="0.2">
      <c r="C274" s="88" t="s">
        <v>132</v>
      </c>
      <c r="D274" s="116">
        <f t="shared" si="12"/>
        <v>87.328476455543012</v>
      </c>
      <c r="E274" s="116">
        <f t="shared" si="12"/>
        <v>89.138334687939462</v>
      </c>
      <c r="F274" s="116">
        <f t="shared" si="12"/>
        <v>93.532986200398753</v>
      </c>
      <c r="G274" s="116">
        <f t="shared" si="12"/>
        <v>91.431833897325944</v>
      </c>
      <c r="H274" s="116">
        <f t="shared" si="12"/>
        <v>96.701436407676866</v>
      </c>
      <c r="I274" s="116">
        <f t="shared" si="12"/>
        <v>93.815981464725596</v>
      </c>
      <c r="J274" s="116">
        <f t="shared" si="12"/>
        <v>90.918338460040317</v>
      </c>
      <c r="K274" s="116">
        <f t="shared" si="12"/>
        <v>41.671456127788794</v>
      </c>
    </row>
    <row r="275" spans="3:11" x14ac:dyDescent="0.2">
      <c r="C275" s="87" t="s">
        <v>133</v>
      </c>
      <c r="D275" s="47">
        <f t="shared" ref="D275:K284" si="13">+IFERROR(IF(D233&gt;0,+((D233/D24)*100)," "),"")</f>
        <v>95.445584667717981</v>
      </c>
      <c r="E275" s="47">
        <f t="shared" si="13"/>
        <v>95.439422428899817</v>
      </c>
      <c r="F275" s="47">
        <f t="shared" si="13"/>
        <v>92.38659909331713</v>
      </c>
      <c r="G275" s="47">
        <f t="shared" si="13"/>
        <v>95.119659449746734</v>
      </c>
      <c r="H275" s="47">
        <f t="shared" si="13"/>
        <v>95.360113332372663</v>
      </c>
      <c r="I275" s="47">
        <f t="shared" si="13"/>
        <v>93.720873714836344</v>
      </c>
      <c r="J275" s="47">
        <f t="shared" si="13"/>
        <v>93.712388651176482</v>
      </c>
      <c r="K275" s="47">
        <f t="shared" si="13"/>
        <v>42.187835331977283</v>
      </c>
    </row>
    <row r="276" spans="3:11" x14ac:dyDescent="0.2">
      <c r="C276" s="88" t="s">
        <v>134</v>
      </c>
      <c r="D276" s="116">
        <f t="shared" si="13"/>
        <v>91.353560607378441</v>
      </c>
      <c r="E276" s="116">
        <f t="shared" si="13"/>
        <v>41.6606839625519</v>
      </c>
      <c r="F276" s="116">
        <f t="shared" si="13"/>
        <v>81.690564179452338</v>
      </c>
      <c r="G276" s="116">
        <f t="shared" si="13"/>
        <v>83.551084304136182</v>
      </c>
      <c r="H276" s="116">
        <f t="shared" si="13"/>
        <v>89.500978668445555</v>
      </c>
      <c r="I276" s="116">
        <f t="shared" si="13"/>
        <v>74.122365393035565</v>
      </c>
      <c r="J276" s="116">
        <f t="shared" si="13"/>
        <v>74.411753800336086</v>
      </c>
      <c r="K276" s="116">
        <f t="shared" si="13"/>
        <v>27.276509470101868</v>
      </c>
    </row>
    <row r="277" spans="3:11" x14ac:dyDescent="0.2">
      <c r="C277" s="87" t="s">
        <v>135</v>
      </c>
      <c r="D277" s="47" t="str">
        <f t="shared" si="13"/>
        <v xml:space="preserve"> </v>
      </c>
      <c r="E277" s="47" t="str">
        <f t="shared" si="13"/>
        <v xml:space="preserve"> </v>
      </c>
      <c r="F277" s="47" t="str">
        <f t="shared" si="13"/>
        <v xml:space="preserve"> </v>
      </c>
      <c r="G277" s="47" t="str">
        <f t="shared" si="13"/>
        <v xml:space="preserve"> </v>
      </c>
      <c r="H277" s="47">
        <f t="shared" si="13"/>
        <v>0.42555537840000002</v>
      </c>
      <c r="I277" s="47">
        <f t="shared" si="13"/>
        <v>4.8344901418346176</v>
      </c>
      <c r="J277" s="47">
        <f t="shared" si="13"/>
        <v>92.170622340823456</v>
      </c>
      <c r="K277" s="47">
        <f t="shared" si="13"/>
        <v>14.55970928005636</v>
      </c>
    </row>
    <row r="278" spans="3:11" x14ac:dyDescent="0.2">
      <c r="C278" s="88" t="s">
        <v>136</v>
      </c>
      <c r="D278" s="116">
        <f t="shared" si="13"/>
        <v>97.072466040562972</v>
      </c>
      <c r="E278" s="116">
        <f t="shared" si="13"/>
        <v>98.472093564957731</v>
      </c>
      <c r="F278" s="116">
        <f t="shared" si="13"/>
        <v>97.885295490456059</v>
      </c>
      <c r="G278" s="116">
        <f t="shared" si="13"/>
        <v>96.189209568947874</v>
      </c>
      <c r="H278" s="116">
        <f t="shared" si="13"/>
        <v>93.278819738036006</v>
      </c>
      <c r="I278" s="116">
        <f t="shared" si="13"/>
        <v>49.389462273149867</v>
      </c>
      <c r="J278" s="116">
        <f t="shared" si="13"/>
        <v>54.502098836791014</v>
      </c>
      <c r="K278" s="116">
        <f t="shared" si="13"/>
        <v>17.089425940625862</v>
      </c>
    </row>
    <row r="279" spans="3:11" x14ac:dyDescent="0.2">
      <c r="C279" s="87" t="s">
        <v>137</v>
      </c>
      <c r="D279" s="47">
        <f t="shared" si="13"/>
        <v>89.819330803071409</v>
      </c>
      <c r="E279" s="47">
        <f t="shared" si="13"/>
        <v>88.059136856560613</v>
      </c>
      <c r="F279" s="47">
        <f t="shared" si="13"/>
        <v>80.748799645012753</v>
      </c>
      <c r="G279" s="47">
        <f t="shared" si="13"/>
        <v>88.890917230691642</v>
      </c>
      <c r="H279" s="47">
        <f t="shared" si="13"/>
        <v>92.146443283044306</v>
      </c>
      <c r="I279" s="47">
        <f t="shared" si="13"/>
        <v>94.195107206054502</v>
      </c>
      <c r="J279" s="47">
        <f t="shared" si="13"/>
        <v>94.261449370525014</v>
      </c>
      <c r="K279" s="47">
        <f t="shared" si="13"/>
        <v>43.924908571233971</v>
      </c>
    </row>
    <row r="280" spans="3:11" x14ac:dyDescent="0.2">
      <c r="C280" s="88" t="s">
        <v>138</v>
      </c>
      <c r="D280" s="116">
        <f t="shared" si="13"/>
        <v>95.317949236626816</v>
      </c>
      <c r="E280" s="116">
        <f t="shared" si="13"/>
        <v>98.028113822928489</v>
      </c>
      <c r="F280" s="116">
        <f t="shared" si="13"/>
        <v>94.611263222058597</v>
      </c>
      <c r="G280" s="116">
        <f t="shared" si="13"/>
        <v>94.335103290489769</v>
      </c>
      <c r="H280" s="116">
        <f t="shared" si="13"/>
        <v>88.109589109918645</v>
      </c>
      <c r="I280" s="116">
        <f t="shared" si="13"/>
        <v>94.620839309417647</v>
      </c>
      <c r="J280" s="116">
        <f t="shared" si="13"/>
        <v>96.140341651529297</v>
      </c>
      <c r="K280" s="116">
        <f t="shared" si="13"/>
        <v>38.652918656318917</v>
      </c>
    </row>
    <row r="281" spans="3:11" x14ac:dyDescent="0.2">
      <c r="C281" s="87" t="s">
        <v>160</v>
      </c>
      <c r="D281" s="47">
        <f t="shared" si="13"/>
        <v>87.820701426097258</v>
      </c>
      <c r="E281" s="47">
        <f t="shared" si="13"/>
        <v>86.201765945883295</v>
      </c>
      <c r="F281" s="47">
        <f t="shared" si="13"/>
        <v>80.707261130385803</v>
      </c>
      <c r="G281" s="47">
        <f t="shared" si="13"/>
        <v>70.476470269549267</v>
      </c>
      <c r="H281" s="47">
        <f t="shared" si="13"/>
        <v>71.923116821110469</v>
      </c>
      <c r="I281" s="47">
        <f t="shared" si="13"/>
        <v>74.713176752707454</v>
      </c>
      <c r="J281" s="47">
        <f t="shared" si="13"/>
        <v>81.443559403929839</v>
      </c>
      <c r="K281" s="47">
        <f t="shared" si="13"/>
        <v>37.799839119964851</v>
      </c>
    </row>
    <row r="282" spans="3:11" x14ac:dyDescent="0.2">
      <c r="C282" s="88" t="s">
        <v>161</v>
      </c>
      <c r="D282" s="116">
        <f t="shared" si="13"/>
        <v>84.4852614135728</v>
      </c>
      <c r="E282" s="116">
        <f t="shared" si="13"/>
        <v>88.603663393956609</v>
      </c>
      <c r="F282" s="116">
        <f t="shared" si="13"/>
        <v>74.533013534677636</v>
      </c>
      <c r="G282" s="116">
        <f t="shared" si="13"/>
        <v>76.979048381016995</v>
      </c>
      <c r="H282" s="116">
        <f t="shared" si="13"/>
        <v>82.83041875393576</v>
      </c>
      <c r="I282" s="116">
        <f t="shared" si="13"/>
        <v>87.488096644049008</v>
      </c>
      <c r="J282" s="116">
        <f t="shared" si="13"/>
        <v>87.766009880115874</v>
      </c>
      <c r="K282" s="116">
        <f t="shared" si="13"/>
        <v>37.667119052950319</v>
      </c>
    </row>
    <row r="283" spans="3:11" x14ac:dyDescent="0.2">
      <c r="C283" s="87" t="s">
        <v>140</v>
      </c>
      <c r="D283" s="47">
        <f t="shared" si="13"/>
        <v>90.102101229995185</v>
      </c>
      <c r="E283" s="47">
        <f t="shared" si="13"/>
        <v>89.339433142453103</v>
      </c>
      <c r="F283" s="47">
        <f t="shared" si="13"/>
        <v>89.976546246262558</v>
      </c>
      <c r="G283" s="47">
        <f t="shared" si="13"/>
        <v>93.51057321711761</v>
      </c>
      <c r="H283" s="47">
        <f t="shared" si="13"/>
        <v>88.699555293232947</v>
      </c>
      <c r="I283" s="47">
        <f t="shared" si="13"/>
        <v>84.364816696456785</v>
      </c>
      <c r="J283" s="47">
        <f t="shared" si="13"/>
        <v>87.747721852782718</v>
      </c>
      <c r="K283" s="47">
        <f t="shared" si="13"/>
        <v>50.98535463657575</v>
      </c>
    </row>
    <row r="284" spans="3:11" x14ac:dyDescent="0.2">
      <c r="C284" s="88" t="s">
        <v>141</v>
      </c>
      <c r="D284" s="116">
        <f t="shared" si="13"/>
        <v>92.248988870504846</v>
      </c>
      <c r="E284" s="116">
        <f t="shared" si="13"/>
        <v>82.534117096473807</v>
      </c>
      <c r="F284" s="116">
        <f t="shared" si="13"/>
        <v>86.586833953819578</v>
      </c>
      <c r="G284" s="116">
        <f t="shared" si="13"/>
        <v>91.079918212220491</v>
      </c>
      <c r="H284" s="116">
        <f t="shared" si="13"/>
        <v>86.418727689833332</v>
      </c>
      <c r="I284" s="116">
        <f t="shared" si="13"/>
        <v>89.857193951604074</v>
      </c>
      <c r="J284" s="116">
        <f t="shared" si="13"/>
        <v>93.21904428463435</v>
      </c>
      <c r="K284" s="116">
        <f t="shared" si="13"/>
        <v>43.866431313020783</v>
      </c>
    </row>
    <row r="285" spans="3:11" x14ac:dyDescent="0.2">
      <c r="C285" s="87" t="s">
        <v>142</v>
      </c>
      <c r="D285" s="47">
        <f t="shared" ref="D285:K294" si="14">+IFERROR(IF(D243&gt;0,+((D243/D34)*100)," "),"")</f>
        <v>94.420066924234888</v>
      </c>
      <c r="E285" s="47">
        <f t="shared" si="14"/>
        <v>93.164260245026384</v>
      </c>
      <c r="F285" s="47">
        <f t="shared" si="14"/>
        <v>80.452918893860812</v>
      </c>
      <c r="G285" s="47">
        <f t="shared" si="14"/>
        <v>93.511311630879561</v>
      </c>
      <c r="H285" s="47">
        <f t="shared" si="14"/>
        <v>90.082618691805735</v>
      </c>
      <c r="I285" s="47">
        <f t="shared" si="14"/>
        <v>90.037268990345936</v>
      </c>
      <c r="J285" s="47">
        <f t="shared" si="14"/>
        <v>84.938470187106873</v>
      </c>
      <c r="K285" s="47">
        <f t="shared" si="14"/>
        <v>83.630812014462364</v>
      </c>
    </row>
    <row r="286" spans="3:11" x14ac:dyDescent="0.2">
      <c r="C286" s="88" t="s">
        <v>143</v>
      </c>
      <c r="D286" s="116">
        <f t="shared" si="14"/>
        <v>43.054243815840529</v>
      </c>
      <c r="E286" s="116">
        <f t="shared" si="14"/>
        <v>37.420560118649867</v>
      </c>
      <c r="F286" s="116">
        <f t="shared" si="14"/>
        <v>56.32489106903865</v>
      </c>
      <c r="G286" s="116">
        <f t="shared" si="14"/>
        <v>19.269233910247159</v>
      </c>
      <c r="H286" s="116">
        <f t="shared" si="14"/>
        <v>22.108840093816429</v>
      </c>
      <c r="I286" s="116">
        <f t="shared" si="14"/>
        <v>33.708188772173706</v>
      </c>
      <c r="J286" s="116">
        <f t="shared" si="14"/>
        <v>37.044056959243363</v>
      </c>
      <c r="K286" s="116">
        <f t="shared" si="14"/>
        <v>4.1483181282743216</v>
      </c>
    </row>
    <row r="287" spans="3:11" x14ac:dyDescent="0.2">
      <c r="C287" s="87" t="s">
        <v>144</v>
      </c>
      <c r="D287" s="47">
        <f t="shared" si="14"/>
        <v>95.677073021213744</v>
      </c>
      <c r="E287" s="47">
        <f t="shared" si="14"/>
        <v>93.569722459338479</v>
      </c>
      <c r="F287" s="47">
        <f t="shared" si="14"/>
        <v>93.819417833232151</v>
      </c>
      <c r="G287" s="47">
        <f t="shared" si="14"/>
        <v>94.383416720015617</v>
      </c>
      <c r="H287" s="47">
        <f t="shared" si="14"/>
        <v>87.154865817269638</v>
      </c>
      <c r="I287" s="47">
        <f t="shared" si="14"/>
        <v>93.29475087185989</v>
      </c>
      <c r="J287" s="47">
        <f t="shared" si="14"/>
        <v>92.602783651711377</v>
      </c>
      <c r="K287" s="47">
        <f t="shared" si="14"/>
        <v>42.352087697469891</v>
      </c>
    </row>
    <row r="288" spans="3:11" x14ac:dyDescent="0.2">
      <c r="C288" s="88" t="s">
        <v>145</v>
      </c>
      <c r="D288" s="116">
        <f t="shared" si="14"/>
        <v>91.836442840230319</v>
      </c>
      <c r="E288" s="116">
        <f t="shared" si="14"/>
        <v>93.226281105869262</v>
      </c>
      <c r="F288" s="116">
        <f t="shared" si="14"/>
        <v>85.347379738831435</v>
      </c>
      <c r="G288" s="116">
        <f t="shared" si="14"/>
        <v>93.580446363308383</v>
      </c>
      <c r="H288" s="116">
        <f t="shared" si="14"/>
        <v>79.466322236480067</v>
      </c>
      <c r="I288" s="116">
        <f t="shared" si="14"/>
        <v>58.102189020070647</v>
      </c>
      <c r="J288" s="116">
        <f t="shared" si="14"/>
        <v>72.596007530948413</v>
      </c>
      <c r="K288" s="116">
        <f t="shared" si="14"/>
        <v>28.46584138169662</v>
      </c>
    </row>
    <row r="289" spans="1:11" x14ac:dyDescent="0.2">
      <c r="C289" s="87" t="s">
        <v>146</v>
      </c>
      <c r="D289" s="47">
        <f t="shared" si="14"/>
        <v>93.820571552351325</v>
      </c>
      <c r="E289" s="47">
        <f t="shared" si="14"/>
        <v>90.434326105153247</v>
      </c>
      <c r="F289" s="47">
        <f t="shared" si="14"/>
        <v>90.797069151875405</v>
      </c>
      <c r="G289" s="47">
        <f t="shared" si="14"/>
        <v>94.872176951858492</v>
      </c>
      <c r="H289" s="47">
        <f t="shared" si="14"/>
        <v>92.756710368649479</v>
      </c>
      <c r="I289" s="47">
        <f t="shared" si="14"/>
        <v>91.114964711343148</v>
      </c>
      <c r="J289" s="47">
        <f t="shared" si="14"/>
        <v>91.802394541422174</v>
      </c>
      <c r="K289" s="47">
        <f t="shared" si="14"/>
        <v>41.917425797543359</v>
      </c>
    </row>
    <row r="290" spans="1:11" x14ac:dyDescent="0.2">
      <c r="C290" s="88" t="s">
        <v>162</v>
      </c>
      <c r="D290" s="116">
        <f t="shared" si="14"/>
        <v>99.604424798299036</v>
      </c>
      <c r="E290" s="116">
        <f t="shared" si="14"/>
        <v>97.483668476269429</v>
      </c>
      <c r="F290" s="116">
        <f t="shared" si="14"/>
        <v>99.446282649623939</v>
      </c>
      <c r="G290" s="116">
        <f t="shared" si="14"/>
        <v>99.895866377455249</v>
      </c>
      <c r="H290" s="116">
        <f t="shared" si="14"/>
        <v>94.072162817075267</v>
      </c>
      <c r="I290" s="116">
        <f t="shared" si="14"/>
        <v>95.811829982466037</v>
      </c>
      <c r="J290" s="116">
        <f t="shared" si="14"/>
        <v>97.924709742893398</v>
      </c>
      <c r="K290" s="116">
        <f t="shared" si="14"/>
        <v>46.779628245844954</v>
      </c>
    </row>
    <row r="291" spans="1:11" x14ac:dyDescent="0.2">
      <c r="C291" s="87" t="s">
        <v>148</v>
      </c>
      <c r="D291" s="47">
        <f t="shared" si="14"/>
        <v>93.050883274572556</v>
      </c>
      <c r="E291" s="47">
        <f t="shared" si="14"/>
        <v>96.062097566914474</v>
      </c>
      <c r="F291" s="47">
        <f t="shared" si="14"/>
        <v>96.773095340898479</v>
      </c>
      <c r="G291" s="47">
        <f t="shared" si="14"/>
        <v>98.069737810301817</v>
      </c>
      <c r="H291" s="47">
        <f t="shared" si="14"/>
        <v>89.330663989037788</v>
      </c>
      <c r="I291" s="47">
        <f t="shared" si="14"/>
        <v>95.450350427727912</v>
      </c>
      <c r="J291" s="47">
        <f t="shared" si="14"/>
        <v>91.116606064679175</v>
      </c>
      <c r="K291" s="47">
        <f t="shared" si="14"/>
        <v>48.186867979354609</v>
      </c>
    </row>
    <row r="292" spans="1:11" x14ac:dyDescent="0.2">
      <c r="C292" s="88" t="s">
        <v>149</v>
      </c>
      <c r="D292" s="116">
        <f t="shared" si="14"/>
        <v>91.75001490035433</v>
      </c>
      <c r="E292" s="116">
        <f t="shared" si="14"/>
        <v>98.293560335660828</v>
      </c>
      <c r="F292" s="116">
        <f t="shared" si="14"/>
        <v>79.87647746033781</v>
      </c>
      <c r="G292" s="116">
        <f t="shared" si="14"/>
        <v>86.388256137977194</v>
      </c>
      <c r="H292" s="116">
        <f t="shared" si="14"/>
        <v>85.471684095638494</v>
      </c>
      <c r="I292" s="116">
        <f t="shared" si="14"/>
        <v>93.962858026988158</v>
      </c>
      <c r="J292" s="116">
        <f t="shared" si="14"/>
        <v>77.013984417103927</v>
      </c>
      <c r="K292" s="116">
        <f t="shared" si="14"/>
        <v>39.543892396744241</v>
      </c>
    </row>
    <row r="293" spans="1:11" x14ac:dyDescent="0.2">
      <c r="C293" s="87" t="s">
        <v>163</v>
      </c>
      <c r="D293" s="47">
        <f t="shared" si="14"/>
        <v>79.776449617020631</v>
      </c>
      <c r="E293" s="47">
        <f t="shared" si="14"/>
        <v>86.25433571223094</v>
      </c>
      <c r="F293" s="47">
        <f t="shared" si="14"/>
        <v>94.051534857787601</v>
      </c>
      <c r="G293" s="47">
        <f t="shared" si="14"/>
        <v>60.691613490523508</v>
      </c>
      <c r="H293" s="47">
        <f t="shared" si="14"/>
        <v>75.326992626732917</v>
      </c>
      <c r="I293" s="47">
        <f t="shared" si="14"/>
        <v>80.100769969536159</v>
      </c>
      <c r="J293" s="47">
        <f t="shared" si="14"/>
        <v>85.831817104668929</v>
      </c>
      <c r="K293" s="47">
        <f t="shared" si="14"/>
        <v>35.347826869141855</v>
      </c>
    </row>
    <row r="294" spans="1:11" x14ac:dyDescent="0.2">
      <c r="C294" s="88" t="s">
        <v>150</v>
      </c>
      <c r="D294" s="116">
        <f t="shared" si="14"/>
        <v>83.157263520515542</v>
      </c>
      <c r="E294" s="116">
        <f t="shared" si="14"/>
        <v>84.77135508922521</v>
      </c>
      <c r="F294" s="116">
        <f t="shared" si="14"/>
        <v>90.411412771398801</v>
      </c>
      <c r="G294" s="116">
        <f t="shared" si="14"/>
        <v>85.675113269879859</v>
      </c>
      <c r="H294" s="116">
        <f t="shared" si="14"/>
        <v>80.422401951726584</v>
      </c>
      <c r="I294" s="116">
        <f t="shared" si="14"/>
        <v>70.903025448472235</v>
      </c>
      <c r="J294" s="116">
        <f t="shared" si="14"/>
        <v>93.58826630841655</v>
      </c>
      <c r="K294" s="116">
        <f t="shared" si="14"/>
        <v>46.20127982438315</v>
      </c>
    </row>
    <row r="295" spans="1:11" x14ac:dyDescent="0.2">
      <c r="C295" s="87" t="s">
        <v>151</v>
      </c>
      <c r="D295" s="47">
        <f t="shared" ref="D295:K296" si="15">+IFERROR(IF(D253&gt;0,+((D253/D44)*100)," "),"")</f>
        <v>99.566539464255442</v>
      </c>
      <c r="E295" s="47">
        <f t="shared" si="15"/>
        <v>98.413423970951371</v>
      </c>
      <c r="F295" s="47">
        <f t="shared" si="15"/>
        <v>99.111409054763044</v>
      </c>
      <c r="G295" s="47">
        <f t="shared" si="15"/>
        <v>99.505596274293595</v>
      </c>
      <c r="H295" s="47">
        <f t="shared" si="15"/>
        <v>99.349479125513312</v>
      </c>
      <c r="I295" s="47">
        <f t="shared" si="15"/>
        <v>99.520669243819157</v>
      </c>
      <c r="J295" s="47">
        <f t="shared" si="15"/>
        <v>99.760475221886779</v>
      </c>
      <c r="K295" s="47">
        <f t="shared" si="15"/>
        <v>46.570949182924004</v>
      </c>
    </row>
    <row r="296" spans="1:11" x14ac:dyDescent="0.2">
      <c r="C296" s="91" t="s">
        <v>179</v>
      </c>
      <c r="D296" s="64">
        <f t="shared" si="15"/>
        <v>94.324798429352441</v>
      </c>
      <c r="E296" s="64">
        <f t="shared" si="15"/>
        <v>84.102460529484958</v>
      </c>
      <c r="F296" s="64">
        <f t="shared" si="15"/>
        <v>93.977823546982506</v>
      </c>
      <c r="G296" s="64">
        <f t="shared" si="15"/>
        <v>89.005078679112046</v>
      </c>
      <c r="H296" s="64">
        <f t="shared" si="15"/>
        <v>90.469934330443152</v>
      </c>
      <c r="I296" s="64">
        <f t="shared" si="15"/>
        <v>89.672327420083761</v>
      </c>
      <c r="J296" s="64">
        <f t="shared" si="15"/>
        <v>91.771918581602407</v>
      </c>
      <c r="K296" s="64">
        <f t="shared" si="15"/>
        <v>41.535792676189025</v>
      </c>
    </row>
    <row r="297" spans="1:11" s="31" customFormat="1" x14ac:dyDescent="0.2">
      <c r="A297" s="5"/>
      <c r="B297" s="5"/>
      <c r="C297" s="72" t="str">
        <f>+'C1 Aprop Resumen 2000-2026'!B20</f>
        <v>* Información con corte a 30 de Junio</v>
      </c>
      <c r="D297" s="47"/>
      <c r="E297" s="47"/>
      <c r="F297" s="47"/>
      <c r="G297" s="47"/>
      <c r="H297" s="47"/>
      <c r="I297" s="47"/>
    </row>
    <row r="298" spans="1:11" x14ac:dyDescent="0.2">
      <c r="C298" s="1" t="s">
        <v>52</v>
      </c>
      <c r="D298" s="11"/>
    </row>
  </sheetData>
  <mergeCells count="82">
    <mergeCell ref="D7:D8"/>
    <mergeCell ref="D2:K4"/>
    <mergeCell ref="D177:L177"/>
    <mergeCell ref="G221:G222"/>
    <mergeCell ref="D260:L260"/>
    <mergeCell ref="D51:L51"/>
    <mergeCell ref="D54:D55"/>
    <mergeCell ref="D10:L10"/>
    <mergeCell ref="J138:J139"/>
    <mergeCell ref="E12:E13"/>
    <mergeCell ref="G12:G13"/>
    <mergeCell ref="H96:H97"/>
    <mergeCell ref="D221:D222"/>
    <mergeCell ref="I54:I55"/>
    <mergeCell ref="K54:K55"/>
    <mergeCell ref="H180:H181"/>
    <mergeCell ref="C263:C264"/>
    <mergeCell ref="E263:E264"/>
    <mergeCell ref="K221:K222"/>
    <mergeCell ref="F7:F8"/>
    <mergeCell ref="H221:H222"/>
    <mergeCell ref="G7:G8"/>
    <mergeCell ref="I7:I8"/>
    <mergeCell ref="C54:C55"/>
    <mergeCell ref="D12:D13"/>
    <mergeCell ref="C138:C139"/>
    <mergeCell ref="E54:E55"/>
    <mergeCell ref="I96:I97"/>
    <mergeCell ref="D180:D181"/>
    <mergeCell ref="F180:F181"/>
    <mergeCell ref="F96:F97"/>
    <mergeCell ref="H12:H13"/>
    <mergeCell ref="F12:F13"/>
    <mergeCell ref="E138:E139"/>
    <mergeCell ref="G263:G264"/>
    <mergeCell ref="I263:I264"/>
    <mergeCell ref="K263:K264"/>
    <mergeCell ref="E221:E222"/>
    <mergeCell ref="F263:F264"/>
    <mergeCell ref="J180:J181"/>
    <mergeCell ref="F221:F222"/>
    <mergeCell ref="K138:K139"/>
    <mergeCell ref="H263:H264"/>
    <mergeCell ref="I138:I139"/>
    <mergeCell ref="F54:F55"/>
    <mergeCell ref="H54:H55"/>
    <mergeCell ref="J263:J264"/>
    <mergeCell ref="D136:L136"/>
    <mergeCell ref="D96:D97"/>
    <mergeCell ref="D263:D264"/>
    <mergeCell ref="C221:C222"/>
    <mergeCell ref="F138:F139"/>
    <mergeCell ref="H138:H139"/>
    <mergeCell ref="G180:G181"/>
    <mergeCell ref="D6:K6"/>
    <mergeCell ref="I180:I181"/>
    <mergeCell ref="C12:C13"/>
    <mergeCell ref="D93:L93"/>
    <mergeCell ref="K180:K181"/>
    <mergeCell ref="K96:K97"/>
    <mergeCell ref="I221:I222"/>
    <mergeCell ref="A6:C7"/>
    <mergeCell ref="J221:J222"/>
    <mergeCell ref="E7:E8"/>
    <mergeCell ref="E96:E97"/>
    <mergeCell ref="D219:L219"/>
    <mergeCell ref="C180:C181"/>
    <mergeCell ref="E180:E181"/>
    <mergeCell ref="A8:C8"/>
    <mergeCell ref="I12:I13"/>
    <mergeCell ref="K12:K13"/>
    <mergeCell ref="H7:H8"/>
    <mergeCell ref="J54:J55"/>
    <mergeCell ref="J7:J8"/>
    <mergeCell ref="K7:K8"/>
    <mergeCell ref="C96:C97"/>
    <mergeCell ref="G54:G55"/>
    <mergeCell ref="D138:D139"/>
    <mergeCell ref="J96:J97"/>
    <mergeCell ref="G96:G97"/>
    <mergeCell ref="J12:J13"/>
    <mergeCell ref="G138:G139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A5"/>
  <sheetViews>
    <sheetView workbookViewId="0">
      <selection activeCell="C12" sqref="C12"/>
    </sheetView>
  </sheetViews>
  <sheetFormatPr baseColWidth="10" defaultRowHeight="15" x14ac:dyDescent="0.25"/>
  <sheetData>
    <row r="1" spans="1:27" x14ac:dyDescent="0.25">
      <c r="A1" t="s">
        <v>26</v>
      </c>
    </row>
    <row r="4" spans="1:27" s="145" customFormat="1" ht="11.25" customHeight="1" x14ac:dyDescent="0.25">
      <c r="A4" s="145" t="s">
        <v>27</v>
      </c>
      <c r="B4" s="145" t="s">
        <v>28</v>
      </c>
      <c r="C4" s="145" t="s">
        <v>29</v>
      </c>
      <c r="D4" s="145" t="s">
        <v>30</v>
      </c>
      <c r="E4" s="145">
        <v>2004</v>
      </c>
      <c r="F4" s="145" t="s">
        <v>31</v>
      </c>
      <c r="G4" s="145" t="s">
        <v>32</v>
      </c>
      <c r="H4" s="145" t="s">
        <v>33</v>
      </c>
      <c r="I4" s="145" t="s">
        <v>34</v>
      </c>
      <c r="J4" s="145" t="s">
        <v>35</v>
      </c>
      <c r="K4" s="145">
        <v>2010</v>
      </c>
      <c r="L4" s="145">
        <v>2011</v>
      </c>
      <c r="M4" s="145">
        <v>2012</v>
      </c>
      <c r="N4" s="145">
        <v>2013</v>
      </c>
      <c r="O4" s="145">
        <v>2014</v>
      </c>
      <c r="P4" s="145">
        <v>2015</v>
      </c>
      <c r="Q4" s="145">
        <v>2016</v>
      </c>
      <c r="R4" s="145">
        <v>2017</v>
      </c>
      <c r="S4" s="145">
        <v>2018</v>
      </c>
      <c r="T4" s="145">
        <v>2019</v>
      </c>
      <c r="U4" s="145">
        <v>2020</v>
      </c>
      <c r="V4" s="145">
        <v>2021</v>
      </c>
      <c r="W4" s="145">
        <v>2022</v>
      </c>
      <c r="X4" s="145">
        <v>2023</v>
      </c>
      <c r="Y4" s="145">
        <v>2024</v>
      </c>
      <c r="Z4" s="145">
        <v>2025</v>
      </c>
      <c r="AA4" s="145" t="s">
        <v>36</v>
      </c>
    </row>
    <row r="5" spans="1:27" x14ac:dyDescent="0.25">
      <c r="A5" s="146">
        <v>3.731915572838024</v>
      </c>
      <c r="B5" s="146">
        <v>3.4667667151538821</v>
      </c>
      <c r="C5" s="146">
        <v>3.2402159846730489</v>
      </c>
      <c r="D5" s="146">
        <v>3.042703116990912</v>
      </c>
      <c r="E5" s="146">
        <v>2.88416126745095</v>
      </c>
      <c r="F5" s="146">
        <v>2.7506143888970631</v>
      </c>
      <c r="G5" s="146">
        <v>2.6327224377928262</v>
      </c>
      <c r="H5" s="146">
        <v>2.4908802289459309</v>
      </c>
      <c r="I5" s="146">
        <v>2.3133455036616128</v>
      </c>
      <c r="J5" s="146">
        <v>2.2679455874562668</v>
      </c>
      <c r="K5" s="146">
        <v>2.1982346808126949</v>
      </c>
      <c r="L5" s="146">
        <v>2.1192566569955331</v>
      </c>
      <c r="M5" s="146">
        <v>2.068778462510283</v>
      </c>
      <c r="N5" s="146">
        <v>2.0294079483130099</v>
      </c>
      <c r="O5" s="146">
        <v>1.9577541465493049</v>
      </c>
      <c r="P5" s="146">
        <v>1.8336181947637959</v>
      </c>
      <c r="Q5" s="146">
        <v>1.7339179146702559</v>
      </c>
      <c r="R5" s="146">
        <v>1.665787217475508</v>
      </c>
      <c r="S5" s="146">
        <v>1.6144477781309441</v>
      </c>
      <c r="T5" s="146">
        <v>1.555344680280293</v>
      </c>
      <c r="U5" s="146">
        <v>1.5307004037794441</v>
      </c>
      <c r="V5" s="146">
        <v>1.449252417893812</v>
      </c>
      <c r="W5" s="146">
        <v>1.2811637357618559</v>
      </c>
      <c r="X5" s="146">
        <v>1.172367986604919</v>
      </c>
      <c r="Y5" s="146">
        <v>1.114418238217604</v>
      </c>
      <c r="Z5" s="146">
        <v>1.060330563426896</v>
      </c>
      <c r="AA5" s="146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V277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102" customFormat="1" ht="16.5" customHeight="1" x14ac:dyDescent="0.25">
      <c r="A3" s="99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2" customFormat="1" ht="16.5" customHeight="1" x14ac:dyDescent="0.25">
      <c r="A4" s="99"/>
      <c r="B4" s="98"/>
      <c r="C4" s="98"/>
      <c r="D4" s="165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5" spans="1:22" s="102" customFormat="1" ht="18" customHeight="1" x14ac:dyDescent="0.25">
      <c r="A5" s="169" t="s">
        <v>18</v>
      </c>
      <c r="B5" s="180"/>
      <c r="C5" s="18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8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ht="16.5" customHeight="1" x14ac:dyDescent="0.2">
      <c r="A7" s="166" t="s">
        <v>227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</row>
    <row r="8" spans="1:22" ht="16.5" customHeight="1" x14ac:dyDescent="0.2"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6.5" customHeight="1" x14ac:dyDescent="0.2">
      <c r="D9" s="164" t="s">
        <v>194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6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9.9499999999999993" customHeight="1" x14ac:dyDescent="0.2">
      <c r="C11" s="181" t="s">
        <v>120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56">
        <f>13.80085625*Deflactores!$A$5</f>
        <v>51.503630357873973</v>
      </c>
      <c r="E13" s="56">
        <f>7.1054318*Deflactores!$B$5</f>
        <v>24.632874461035936</v>
      </c>
      <c r="F13" s="56">
        <f>11.319492*Deflactores!$C$5</f>
        <v>36.677598916778699</v>
      </c>
      <c r="G13" s="56">
        <f>11.181996*Deflactores!$D$5</f>
        <v>34.023494083379909</v>
      </c>
      <c r="H13" s="56">
        <f>5.591634*Deflactores!$E$5</f>
        <v>16.127174204561825</v>
      </c>
      <c r="I13" s="56">
        <f>5.6691*Deflactores!$F$5</f>
        <v>15.593508032096342</v>
      </c>
      <c r="J13" s="56">
        <f>12.163799604*Deflactores!$G$5</f>
        <v>32.023908146266294</v>
      </c>
      <c r="K13" s="56">
        <f>5.2309*Deflactores!$H$5</f>
        <v>13.02954538959327</v>
      </c>
      <c r="L13" s="56">
        <f>7.578*Deflactores!$I$5</f>
        <v>17.530532226747702</v>
      </c>
      <c r="M13" s="56">
        <f>7.8522*Deflactores!$J$5</f>
        <v>17.808362341824097</v>
      </c>
      <c r="N13" s="56">
        <f>7.7421*Deflactores!$K$5</f>
        <v>17.018952722319966</v>
      </c>
      <c r="O13" s="56">
        <f>7.9401*Deflactores!$L$5</f>
        <v>16.827109782210233</v>
      </c>
      <c r="P13" s="56">
        <f>8.474842*Deflactores!$M$5</f>
        <v>17.532570602777572</v>
      </c>
      <c r="Q13" s="56">
        <f>16.220087*Deflactores!$N$5</f>
        <v>32.917173480128525</v>
      </c>
      <c r="R13" s="56">
        <f>16.632597*Deflactores!$O$5</f>
        <v>32.562535744633529</v>
      </c>
      <c r="S13" s="56">
        <f>15.256177246*Deflactores!$P$5</f>
        <v>27.974004180807022</v>
      </c>
      <c r="T13" s="56">
        <f>13.793099778*Deflactores!$Q$5</f>
        <v>23.916102803908529</v>
      </c>
      <c r="U13" s="56">
        <f>9.758045*Deflactores!$R$5</f>
        <v>16.254826628550791</v>
      </c>
      <c r="V13" s="56">
        <f>10.095*Deflactores!$S$5</f>
        <v>16.297850320231881</v>
      </c>
    </row>
    <row r="14" spans="1:22" x14ac:dyDescent="0.2">
      <c r="C14" s="88" t="s">
        <v>124</v>
      </c>
      <c r="D14" s="57">
        <f>0*Deflactores!$A$5</f>
        <v>0</v>
      </c>
      <c r="E14" s="57">
        <f>0*Deflactores!$B$5</f>
        <v>0</v>
      </c>
      <c r="F14" s="57">
        <f>0*Deflactores!$C$5</f>
        <v>0</v>
      </c>
      <c r="G14" s="57">
        <f>0*Deflactores!$D$5</f>
        <v>0</v>
      </c>
      <c r="H14" s="57">
        <f>0*Deflactores!$E$5</f>
        <v>0</v>
      </c>
      <c r="I14" s="57">
        <f>0*Deflactores!$F$5</f>
        <v>0</v>
      </c>
      <c r="J14" s="57">
        <f>0*Deflactores!$G$5</f>
        <v>0</v>
      </c>
      <c r="K14" s="57">
        <f>0*Deflactores!$H$5</f>
        <v>0</v>
      </c>
      <c r="L14" s="57">
        <f>0*Deflactores!$I$5</f>
        <v>0</v>
      </c>
      <c r="M14" s="57">
        <f>0*Deflactores!$J$5</f>
        <v>0</v>
      </c>
      <c r="N14" s="57">
        <f>0*Deflactores!$K$5</f>
        <v>0</v>
      </c>
      <c r="O14" s="57">
        <f>0*Deflactores!$L$5</f>
        <v>0</v>
      </c>
      <c r="P14" s="57">
        <f>7.388*Deflactores!$M$5</f>
        <v>15.28413528102597</v>
      </c>
      <c r="Q14" s="57">
        <f>21.11089*Deflactores!$N$5</f>
        <v>42.84260796196164</v>
      </c>
      <c r="R14" s="57">
        <f>27.486847*Deflactores!$O$5</f>
        <v>53.812488689816327</v>
      </c>
      <c r="S14" s="57">
        <f>29.810494*Deflactores!$P$5</f>
        <v>54.661064193296966</v>
      </c>
      <c r="T14" s="57">
        <f>26.905379796*Deflactores!$Q$5</f>
        <v>46.651720029291553</v>
      </c>
      <c r="U14" s="57">
        <f>24.719986*Deflactores!$R$5</f>
        <v>41.178236694973506</v>
      </c>
      <c r="V14" s="57">
        <f>30.531285*Deflactores!$S$5</f>
        <v>49.29116523173262</v>
      </c>
    </row>
    <row r="15" spans="1:22" x14ac:dyDescent="0.2">
      <c r="C15" s="87" t="s">
        <v>125</v>
      </c>
      <c r="D15" s="56">
        <f>1.51613034*Deflactores!$A$5</f>
        <v>5.6580704262982078</v>
      </c>
      <c r="E15" s="56">
        <f>2.304689762*Deflactores!$B$5</f>
        <v>7.9898217556575233</v>
      </c>
      <c r="F15" s="56">
        <f>1.736618927*Deflactores!$C$5</f>
        <v>5.6270204065511589</v>
      </c>
      <c r="G15" s="56">
        <f>1.754974804*Deflactores!$D$5</f>
        <v>5.3398673063713149</v>
      </c>
      <c r="H15" s="56">
        <f>1.89635611*Deflactores!$E$5</f>
        <v>5.4693968417559526</v>
      </c>
      <c r="I15" s="56">
        <f>1.911463098*Deflactores!$F$5</f>
        <v>5.2576979012045575</v>
      </c>
      <c r="J15" s="56">
        <f>2.331265821*Deflactores!$G$5</f>
        <v>6.1375758354062144</v>
      </c>
      <c r="K15" s="56">
        <f>2.806172783*Deflactores!$H$5</f>
        <v>6.9898403041808805</v>
      </c>
      <c r="L15" s="56">
        <f>2.753424278*Deflactores!$I$5</f>
        <v>6.3696216731840218</v>
      </c>
      <c r="M15" s="56">
        <f>3.103726686*Deflactores!$J$5</f>
        <v>7.0390832421839624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36.741606959*Deflactores!$A$5</f>
        <v>137.11657518138603</v>
      </c>
      <c r="E16" s="57">
        <f>38.249514*Deflactores!$B$5</f>
        <v>132.60214200601243</v>
      </c>
      <c r="F16" s="57">
        <f>41.638*Deflactores!$C$5</f>
        <v>134.91611316981641</v>
      </c>
      <c r="G16" s="57">
        <f>41.02361146*Deflactores!$D$5</f>
        <v>124.8226704595661</v>
      </c>
      <c r="H16" s="57">
        <f>41.0297*Deflactores!$E$5</f>
        <v>118.33627155513224</v>
      </c>
      <c r="I16" s="57">
        <f>47.9101*Deflactores!$F$5</f>
        <v>131.78221043349717</v>
      </c>
      <c r="J16" s="57">
        <f>51.5263*Deflactores!$G$5</f>
        <v>135.65444614644451</v>
      </c>
      <c r="K16" s="57">
        <f>56.152665*Deflactores!$H$5</f>
        <v>139.86956305112415</v>
      </c>
      <c r="L16" s="57">
        <f>84.862539155*Deflactores!$I$5</f>
        <v>196.31637338352681</v>
      </c>
      <c r="M16" s="57">
        <f>90.6529*Deflactores!$J$5</f>
        <v>205.5958445451142</v>
      </c>
      <c r="N16" s="57">
        <f>102.8806*Deflactores!$K$5</f>
        <v>226.15570290281855</v>
      </c>
      <c r="O16" s="57">
        <f>105.2429*Deflactores!$L$5</f>
        <v>223.0367164265152</v>
      </c>
      <c r="P16" s="57">
        <f>135.085535*Deflactores!$M$5</f>
        <v>279.46204540467903</v>
      </c>
      <c r="Q16" s="57">
        <f>159.594189534*Deflactores!$N$5</f>
        <v>323.88171674487256</v>
      </c>
      <c r="R16" s="57">
        <f>172.884116968*Deflactores!$O$5</f>
        <v>338.46459686661706</v>
      </c>
      <c r="S16" s="57">
        <f>177.380948002*Deflactores!$P$5</f>
        <v>325.248933660918</v>
      </c>
      <c r="T16" s="57">
        <f>187.200506036*Deflactores!$Q$5</f>
        <v>324.59031105115781</v>
      </c>
      <c r="U16" s="57">
        <f>190.059078081*Deflactores!$R$5</f>
        <v>316.59798283250927</v>
      </c>
      <c r="V16" s="57">
        <f>201.717940457*Deflactores!$S$5</f>
        <v>325.6630807799537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0.633677303*Deflactores!$A$5</f>
        <v>2.3648301952196991</v>
      </c>
      <c r="E18" s="57">
        <f>0.65286548*Deflactores!$B$5</f>
        <v>2.2633323155369625</v>
      </c>
      <c r="F18" s="57">
        <f>0.61511624*Deflactores!$C$5</f>
        <v>1.9931094732799834</v>
      </c>
      <c r="G18" s="57">
        <f>0.681290411*Deflactores!$D$5</f>
        <v>2.0729644571257193</v>
      </c>
      <c r="H18" s="57">
        <f>0.649131999*Deflactores!$E$5</f>
        <v>1.8722013689788086</v>
      </c>
      <c r="I18" s="57">
        <f>0.621818614*Deflactores!$F$5</f>
        <v>1.7103832269524288</v>
      </c>
      <c r="J18" s="57">
        <f>2.52450888*Deflactores!$G$5</f>
        <v>6.6463311727832375</v>
      </c>
      <c r="K18" s="57">
        <f>2.638111779*Deflactores!$H$5</f>
        <v>6.5712204720604772</v>
      </c>
      <c r="L18" s="57">
        <f>2.057585413*Deflactores!$I$5</f>
        <v>4.7599059635632726</v>
      </c>
      <c r="M18" s="57">
        <f>2.857676172*Deflactores!$J$5</f>
        <v>6.4810540646663162</v>
      </c>
      <c r="N18" s="57">
        <f>2.504188433*Deflactores!$K$5</f>
        <v>5.5047938607105973</v>
      </c>
      <c r="O18" s="57">
        <f>2.446591666*Deflactores!$L$5</f>
        <v>5.1849556751202925</v>
      </c>
      <c r="P18" s="57">
        <f>2.51436576*Deflactores!$M$5</f>
        <v>5.2016657311612988</v>
      </c>
      <c r="Q18" s="57">
        <f>3.214447316*Deflactores!$N$5</f>
        <v>6.5234249325238221</v>
      </c>
      <c r="R18" s="57">
        <f>3.361287077*Deflactores!$O$5</f>
        <v>6.5805737127393424</v>
      </c>
      <c r="S18" s="57">
        <f>2.620161643*Deflactores!$P$5</f>
        <v>4.8043760618270017</v>
      </c>
      <c r="T18" s="57">
        <f>3.330796699*Deflactores!$Q$5</f>
        <v>5.7753280665206521</v>
      </c>
      <c r="U18" s="57">
        <f>4.000779367*Deflactores!$R$5</f>
        <v>6.6644471294883534</v>
      </c>
      <c r="V18" s="57">
        <f>3.237860172*Deflactores!$S$5</f>
        <v>5.2273561605840762</v>
      </c>
    </row>
    <row r="19" spans="3:22" x14ac:dyDescent="0.2">
      <c r="C19" s="87" t="s">
        <v>129</v>
      </c>
      <c r="D19" s="56">
        <f>677.02913969995*Deflactores!$A$5</f>
        <v>2526.6155897113731</v>
      </c>
      <c r="E19" s="56">
        <f>799.3352668325*Deflactores!$B$5</f>
        <v>2771.108897303558</v>
      </c>
      <c r="F19" s="56">
        <f>887.60504367584*Deflactores!$C$5</f>
        <v>2876.0320505948762</v>
      </c>
      <c r="G19" s="56">
        <f>1005.52511952191*Deflactores!$D$5</f>
        <v>3059.5144153819751</v>
      </c>
      <c r="H19" s="56">
        <f>989.260062870449*Deflactores!$E$5</f>
        <v>2853.1855567670409</v>
      </c>
      <c r="I19" s="56">
        <f>1167.01286151563*Deflactores!$F$5</f>
        <v>3210.0023689128275</v>
      </c>
      <c r="J19" s="56">
        <f>1090.71971125516*Deflactores!$G$5</f>
        <v>2871.5622571643726</v>
      </c>
      <c r="K19" s="56">
        <f>1145.68708559529*Deflactores!$H$5</f>
        <v>2853.7693100679921</v>
      </c>
      <c r="L19" s="56">
        <f>1193.15000141556*Deflactores!$I$5</f>
        <v>2760.1681909685326</v>
      </c>
      <c r="M19" s="56">
        <f>1481.86724526131*Deflactores!$J$5</f>
        <v>3360.7942800863616</v>
      </c>
      <c r="N19" s="56">
        <f>1710.52501214518*Deflactores!$K$5</f>
        <v>3760.135404095091</v>
      </c>
      <c r="O19" s="56">
        <f>1871.87444345149*Deflactores!$L$5</f>
        <v>3966.9823753443789</v>
      </c>
      <c r="P19" s="56">
        <f>2010.879273274*Deflactores!$M$5</f>
        <v>4160.0637312575809</v>
      </c>
      <c r="Q19" s="56">
        <f>2071.56060457999*Deflactores!$N$5</f>
        <v>4204.0415563467359</v>
      </c>
      <c r="R19" s="56">
        <f>1927.5918237*Deflactores!$O$5</f>
        <v>3773.7508857032117</v>
      </c>
      <c r="S19" s="56">
        <f>2122.47920969*Deflactores!$P$5</f>
        <v>3891.8164968954661</v>
      </c>
      <c r="T19" s="56">
        <f>2176.033344102*Deflactores!$Q$5</f>
        <v>3773.0631982582827</v>
      </c>
      <c r="U19" s="56">
        <f>2124.48871331314*Deflactores!$R$5</f>
        <v>3538.9461423080179</v>
      </c>
      <c r="V19" s="56">
        <f>2002.03084577662*Deflactores!$S$5</f>
        <v>3232.1742507136792</v>
      </c>
    </row>
    <row r="20" spans="3:22" x14ac:dyDescent="0.2">
      <c r="C20" s="88" t="s">
        <v>130</v>
      </c>
      <c r="D20" s="57">
        <f>1.117404*Deflactores!$A$5</f>
        <v>4.1700573887514993</v>
      </c>
      <c r="E20" s="57">
        <f>1.079154*Deflactores!$B$5</f>
        <v>3.7411751677251721</v>
      </c>
      <c r="F20" s="57">
        <f>2.749255041*Deflactores!$C$5</f>
        <v>8.9081801297911589</v>
      </c>
      <c r="G20" s="57">
        <f>1.46931272*Deflactores!$D$5</f>
        <v>4.4706823929783948</v>
      </c>
      <c r="H20" s="57">
        <f>1.822051145*Deflactores!$E$5</f>
        <v>5.2550893397236553</v>
      </c>
      <c r="I20" s="57">
        <f>1.989129999*Deflactores!$F$5</f>
        <v>5.4713295966362008</v>
      </c>
      <c r="J20" s="57">
        <f>3.34149*Deflactores!$G$5</f>
        <v>8.7972156986603505</v>
      </c>
      <c r="K20" s="57">
        <f>3.491857051*Deflactores!$H$5</f>
        <v>8.6977976906413428</v>
      </c>
      <c r="L20" s="57">
        <f>3.877321132*Deflactores!$I$5</f>
        <v>8.9695834069643556</v>
      </c>
      <c r="M20" s="57">
        <f>3.890063339*Deflactores!$J$5</f>
        <v>8.8224519846104421</v>
      </c>
      <c r="N20" s="57">
        <f>3.727228289*Deflactores!$K$5</f>
        <v>8.193322488185963</v>
      </c>
      <c r="O20" s="57">
        <f>3.047493502*Deflactores!$L$5</f>
        <v>6.4584208912641303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57.471637097*Deflactores!$A$5</f>
        <v>214.47929747878979</v>
      </c>
      <c r="E21" s="56">
        <f>59.486360417*Deflactores!$B$5</f>
        <v>206.225334299303</v>
      </c>
      <c r="F21" s="56">
        <f>68.944614871*Deflactores!$C$5</f>
        <v>223.39544316214139</v>
      </c>
      <c r="G21" s="56">
        <f>75.394540509*Deflactores!$D$5</f>
        <v>229.40320341083188</v>
      </c>
      <c r="H21" s="56">
        <f>84.285393904*Deflactores!$E$5</f>
        <v>243.09266850976323</v>
      </c>
      <c r="I21" s="56">
        <f>53.874977407*Deflactores!$F$5</f>
        <v>148.18928805719838</v>
      </c>
      <c r="J21" s="56">
        <f>83.408252928*Deflactores!$G$5</f>
        <v>219.59077898064479</v>
      </c>
      <c r="K21" s="56">
        <f>51.040732309*Deflactores!$H$5</f>
        <v>127.13635097940988</v>
      </c>
      <c r="L21" s="56">
        <f>31.634407999*Deflactores!$I$5</f>
        <v>73.18131550548361</v>
      </c>
      <c r="M21" s="56">
        <f>32.967140237*Deflactores!$J$5</f>
        <v>74.767680231556099</v>
      </c>
      <c r="N21" s="56">
        <f>8.674186205*Deflactores!$K$5</f>
        <v>19.067896943658056</v>
      </c>
      <c r="O21" s="56">
        <f>7.066182277*Deflactores!$L$5</f>
        <v>14.975053830076105</v>
      </c>
      <c r="P21" s="56">
        <f>11.048655019*Deflactores!$M$5</f>
        <v>22.85721954301334</v>
      </c>
      <c r="Q21" s="56">
        <f>11.544805155*Deflactores!$N$5</f>
        <v>23.429119343282011</v>
      </c>
      <c r="R21" s="56">
        <f>13.363598585*Deflactores!$O$5</f>
        <v>26.162640542604173</v>
      </c>
      <c r="S21" s="56">
        <f>11.617948793*Deflactores!$P$5</f>
        <v>21.302882292678881</v>
      </c>
      <c r="T21" s="56">
        <f>13.452521243*Deflactores!$Q$5</f>
        <v>23.325567580719877</v>
      </c>
      <c r="U21" s="56">
        <f>14.328747186*Deflactores!$R$5</f>
        <v>23.868643904876954</v>
      </c>
      <c r="V21" s="56">
        <f>13.968915652*Deflactores!$S$5</f>
        <v>22.552084837269966</v>
      </c>
    </row>
    <row r="22" spans="3:22" x14ac:dyDescent="0.2">
      <c r="C22" s="88" t="s">
        <v>132</v>
      </c>
      <c r="D22" s="57">
        <f>23.750291*Deflactores!$A$5</f>
        <v>88.634080842334768</v>
      </c>
      <c r="E22" s="57">
        <f>25.105373061*Deflactores!$B$5</f>
        <v>87.034471699395738</v>
      </c>
      <c r="F22" s="57">
        <f>28.76394312*Deflactores!$C$5</f>
        <v>93.201388279650374</v>
      </c>
      <c r="G22" s="57">
        <f>28.804555*Deflactores!$D$5</f>
        <v>87.643709282036156</v>
      </c>
      <c r="H22" s="57">
        <f>30.0428*Deflactores!$E$5</f>
        <v>86.648280125775401</v>
      </c>
      <c r="I22" s="57">
        <f>26.4279*Deflactores!$F$5</f>
        <v>72.692962008332699</v>
      </c>
      <c r="J22" s="57">
        <f>45.334135*Deflactores!$G$5</f>
        <v>119.3521944124291</v>
      </c>
      <c r="K22" s="57">
        <f>67.383831*Deflactores!$H$5</f>
        <v>167.8450523885339</v>
      </c>
      <c r="L22" s="57">
        <f>60.956945*Deflactores!$I$5</f>
        <v>141.01447463269824</v>
      </c>
      <c r="M22" s="57">
        <f>85.68832*Deflactores!$J$5</f>
        <v>194.33644724054059</v>
      </c>
      <c r="N22" s="57">
        <f>57.071871001*Deflactores!$K$5</f>
        <v>125.45736613326653</v>
      </c>
      <c r="O22" s="57">
        <f>57.657537*Deflactores!$L$5</f>
        <v>122.19111911321626</v>
      </c>
      <c r="P22" s="57">
        <f>54.7756*Deflactores!$M$5</f>
        <v>113.31858155107825</v>
      </c>
      <c r="Q22" s="57">
        <f>82.9869*Deflactores!$N$5</f>
        <v>168.41427446585692</v>
      </c>
      <c r="R22" s="57">
        <f>80.605439*Deflactores!$O$5</f>
        <v>157.80563243667706</v>
      </c>
      <c r="S22" s="57">
        <f>78.631760923*Deflactores!$P$5</f>
        <v>144.18062751472965</v>
      </c>
      <c r="T22" s="57">
        <f>59.755594097*Deflactores!$Q$5</f>
        <v>103.61129510655249</v>
      </c>
      <c r="U22" s="57">
        <f>59.29272862*Deflactores!$R$5</f>
        <v>98.769069424440218</v>
      </c>
      <c r="V22" s="57">
        <f>63.865403324*Deflactores!$S$5</f>
        <v>103.10735849586841</v>
      </c>
    </row>
    <row r="23" spans="3:22" x14ac:dyDescent="0.2">
      <c r="C23" s="87" t="s">
        <v>133</v>
      </c>
      <c r="D23" s="56">
        <f>0.225556897*Deflactores!$A$5</f>
        <v>0.84175929647532222</v>
      </c>
      <c r="E23" s="56">
        <f>0.335156211*Deflactores!$B$5</f>
        <v>1.1619083966718913</v>
      </c>
      <c r="F23" s="56">
        <f>0.3006264*Deflactores!$C$5</f>
        <v>0.97409446669471389</v>
      </c>
      <c r="G23" s="56">
        <f>0.2164611*Deflactores!$D$5</f>
        <v>0.65862686367728152</v>
      </c>
      <c r="H23" s="56">
        <f>0.2989976*Deflactores!$E$5</f>
        <v>0.86235729698079211</v>
      </c>
      <c r="I23" s="56">
        <f>0.229936492*Deflactores!$F$5</f>
        <v>0.63246662342771442</v>
      </c>
      <c r="J23" s="56">
        <f>0.24*Deflactores!$G$5</f>
        <v>0.63185338507027822</v>
      </c>
      <c r="K23" s="56">
        <f>0.91262288*Deflactores!$H$5</f>
        <v>2.2732342882756948</v>
      </c>
      <c r="L23" s="56">
        <f>0.259*Deflactores!$I$5</f>
        <v>0.59915648544835776</v>
      </c>
      <c r="M23" s="56">
        <f>0.289*Deflactores!$J$5</f>
        <v>0.65543627477486111</v>
      </c>
      <c r="N23" s="56">
        <f>0.688727349*Deflactores!$K$5</f>
        <v>1.5139843441959886</v>
      </c>
      <c r="O23" s="56">
        <f>1.207619169*Deflactores!$L$5</f>
        <v>2.5592549630186636</v>
      </c>
      <c r="P23" s="56">
        <f>1.713502078*Deflactores!$M$5</f>
        <v>3.5448561944330153</v>
      </c>
      <c r="Q23" s="56">
        <f>0.705*Deflactores!$N$5</f>
        <v>1.4307326035606718</v>
      </c>
      <c r="R23" s="56">
        <f>0.723843*Deflactores!$O$5</f>
        <v>1.4171066347006886</v>
      </c>
      <c r="S23" s="56">
        <f>3.071323648*Deflactores!$P$5</f>
        <v>5.6316349229811165</v>
      </c>
      <c r="T23" s="56">
        <f>1.270106919*Deflactores!$Q$5</f>
        <v>2.2022611404007439</v>
      </c>
      <c r="U23" s="56">
        <f>1.175452402*Deflactores!$R$5</f>
        <v>1.9580535860024819</v>
      </c>
      <c r="V23" s="56">
        <f>5.148*Deflactores!$S$5</f>
        <v>8.3111771618180992</v>
      </c>
    </row>
    <row r="24" spans="3:22" x14ac:dyDescent="0.2">
      <c r="C24" s="88" t="s">
        <v>134</v>
      </c>
      <c r="D24" s="57">
        <f>124.046038978*Deflactores!$A$5</f>
        <v>462.92934461087071</v>
      </c>
      <c r="E24" s="57">
        <f>110.193429036*Deflactores!$B$5</f>
        <v>382.01491201067614</v>
      </c>
      <c r="F24" s="57">
        <f>112.165425957*Deflactores!$C$5</f>
        <v>363.44020611353272</v>
      </c>
      <c r="G24" s="57">
        <f>105.170769035*Deflactores!$D$5</f>
        <v>320.00342675912583</v>
      </c>
      <c r="H24" s="57">
        <f>110.160474664*Deflactores!$E$5</f>
        <v>317.72057422992054</v>
      </c>
      <c r="I24" s="57">
        <f>112.19177772802*Deflactores!$F$5</f>
        <v>308.5963181346329</v>
      </c>
      <c r="J24" s="57">
        <f>115.603494726019*Deflactores!$G$5</f>
        <v>304.35191445245488</v>
      </c>
      <c r="K24" s="57">
        <f>147.53513916*Deflactores!$H$5</f>
        <v>367.49236120843057</v>
      </c>
      <c r="L24" s="57">
        <f>147.687566485*Deflactores!$I$5</f>
        <v>341.65236787480023</v>
      </c>
      <c r="M24" s="57">
        <f>160.361886243*Deflactores!$J$5</f>
        <v>363.69203230097565</v>
      </c>
      <c r="N24" s="57">
        <f>164.322565004*Deflactores!$K$5</f>
        <v>361.2195612318913</v>
      </c>
      <c r="O24" s="57">
        <f>172.746227474*Deflactores!$L$5</f>
        <v>366.09359254513913</v>
      </c>
      <c r="P24" s="57">
        <f>168.909555726*Deflactores!$M$5</f>
        <v>349.43645099812926</v>
      </c>
      <c r="Q24" s="57">
        <f>200.302740406*Deflactores!$N$5</f>
        <v>406.49597344881386</v>
      </c>
      <c r="R24" s="57">
        <f>202.059*Deflactores!$O$5</f>
        <v>395.58184509760599</v>
      </c>
      <c r="S24" s="57">
        <f>204.4395*Deflactores!$P$5</f>
        <v>374.86398692841306</v>
      </c>
      <c r="T24" s="57">
        <f>194.91449716*Deflactores!$Q$5</f>
        <v>337.96573845466872</v>
      </c>
      <c r="U24" s="57">
        <f>205.674911198*Deflactores!$R$5</f>
        <v>342.61063802903857</v>
      </c>
      <c r="V24" s="57">
        <f>219.835570801*Deflactores!$S$5</f>
        <v>354.9130488338223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121.340562231*Deflactores!$A$5</f>
        <v>452.83273380679032</v>
      </c>
      <c r="E26" s="57">
        <f>129.504627196*Deflactores!$B$5</f>
        <v>448.96233102150501</v>
      </c>
      <c r="F26" s="57">
        <f>146.786565959*Deflactores!$C$5</f>
        <v>475.62017735561665</v>
      </c>
      <c r="G26" s="57">
        <f>135.669628686*Deflactores!$D$5</f>
        <v>412.80240208389188</v>
      </c>
      <c r="H26" s="57">
        <f>141.49358*Deflactores!$E$5</f>
        <v>408.09030302897241</v>
      </c>
      <c r="I26" s="57">
        <f>147.156956025*Deflactores!$F$5</f>
        <v>404.77204066865738</v>
      </c>
      <c r="J26" s="57">
        <f>203.854189*Deflactores!$G$5</f>
        <v>536.69149741835952</v>
      </c>
      <c r="K26" s="57">
        <f>212.88573*Deflactores!$H$5</f>
        <v>530.27285588172163</v>
      </c>
      <c r="L26" s="57">
        <f>257.999026*Deflactores!$I$5</f>
        <v>596.84088674617556</v>
      </c>
      <c r="M26" s="57">
        <f>296.88755*Deflactores!$J$5</f>
        <v>673.32480899320171</v>
      </c>
      <c r="N26" s="57">
        <f>305.837247*Deflactores!$K$5</f>
        <v>672.30204303967832</v>
      </c>
      <c r="O26" s="57">
        <f>311.0035655*Deflactores!$L$5</f>
        <v>659.09637653522122</v>
      </c>
      <c r="P26" s="57">
        <f>323.28705196*Deflactores!$M$5</f>
        <v>668.80929030329071</v>
      </c>
      <c r="Q26" s="57">
        <f>351.531764988*Deflactores!$N$5</f>
        <v>713.40135795114827</v>
      </c>
      <c r="R26" s="57">
        <f>368.847347583*Deflactores!$O$5</f>
        <v>722.11242417433095</v>
      </c>
      <c r="S26" s="57">
        <f>369.97270037*Deflactores!$P$5</f>
        <v>678.38867496432613</v>
      </c>
      <c r="T26" s="57">
        <f>405.814701572*Deflactores!$Q$5</f>
        <v>703.64938109225443</v>
      </c>
      <c r="U26" s="57">
        <f>400.569059354*Deflactores!$R$5</f>
        <v>667.26281878808129</v>
      </c>
      <c r="V26" s="57">
        <f>640.910570447*Deflactores!$S$5</f>
        <v>1034.7166464387951</v>
      </c>
    </row>
    <row r="27" spans="3:22" x14ac:dyDescent="0.2">
      <c r="C27" s="87" t="s">
        <v>137</v>
      </c>
      <c r="D27" s="56">
        <f>5.188840261*Deflactores!$A$5</f>
        <v>19.364313774994816</v>
      </c>
      <c r="E27" s="56">
        <f>5.430549946*Deflactores!$B$5</f>
        <v>18.826449797773513</v>
      </c>
      <c r="F27" s="56">
        <f>4.957805335*Deflactores!$C$5</f>
        <v>16.064360095364318</v>
      </c>
      <c r="G27" s="56">
        <f>5.278021855*Deflactores!$D$5</f>
        <v>16.059453549754657</v>
      </c>
      <c r="H27" s="56">
        <f>5.612049827*Deflactores!$E$5</f>
        <v>16.186056742038204</v>
      </c>
      <c r="I27" s="56">
        <f>5.473532357*Deflactores!$F$5</f>
        <v>15.055576859257856</v>
      </c>
      <c r="J27" s="56">
        <f>5.747218434*Deflactores!$G$5</f>
        <v>15.130830926088349</v>
      </c>
      <c r="K27" s="56">
        <f>6.089412608*Deflactores!$H$5</f>
        <v>15.167997471161279</v>
      </c>
      <c r="L27" s="56">
        <f>6.4874*Deflactores!$I$5</f>
        <v>15.007597620454348</v>
      </c>
      <c r="M27" s="56">
        <f>6.763475*Deflactores!$J$5</f>
        <v>15.339193282120773</v>
      </c>
      <c r="N27" s="56">
        <f>6.9391043*Deflactores!$K$5</f>
        <v>15.2537797260365</v>
      </c>
      <c r="O27" s="56">
        <f>7.148123029*Deflactores!$L$5</f>
        <v>15.148707314231324</v>
      </c>
      <c r="P27" s="56">
        <f>8.156053805*Deflactores!$M$5</f>
        <v>16.873068450859044</v>
      </c>
      <c r="Q27" s="56">
        <f>5.8824*Deflactores!$N$5</f>
        <v>11.937789315156449</v>
      </c>
      <c r="R27" s="56">
        <f>7.288*Deflactores!$O$5</f>
        <v>14.268112220051334</v>
      </c>
      <c r="S27" s="56">
        <f>6.628177921*Deflactores!$P$5</f>
        <v>12.15354763407727</v>
      </c>
      <c r="T27" s="56">
        <f>5.35734824*Deflactores!$Q$5</f>
        <v>9.289202088463167</v>
      </c>
      <c r="U27" s="56">
        <f>3.837543532*Deflactores!$R$5</f>
        <v>6.3925309621114135</v>
      </c>
      <c r="V27" s="56">
        <f>4.935194231*Deflactores!$S$5</f>
        <v>7.967613360882603</v>
      </c>
    </row>
    <row r="28" spans="3:22" x14ac:dyDescent="0.2">
      <c r="C28" s="88" t="s">
        <v>138</v>
      </c>
      <c r="D28" s="57">
        <f>10.726020194*Deflactores!$A$5</f>
        <v>40.028601796563727</v>
      </c>
      <c r="E28" s="57">
        <f>13.291699*Deflactores!$B$5</f>
        <v>46.079219681044137</v>
      </c>
      <c r="F28" s="57">
        <f>13.74561668*Deflactores!$C$5</f>
        <v>44.538766885724485</v>
      </c>
      <c r="G28" s="57">
        <f>13.445056*Deflactores!$D$5</f>
        <v>40.90931379931736</v>
      </c>
      <c r="H28" s="57">
        <f>32.096393*Deflactores!$E$5</f>
        <v>92.571173515483792</v>
      </c>
      <c r="I28" s="57">
        <f>16.281800051*Deflactores!$F$5</f>
        <v>44.784953497425541</v>
      </c>
      <c r="J28" s="57">
        <f>22.412383*Deflactores!$G$5</f>
        <v>59.005583608506491</v>
      </c>
      <c r="K28" s="57">
        <f>30.404*Deflactores!$H$5</f>
        <v>75.732722480872084</v>
      </c>
      <c r="L28" s="57">
        <f>44.725*Deflactores!$I$5</f>
        <v>103.46437765126564</v>
      </c>
      <c r="M28" s="57">
        <f>46.69213*Deflactores!$J$5</f>
        <v>105.89521020243438</v>
      </c>
      <c r="N28" s="57">
        <f>48.519375*Deflactores!$K$5</f>
        <v>106.65697281635644</v>
      </c>
      <c r="O28" s="57">
        <f>33.989953*Deflactores!$L$5</f>
        <v>72.033434166215287</v>
      </c>
      <c r="P28" s="57">
        <f>20.347235*Deflactores!$M$5</f>
        <v>42.093921539635417</v>
      </c>
      <c r="Q28" s="57">
        <f>20.362461*Deflactores!$N$5</f>
        <v>41.323740200613678</v>
      </c>
      <c r="R28" s="57">
        <f>53.7835*Deflactores!$O$5</f>
        <v>105.29487014093453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106.979473554*Deflactores!$A$5</f>
        <v>399.23836333018613</v>
      </c>
      <c r="E29" s="56">
        <f>180.07728343*Deflactores!$B$5</f>
        <v>624.28593235045571</v>
      </c>
      <c r="F29" s="56">
        <f>118.75088055*Deflactores!$C$5</f>
        <v>384.77850135210986</v>
      </c>
      <c r="G29" s="56">
        <f>135.638305601*Deflactores!$D$5</f>
        <v>412.70709523552864</v>
      </c>
      <c r="H29" s="56">
        <f>126.18836426*Deflactores!$E$5</f>
        <v>363.94759260168377</v>
      </c>
      <c r="I29" s="56">
        <f>132.77632913804*Deflactores!$F$5</f>
        <v>365.21648143202526</v>
      </c>
      <c r="J29" s="56">
        <f>203.97829052704*Deflactores!$G$5</f>
        <v>537.01822229316213</v>
      </c>
      <c r="K29" s="56">
        <f>172.122981215999*Deflactores!$H$5</f>
        <v>428.73773085816379</v>
      </c>
      <c r="L29" s="56">
        <f>191.626098741*Deflactores!$I$5</f>
        <v>443.29737390670857</v>
      </c>
      <c r="M29" s="56">
        <f>456.410829655*Deflactores!$J$5</f>
        <v>1035.114927183311</v>
      </c>
      <c r="N29" s="56">
        <f>579.844923724*Deflactores!$K$5</f>
        <v>1274.6352208232884</v>
      </c>
      <c r="O29" s="56">
        <f>616.783008822*Deflactores!$L$5</f>
        <v>1307.1214973677581</v>
      </c>
      <c r="P29" s="56">
        <f>585.801071101*Deflactores!$M$5</f>
        <v>1211.8926392092039</v>
      </c>
      <c r="Q29" s="56">
        <f>722.855719611*Deflactores!$N$5</f>
        <v>1466.969142862084</v>
      </c>
      <c r="R29" s="56">
        <f>649.200587198*Deflactores!$O$5</f>
        <v>1270.975141529128</v>
      </c>
      <c r="S29" s="56">
        <f>503.131819782*Deflactores!$P$5</f>
        <v>922.55165911689437</v>
      </c>
      <c r="T29" s="56">
        <f>479.742201449*Deflactores!$Q$5</f>
        <v>831.83359751576791</v>
      </c>
      <c r="U29" s="56">
        <f>458.38611713826*Deflactores!$R$5</f>
        <v>763.57373459714438</v>
      </c>
      <c r="V29" s="56">
        <f>465.142400646*Deflactores!$S$5</f>
        <v>750.94811523742806</v>
      </c>
    </row>
    <row r="30" spans="3:22" x14ac:dyDescent="0.2">
      <c r="C30" s="88" t="s">
        <v>140</v>
      </c>
      <c r="D30" s="57">
        <f>14.276947494*Deflactores!$A$5</f>
        <v>53.280362685449404</v>
      </c>
      <c r="E30" s="57">
        <f>4.570054056*Deflactores!$B$5</f>
        <v>15.843311287794796</v>
      </c>
      <c r="F30" s="57">
        <f>9.38915895*Deflactores!$C$5</f>
        <v>30.422902912426022</v>
      </c>
      <c r="G30" s="57">
        <f>9.82322591*Deflactores!$D$5</f>
        <v>29.889160095262888</v>
      </c>
      <c r="H30" s="57">
        <f>2279.89389*Deflactores!$E$5</f>
        <v>6575.5816514360768</v>
      </c>
      <c r="I30" s="57">
        <f>2040.920686961*Deflactores!$F$5</f>
        <v>5613.7858081526056</v>
      </c>
      <c r="J30" s="57">
        <f>129.265054937*Deflactores!$G$5</f>
        <v>340.31901055516227</v>
      </c>
      <c r="K30" s="57">
        <f>80.305856*Deflactores!$H$5</f>
        <v>200.03226897897898</v>
      </c>
      <c r="L30" s="57">
        <f>74.0099*Deflactores!$I$5</f>
        <v>171.2104693914456</v>
      </c>
      <c r="M30" s="57">
        <f>77.782*Deflactores!$J$5</f>
        <v>176.40534368352334</v>
      </c>
      <c r="N30" s="57">
        <f>918.574036397*Deflactores!$K$5</f>
        <v>2019.241303701988</v>
      </c>
      <c r="O30" s="57">
        <f>685.3882*Deflactores!$L$5</f>
        <v>1452.5135054761859</v>
      </c>
      <c r="P30" s="57">
        <f>152.900642702*Deflactores!$M$5</f>
        <v>316.31755652587765</v>
      </c>
      <c r="Q30" s="57">
        <f>266.708764*Deflactores!$N$5</f>
        <v>541.26088554633873</v>
      </c>
      <c r="R30" s="57">
        <f>370.293201064*Deflactores!$O$5</f>
        <v>724.94304982206154</v>
      </c>
      <c r="S30" s="57">
        <f>666.255231335*Deflactores!$P$5</f>
        <v>1221.6577145324179</v>
      </c>
      <c r="T30" s="57">
        <f>444.310438666*Deflactores!$Q$5</f>
        <v>770.39782927797728</v>
      </c>
      <c r="U30" s="57">
        <f>540.211884629*Deflactores!$R$5</f>
        <v>899.87805214334207</v>
      </c>
      <c r="V30" s="57">
        <f>475.601225*Deflactores!$S$5</f>
        <v>767.83334097760519</v>
      </c>
    </row>
    <row r="31" spans="3:22" x14ac:dyDescent="0.2">
      <c r="C31" s="87" t="s">
        <v>141</v>
      </c>
      <c r="D31" s="56">
        <f>9.184223294*Deflactores!$A$5</f>
        <v>34.274745935300338</v>
      </c>
      <c r="E31" s="56">
        <f>8.382529829*Deflactores!$B$5</f>
        <v>29.06027539996176</v>
      </c>
      <c r="F31" s="56">
        <f>10.845507335*Deflactores!$C$5</f>
        <v>35.141786228755805</v>
      </c>
      <c r="G31" s="56">
        <f>11.930545653*Deflactores!$D$5</f>
        <v>36.301108445785474</v>
      </c>
      <c r="H31" s="56">
        <f>14.276763447*Deflactores!$E$5</f>
        <v>41.176488158396914</v>
      </c>
      <c r="I31" s="56">
        <f>14.562986552*Deflactores!$F$5</f>
        <v>40.057160355245628</v>
      </c>
      <c r="J31" s="56">
        <f>24.913591299*Deflactores!$G$5</f>
        <v>65.590570818877424</v>
      </c>
      <c r="K31" s="56">
        <f>20.154658*Deflactores!$H$5</f>
        <v>50.202839133366943</v>
      </c>
      <c r="L31" s="56">
        <f>25.638*Deflactores!$I$5</f>
        <v>59.309552022876431</v>
      </c>
      <c r="M31" s="56">
        <f>27.86438595*Deflactores!$J$5</f>
        <v>63.194911162480899</v>
      </c>
      <c r="N31" s="56">
        <f>30.773414526*Deflactores!$K$5</f>
        <v>67.647187058078359</v>
      </c>
      <c r="O31" s="56">
        <f>25.431882887*Deflactores!$L$5</f>
        <v>53.896687108205526</v>
      </c>
      <c r="P31" s="56">
        <f>26.194855358*Deflactores!$M$5</f>
        <v>54.191352593202488</v>
      </c>
      <c r="Q31" s="56">
        <f>26.981*Deflactores!$N$5</f>
        <v>54.755455853433325</v>
      </c>
      <c r="R31" s="56">
        <f>29.804*Deflactores!$O$5</f>
        <v>58.348904583755484</v>
      </c>
      <c r="S31" s="56">
        <f>31.3467*Deflactores!$P$5</f>
        <v>57.477879465802282</v>
      </c>
      <c r="T31" s="56">
        <f>42.563385942*Deflactores!$Q$5</f>
        <v>73.801417393857918</v>
      </c>
      <c r="U31" s="56">
        <f>24.299951725*Deflactores!$R$5</f>
        <v>40.47854896877692</v>
      </c>
      <c r="V31" s="56">
        <f>21.823*Deflactores!$S$5</f>
        <v>35.232093862151594</v>
      </c>
    </row>
    <row r="32" spans="3:22" x14ac:dyDescent="0.2">
      <c r="C32" s="88" t="s">
        <v>142</v>
      </c>
      <c r="D32" s="57">
        <f>18.629317588*Deflactores!$A$5</f>
        <v>69.523040418002495</v>
      </c>
      <c r="E32" s="57">
        <f>20.231653333*Deflactores!$B$5</f>
        <v>70.138422367376506</v>
      </c>
      <c r="F32" s="57">
        <f>22.780749905*Deflactores!$C$5</f>
        <v>73.814549985020037</v>
      </c>
      <c r="G32" s="57">
        <f>23.511103627*Deflactores!$D$5</f>
        <v>71.537308289769243</v>
      </c>
      <c r="H32" s="57">
        <f>31.311627703*Deflactores!$E$5</f>
        <v>90.307783841836752</v>
      </c>
      <c r="I32" s="57">
        <f>25.481814913*Deflactores!$F$5</f>
        <v>70.090646754909571</v>
      </c>
      <c r="J32" s="57">
        <f>43.239761194*Deflactores!$G$5</f>
        <v>113.83828950024734</v>
      </c>
      <c r="K32" s="57">
        <f>45.185550448*Deflactores!$H$5</f>
        <v>112.55179424496215</v>
      </c>
      <c r="L32" s="57">
        <f>40.904823783*Deflactores!$I$5</f>
        <v>94.626990176473655</v>
      </c>
      <c r="M32" s="57">
        <f>44.6761398259999*Deflactores!$J$5</f>
        <v>101.32305418295566</v>
      </c>
      <c r="N32" s="57">
        <f>55.929517333*Deflactores!$K$5</f>
        <v>122.94620468251534</v>
      </c>
      <c r="O32" s="57">
        <f>48.181120576*Deflactores!$L$5</f>
        <v>102.10816052219245</v>
      </c>
      <c r="P32" s="57">
        <f>54.620596755*Deflactores!$M$5</f>
        <v>112.99791417620305</v>
      </c>
      <c r="Q32" s="57">
        <f>79.205162*Deflactores!$N$5</f>
        <v>160.73958531021958</v>
      </c>
      <c r="R32" s="57">
        <f>105.171*Deflactores!$O$5</f>
        <v>205.89896134673697</v>
      </c>
      <c r="S32" s="57">
        <f>107.5389*Deflactores!$P$5</f>
        <v>197.18528368488438</v>
      </c>
      <c r="T32" s="57">
        <f>100.577171697*Deflactores!$Q$5</f>
        <v>174.39255981229451</v>
      </c>
      <c r="U32" s="57">
        <f>107.550848*Deflactores!$R$5</f>
        <v>179.1568278270513</v>
      </c>
      <c r="V32" s="57">
        <f>94.863065*Deflactores!$S$5</f>
        <v>153.15146451594134</v>
      </c>
    </row>
    <row r="33" spans="3:22" x14ac:dyDescent="0.2">
      <c r="C33" s="87" t="s">
        <v>143</v>
      </c>
      <c r="D33" s="56">
        <f>0*Deflactores!$A$5</f>
        <v>0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0*Deflactores!$E$5</f>
        <v>0</v>
      </c>
      <c r="I33" s="56">
        <f>0*Deflactores!$F$5</f>
        <v>0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0*Deflactores!$M$5</f>
        <v>0</v>
      </c>
      <c r="Q33" s="56">
        <f>0*Deflactores!$N$5</f>
        <v>0</v>
      </c>
      <c r="R33" s="56">
        <f>0*Deflactores!$O$5</f>
        <v>0</v>
      </c>
      <c r="S33" s="56">
        <f>0*Deflactores!$P$5</f>
        <v>0</v>
      </c>
      <c r="T33" s="56">
        <f>0*Deflactores!$Q$5</f>
        <v>0</v>
      </c>
      <c r="U33" s="56">
        <f>0*Deflactores!$R$5</f>
        <v>0</v>
      </c>
      <c r="V33" s="56">
        <f>0*Deflactores!$S$5</f>
        <v>0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14.118407319*Deflactores!$A$5</f>
        <v>52.688704137446436</v>
      </c>
      <c r="E35" s="56">
        <f>14.591125569*Deflactores!$B$5</f>
        <v>50.584028459239953</v>
      </c>
      <c r="F35" s="56">
        <f>29.568428695*Deflactores!$C$5</f>
        <v>95.808095299204268</v>
      </c>
      <c r="G35" s="56">
        <f>15.196325395*Deflactores!$D$5</f>
        <v>46.23790664617465</v>
      </c>
      <c r="H35" s="56">
        <f>15.590637919*Deflactores!$E$5</f>
        <v>44.965914020831882</v>
      </c>
      <c r="I35" s="56">
        <f>11.65178481*Deflactores!$F$5</f>
        <v>32.049566954718237</v>
      </c>
      <c r="J35" s="56">
        <f>16.409502242*Deflactores!$G$5</f>
        <v>43.201664745525086</v>
      </c>
      <c r="K35" s="56">
        <f>17.532942188*Deflactores!$H$5</f>
        <v>43.672459051341207</v>
      </c>
      <c r="L35" s="56">
        <f>19.812*Deflactores!$I$5</f>
        <v>45.832001118543879</v>
      </c>
      <c r="M35" s="56">
        <f>21.73381516*Deflactores!$J$5</f>
        <v>49.291110190712118</v>
      </c>
      <c r="N35" s="56">
        <f>22.058290566*Deflactores!$K$5</f>
        <v>48.489299321624692</v>
      </c>
      <c r="O35" s="56">
        <f>23.647803244*Deflactores!$L$5</f>
        <v>50.11576444816756</v>
      </c>
      <c r="P35" s="56">
        <f>23.104685341*Deflactores!$M$5</f>
        <v>47.798475416537855</v>
      </c>
      <c r="Q35" s="56">
        <f>25.861749799*Deflactores!$N$5</f>
        <v>52.484040599372982</v>
      </c>
      <c r="R35" s="56">
        <f>35.046*Deflactores!$O$5</f>
        <v>68.611451819966945</v>
      </c>
      <c r="S35" s="56">
        <f>39.737043267*Deflactores!$P$5</f>
        <v>72.862565540487381</v>
      </c>
      <c r="T35" s="56">
        <f>40.230054*Deflactores!$Q$5</f>
        <v>69.755611338751791</v>
      </c>
      <c r="U35" s="56">
        <f>45.866804*Deflactores!$R$5</f>
        <v>76.404335809654498</v>
      </c>
      <c r="V35" s="56">
        <f>48.7242668*Deflactores!$S$5</f>
        <v>78.662784276319329</v>
      </c>
    </row>
    <row r="36" spans="3:22" x14ac:dyDescent="0.2">
      <c r="C36" s="88" t="s">
        <v>146</v>
      </c>
      <c r="D36" s="57">
        <f>50.6351*Deflactores!$A$5</f>
        <v>188.96591822221063</v>
      </c>
      <c r="E36" s="57">
        <f>53.045352745*Deflactores!$B$5</f>
        <v>183.89586328996262</v>
      </c>
      <c r="F36" s="57">
        <f>51.924564245*Deflactores!$C$5</f>
        <v>168.24680306383166</v>
      </c>
      <c r="G36" s="57">
        <f>36.78321958*Deflactores!$D$5</f>
        <v>111.92041686902715</v>
      </c>
      <c r="H36" s="57">
        <f>47.552715518*Deflactores!$E$5</f>
        <v>137.14970025912933</v>
      </c>
      <c r="I36" s="57">
        <f>43.246396689*Deflactores!$F$5</f>
        <v>118.95416100071371</v>
      </c>
      <c r="J36" s="57">
        <f>54.46192031*Deflactores!$G$5</f>
        <v>143.38311960542183</v>
      </c>
      <c r="K36" s="57">
        <f>53.161601715*Deflactores!$H$5</f>
        <v>132.41918265099159</v>
      </c>
      <c r="L36" s="57">
        <f>56.65*Deflactores!$I$5</f>
        <v>131.05102278243035</v>
      </c>
      <c r="M36" s="57">
        <f>71.452760131*Deflactores!$J$5</f>
        <v>162.05097205067253</v>
      </c>
      <c r="N36" s="57">
        <f>110.531394776*Deflactores!$K$5</f>
        <v>242.97394531520234</v>
      </c>
      <c r="O36" s="57">
        <f>109.3448*Deflactores!$L$5</f>
        <v>231.72969530784519</v>
      </c>
      <c r="P36" s="57">
        <f>176.736641177*Deflactores!$M$5</f>
        <v>365.62895680338562</v>
      </c>
      <c r="Q36" s="57">
        <f>176.643*Deflactores!$N$5</f>
        <v>358.480708213855</v>
      </c>
      <c r="R36" s="57">
        <f>168.7503*Deflactores!$O$5</f>
        <v>330.37159955643921</v>
      </c>
      <c r="S36" s="57">
        <f>199.21776086*Deflactores!$P$5</f>
        <v>365.2893110329988</v>
      </c>
      <c r="T36" s="57">
        <f>284.762178929*Deflactores!$Q$5</f>
        <v>493.75424346553001</v>
      </c>
      <c r="U36" s="57">
        <f>264.567356854*Deflactores!$R$5</f>
        <v>440.71292120867446</v>
      </c>
      <c r="V36" s="57">
        <f>253.634*Deflactores!$S$5</f>
        <v>409.47884775846387</v>
      </c>
    </row>
    <row r="37" spans="3:22" x14ac:dyDescent="0.2">
      <c r="C37" s="90" t="s">
        <v>147</v>
      </c>
      <c r="D37" s="58">
        <f>150.996119206*Deflactores!$A$5</f>
        <v>563.50476870297803</v>
      </c>
      <c r="E37" s="58">
        <f>140.570892801*Deflactores!$B$5</f>
        <v>487.3264922819713</v>
      </c>
      <c r="F37" s="58">
        <f>172.479690304*Deflactores!$C$5</f>
        <v>558.87144955447786</v>
      </c>
      <c r="G37" s="58">
        <f>149.110067351*Deflactores!$D$5</f>
        <v>453.69766670361253</v>
      </c>
      <c r="H37" s="58">
        <f>147.33967978316*Deflactores!$E$5</f>
        <v>424.95139758921584</v>
      </c>
      <c r="I37" s="58">
        <f>138.035578*Deflactores!$F$5</f>
        <v>379.68264702652283</v>
      </c>
      <c r="J37" s="58">
        <f>167.89481956*Deflactores!$G$5</f>
        <v>442.02045864478987</v>
      </c>
      <c r="K37" s="58">
        <f>190.495341*Deflactores!$H$5</f>
        <v>474.50107860321316</v>
      </c>
      <c r="L37" s="58">
        <f>175.663272745*Deflactores!$I$5</f>
        <v>406.36984216312931</v>
      </c>
      <c r="M37" s="58">
        <f>240.27052676623*Deflactores!$J$5</f>
        <v>544.92048097526424</v>
      </c>
      <c r="N37" s="58">
        <f>267.778177635*Deflactores!$K$5</f>
        <v>588.63927684207943</v>
      </c>
      <c r="O37" s="58">
        <f>320.447663252*Deflactores!$L$5</f>
        <v>679.11084356546382</v>
      </c>
      <c r="P37" s="58">
        <f>421.54627694*Deflactores!$M$5</f>
        <v>872.08585868486716</v>
      </c>
      <c r="Q37" s="58">
        <f>485.33078101742*Deflactores!$N$5</f>
        <v>984.93414455771301</v>
      </c>
      <c r="R37" s="58">
        <f>459.52079228952*Deflactores!$O$5</f>
        <v>899.62873653042959</v>
      </c>
      <c r="S37" s="58">
        <f>487.563746691*Deflactores!$P$5</f>
        <v>894.00575703982418</v>
      </c>
      <c r="T37" s="58">
        <f>510.20016665*Deflactores!$Q$5</f>
        <v>884.6452090221851</v>
      </c>
      <c r="U37" s="58">
        <f>559.363797995*Deflactores!$R$5</f>
        <v>931.78106461862319</v>
      </c>
      <c r="V37" s="58">
        <f>528.785330166*Deflactores!$S$5</f>
        <v>853.69630139473634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194.6180484*Deflactores!$A$5</f>
        <v>726.29812557930427</v>
      </c>
      <c r="E39" s="56">
        <f>182.98753486*Deflactores!$B$5</f>
        <v>634.37509514070871</v>
      </c>
      <c r="F39" s="56">
        <f>179.904192022*Deflactores!$C$5</f>
        <v>582.92843869937394</v>
      </c>
      <c r="G39" s="56">
        <f>188.224531983*Deflactores!$D$5</f>
        <v>572.71137015882971</v>
      </c>
      <c r="H39" s="56">
        <f>172.976522*Deflactores!$E$5</f>
        <v>498.89218493077709</v>
      </c>
      <c r="I39" s="56">
        <f>112.7781*Deflactores!$F$5</f>
        <v>310.20906461247188</v>
      </c>
      <c r="J39" s="56">
        <f>206.19*Deflactores!$G$5</f>
        <v>542.84103944850278</v>
      </c>
      <c r="K39" s="56">
        <f>208.84553*Deflactores!$H$5</f>
        <v>520.20920158073432</v>
      </c>
      <c r="L39" s="56">
        <f>265.14454512*Deflactores!$I$5</f>
        <v>613.37094127375553</v>
      </c>
      <c r="M39" s="56">
        <f>299.8972*Deflactores!$J$5</f>
        <v>680.15053143048954</v>
      </c>
      <c r="N39" s="56">
        <f>378.2163*Deflactores!$K$5</f>
        <v>831.40818750865844</v>
      </c>
      <c r="O39" s="56">
        <f>409.946884*Deflactores!$L$5</f>
        <v>868.7826629315756</v>
      </c>
      <c r="P39" s="56">
        <f>493.144092*Deflactores!$M$5</f>
        <v>1020.2058764437895</v>
      </c>
      <c r="Q39" s="56">
        <f>393.677543896*Deflactores!$N$5</f>
        <v>798.93233665488617</v>
      </c>
      <c r="R39" s="56">
        <f>432.120506985*Deflactores!$O$5</f>
        <v>845.98571435887163</v>
      </c>
      <c r="S39" s="56">
        <f>438.191902309*Deflactores!$P$5</f>
        <v>803.4766448719422</v>
      </c>
      <c r="T39" s="56">
        <f>124.243350461*Deflactores!$Q$5</f>
        <v>215.42777114298292</v>
      </c>
      <c r="U39" s="56">
        <f>129.712778591*Deflactores!$R$5</f>
        <v>216.07388852011852</v>
      </c>
      <c r="V39" s="56">
        <f>286.041168955*Deflactores!$S$5</f>
        <v>461.79852967337774</v>
      </c>
    </row>
    <row r="40" spans="3:22" x14ac:dyDescent="0.2">
      <c r="C40" s="88" t="s">
        <v>150</v>
      </c>
      <c r="D40" s="57">
        <f>142.710372637*Deflactores!$A$5</f>
        <v>532.58306204953772</v>
      </c>
      <c r="E40" s="57">
        <f>160.298353562*Deflactores!$B$5</f>
        <v>555.71699662271033</v>
      </c>
      <c r="F40" s="57">
        <f>181.324006*Deflactores!$C$5</f>
        <v>587.52894264615179</v>
      </c>
      <c r="G40" s="57">
        <f>188.9558*Deflactores!$D$5</f>
        <v>574.93640163351142</v>
      </c>
      <c r="H40" s="57">
        <f>199.4742*Deflactores!$E$5</f>
        <v>575.31576149576426</v>
      </c>
      <c r="I40" s="57">
        <f>211.529189603*Deflactores!$F$5</f>
        <v>581.83523259374681</v>
      </c>
      <c r="J40" s="57">
        <f>228.06787497*Deflactores!$G$5</f>
        <v>600.43941177324791</v>
      </c>
      <c r="K40" s="57">
        <f>228.397213*Deflactores!$H$5</f>
        <v>568.91010220805254</v>
      </c>
      <c r="L40" s="57">
        <f>243.584963*Deflactores!$I$5</f>
        <v>563.49617891563025</v>
      </c>
      <c r="M40" s="57">
        <f>261.424799999999*Deflactores!$J$5</f>
        <v>592.89722161163479</v>
      </c>
      <c r="N40" s="57">
        <f>341.112878622*Deflactores!$K$5</f>
        <v>749.84615985873165</v>
      </c>
      <c r="O40" s="57">
        <f>247.9283*Deflactores!$L$5</f>
        <v>525.4237002325857</v>
      </c>
      <c r="P40" s="57">
        <f>327.28376181*Deflactores!$M$5</f>
        <v>677.0775975618734</v>
      </c>
      <c r="Q40" s="57">
        <f>360.11432*Deflactores!$N$5</f>
        <v>730.81886330933469</v>
      </c>
      <c r="R40" s="57">
        <f>382.9792823*Deflactores!$O$5</f>
        <v>749.77927796530184</v>
      </c>
      <c r="S40" s="57">
        <f>402.505630313*Deflactores!$P$5</f>
        <v>738.04164723678684</v>
      </c>
      <c r="T40" s="57">
        <f>508.907720429*Deflactores!$Q$5</f>
        <v>882.40421336584529</v>
      </c>
      <c r="U40" s="57">
        <f>731.092718978*Deflactores!$R$5</f>
        <v>1217.8449060629662</v>
      </c>
      <c r="V40" s="57">
        <f>701.717146668*Deflactores!$S$5</f>
        <v>1132.8856883145386</v>
      </c>
    </row>
    <row r="41" spans="3:22" x14ac:dyDescent="0.2">
      <c r="C41" s="87" t="s">
        <v>151</v>
      </c>
      <c r="D41" s="56">
        <f>26.718857568*Deflactores!$A$5</f>
        <v>99.712520646460291</v>
      </c>
      <c r="E41" s="56">
        <f>22.3197869*Deflactores!$B$5</f>
        <v>77.377494314247656</v>
      </c>
      <c r="F41" s="56">
        <f>11.013184*Deflactores!$C$5</f>
        <v>35.685094838945467</v>
      </c>
      <c r="G41" s="56">
        <f>14.6774*Deflactores!$D$5</f>
        <v>44.658970729322412</v>
      </c>
      <c r="H41" s="56">
        <f>26.7336*Deflactores!$E$5</f>
        <v>77.104013659526714</v>
      </c>
      <c r="I41" s="56">
        <f>8.85*Deflactores!$F$5</f>
        <v>24.342937341739006</v>
      </c>
      <c r="J41" s="56">
        <f>23.5783*Deflactores!$G$5</f>
        <v>62.075119455010594</v>
      </c>
      <c r="K41" s="56">
        <f>24.6393235*Deflactores!$H$5</f>
        <v>61.373603760752857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179</v>
      </c>
      <c r="D42" s="44">
        <f t="shared" ref="D42:V42" si="0">+SUM(D13:D41)</f>
        <v>6726.6084965745995</v>
      </c>
      <c r="E42" s="44">
        <f t="shared" si="0"/>
        <v>6861.2467814303263</v>
      </c>
      <c r="F42" s="44">
        <f t="shared" si="0"/>
        <v>6834.615073630117</v>
      </c>
      <c r="G42" s="44">
        <f t="shared" si="0"/>
        <v>6692.3216346368563</v>
      </c>
      <c r="H42" s="44">
        <f t="shared" si="0"/>
        <v>12994.809591519366</v>
      </c>
      <c r="I42" s="44">
        <f t="shared" si="0"/>
        <v>11900.764810176845</v>
      </c>
      <c r="J42" s="44">
        <f t="shared" si="0"/>
        <v>7206.3032941874317</v>
      </c>
      <c r="K42" s="44">
        <f t="shared" si="0"/>
        <v>6907.4581127445554</v>
      </c>
      <c r="L42" s="44">
        <f t="shared" si="0"/>
        <v>6794.4387558898388</v>
      </c>
      <c r="M42" s="44">
        <f t="shared" si="0"/>
        <v>8439.9004372614072</v>
      </c>
      <c r="N42" s="44">
        <f t="shared" si="0"/>
        <v>11264.306565416375</v>
      </c>
      <c r="O42" s="44">
        <f t="shared" si="0"/>
        <v>10741.389633546585</v>
      </c>
      <c r="P42" s="44">
        <f t="shared" si="0"/>
        <v>10372.673764272606</v>
      </c>
      <c r="Q42" s="44">
        <f t="shared" si="0"/>
        <v>11126.014629701891</v>
      </c>
      <c r="R42" s="44">
        <f t="shared" si="0"/>
        <v>10782.356549476612</v>
      </c>
      <c r="S42" s="44">
        <f t="shared" si="0"/>
        <v>10813.574691771561</v>
      </c>
      <c r="T42" s="44">
        <f t="shared" si="0"/>
        <v>9750.4525580074132</v>
      </c>
      <c r="U42" s="44">
        <f t="shared" si="0"/>
        <v>9826.4076700444421</v>
      </c>
      <c r="V42" s="44">
        <f t="shared" si="0"/>
        <v>9803.9087983452009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5" customHeight="1" x14ac:dyDescent="0.2">
      <c r="D48" s="164" t="s">
        <v>195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3:22" ht="12" thickBot="1" x14ac:dyDescent="0.25">
      <c r="C51" s="181" t="s">
        <v>120</v>
      </c>
      <c r="D51" s="155">
        <v>2000</v>
      </c>
      <c r="E51" s="155">
        <v>2001</v>
      </c>
      <c r="F51" s="155">
        <v>2002</v>
      </c>
      <c r="G51" s="155">
        <v>2003</v>
      </c>
      <c r="H51" s="155">
        <v>2004</v>
      </c>
      <c r="I51" s="155">
        <v>2005</v>
      </c>
      <c r="J51" s="155">
        <v>2006</v>
      </c>
      <c r="K51" s="155">
        <v>2007</v>
      </c>
      <c r="L51" s="155">
        <v>2008</v>
      </c>
      <c r="M51" s="155">
        <v>2009</v>
      </c>
      <c r="N51" s="155">
        <v>2010</v>
      </c>
      <c r="O51" s="155">
        <v>2011</v>
      </c>
      <c r="P51" s="155">
        <v>2012</v>
      </c>
      <c r="Q51" s="155">
        <v>2013</v>
      </c>
      <c r="R51" s="155">
        <v>2014</v>
      </c>
      <c r="S51" s="155">
        <v>2015</v>
      </c>
      <c r="T51" s="155">
        <v>2016</v>
      </c>
      <c r="U51" s="155">
        <v>2017</v>
      </c>
      <c r="V51" s="155">
        <v>2018</v>
      </c>
    </row>
    <row r="52" spans="3:22" ht="12" customHeight="1" thickBot="1" x14ac:dyDescent="0.25">
      <c r="C52" s="162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  <row r="53" spans="3:22" x14ac:dyDescent="0.2">
      <c r="C53" s="87" t="s">
        <v>123</v>
      </c>
      <c r="D53" s="56">
        <f>13.0008627965*Deflactores!$A$5</f>
        <v>48.518122330588852</v>
      </c>
      <c r="E53" s="56">
        <f>6.2152110175*Deflactores!$B$5</f>
        <v>21.546686683126691</v>
      </c>
      <c r="F53" s="56">
        <f>10.31522884*Deflactores!$C$5</f>
        <v>33.423569372928434</v>
      </c>
      <c r="G53" s="56">
        <f>8.488113378*Deflactores!$D$5</f>
        <v>25.826809032612857</v>
      </c>
      <c r="H53" s="56">
        <f>4.2216881*Deflactores!$E$5</f>
        <v>12.176029301278593</v>
      </c>
      <c r="I53" s="56">
        <f>4.71331582*Deflactores!$F$5</f>
        <v>12.964514313908159</v>
      </c>
      <c r="J53" s="56">
        <f>10.719782407*Deflactores!$G$5</f>
        <v>28.222211671165692</v>
      </c>
      <c r="K53" s="56">
        <f>4.455188411*Deflactores!$H$5</f>
        <v>11.097340729188938</v>
      </c>
      <c r="L53" s="56">
        <f>7.059563816*Deflactores!$I$5</f>
        <v>16.331210211555817</v>
      </c>
      <c r="M53" s="56">
        <f>7.105833866*Deflactores!$J$5</f>
        <v>16.115644561592006</v>
      </c>
      <c r="N53" s="56">
        <f>6.892572608*Deflactores!$K$5</f>
        <v>15.151492146925204</v>
      </c>
      <c r="O53" s="56">
        <f>6.97533505461999*Deflactores!$L$5</f>
        <v>14.782525249277715</v>
      </c>
      <c r="P53" s="56">
        <f>8.21507906628*Deflactores!$M$5</f>
        <v>16.995178640139148</v>
      </c>
      <c r="Q53" s="56">
        <f>14.04360744063*Deflactores!$N$5</f>
        <v>28.500208563002246</v>
      </c>
      <c r="R53" s="56">
        <f>15.509285711*Deflactores!$O$5</f>
        <v>30.363368410728135</v>
      </c>
      <c r="S53" s="56">
        <f>13.33244315708*Deflactores!$P$5</f>
        <v>24.446610353475954</v>
      </c>
      <c r="T53" s="56">
        <f>11.53613854029*Deflactores!$Q$5</f>
        <v>20.002717281126809</v>
      </c>
      <c r="U53" s="56">
        <f>9.42877748669*Deflactores!$R$5</f>
        <v>15.706337013749049</v>
      </c>
      <c r="V53" s="56">
        <f>8.77285805789*Deflactores!$S$5</f>
        <v>14.163321199418659</v>
      </c>
    </row>
    <row r="54" spans="3:22" x14ac:dyDescent="0.2">
      <c r="C54" s="88" t="s">
        <v>124</v>
      </c>
      <c r="D54" s="57">
        <f>0*Deflactores!$A$5</f>
        <v>0</v>
      </c>
      <c r="E54" s="57">
        <f>0*Deflactores!$B$5</f>
        <v>0</v>
      </c>
      <c r="F54" s="57">
        <f>0*Deflactores!$C$5</f>
        <v>0</v>
      </c>
      <c r="G54" s="57">
        <f>0*Deflactores!$D$5</f>
        <v>0</v>
      </c>
      <c r="H54" s="57">
        <f>0*Deflactores!$E$5</f>
        <v>0</v>
      </c>
      <c r="I54" s="57">
        <f>0*Deflactores!$F$5</f>
        <v>0</v>
      </c>
      <c r="J54" s="57">
        <f>0*Deflactores!$G$5</f>
        <v>0</v>
      </c>
      <c r="K54" s="57">
        <f>0*Deflactores!$H$5</f>
        <v>0</v>
      </c>
      <c r="L54" s="57">
        <f>0*Deflactores!$I$5</f>
        <v>0</v>
      </c>
      <c r="M54" s="57">
        <f>0*Deflactores!$J$5</f>
        <v>0</v>
      </c>
      <c r="N54" s="57">
        <f>0*Deflactores!$K$5</f>
        <v>0</v>
      </c>
      <c r="O54" s="57">
        <f>0*Deflactores!$L$5</f>
        <v>0</v>
      </c>
      <c r="P54" s="57">
        <f>6.03270861587*Deflactores!$M$5</f>
        <v>12.480337655112075</v>
      </c>
      <c r="Q54" s="57">
        <f>18.50319104594*Deflactores!$N$5</f>
        <v>37.550522977784752</v>
      </c>
      <c r="R54" s="57">
        <f>19.17433019787*Deflactores!$O$5</f>
        <v>37.538624452185545</v>
      </c>
      <c r="S54" s="57">
        <f>28.8981754219899*Deflactores!$P$5</f>
        <v>52.988220249236619</v>
      </c>
      <c r="T54" s="57">
        <f>24.71670342217*Deflactores!$Q$5</f>
        <v>42.856734855292181</v>
      </c>
      <c r="U54" s="57">
        <f>24.0256407662599*Deflactores!$R$5</f>
        <v>40.021605280094214</v>
      </c>
      <c r="V54" s="57">
        <f>29.60087322288*Deflactores!$S$5</f>
        <v>47.789064005414374</v>
      </c>
    </row>
    <row r="55" spans="3:22" x14ac:dyDescent="0.2">
      <c r="C55" s="87" t="s">
        <v>125</v>
      </c>
      <c r="D55" s="56">
        <f>1.148768532*Deflactores!$A$5</f>
        <v>4.2871071741570761</v>
      </c>
      <c r="E55" s="56">
        <f>1.91698540897*Deflactores!$B$5</f>
        <v>6.6457412092528481</v>
      </c>
      <c r="F55" s="56">
        <f>1.712324405*Deflactores!$C$5</f>
        <v>5.5483009080267678</v>
      </c>
      <c r="G55" s="56">
        <f>1.56054195633999*Deflactores!$D$5</f>
        <v>4.7482658747507838</v>
      </c>
      <c r="H55" s="56">
        <f>1.42537135136*Deflactores!$E$5</f>
        <v>4.1110008433267309</v>
      </c>
      <c r="I55" s="56">
        <f>1.4482425952*Deflactores!$F$5</f>
        <v>3.9835569209707447</v>
      </c>
      <c r="J55" s="56">
        <f>1.905352336*Deflactores!$G$5</f>
        <v>5.0162638468881759</v>
      </c>
      <c r="K55" s="56">
        <f>1.49269298*Deflactores!$H$5</f>
        <v>3.7181194317683839</v>
      </c>
      <c r="L55" s="56">
        <f>2.42913708075*Deflactores!$I$5</f>
        <v>5.6194333435307087</v>
      </c>
      <c r="M55" s="56">
        <f>2.46792571398*Deflactores!$J$5</f>
        <v>5.5971212331907978</v>
      </c>
      <c r="N55" s="56">
        <f>0*Deflactores!$K$5</f>
        <v>0</v>
      </c>
      <c r="O55" s="56">
        <f>0*Deflactores!$L$5</f>
        <v>0</v>
      </c>
      <c r="P55" s="56">
        <f>0*Deflactores!$M$5</f>
        <v>0</v>
      </c>
      <c r="Q55" s="56">
        <f>0*Deflactores!$N$5</f>
        <v>0</v>
      </c>
      <c r="R55" s="56">
        <f>0*Deflactores!$O$5</f>
        <v>0</v>
      </c>
      <c r="S55" s="56">
        <f>0*Deflactores!$P$5</f>
        <v>0</v>
      </c>
      <c r="T55" s="56">
        <f>0*Deflactores!$Q$5</f>
        <v>0</v>
      </c>
      <c r="U55" s="56">
        <f>0*Deflactores!$R$5</f>
        <v>0</v>
      </c>
      <c r="V55" s="56">
        <f>0*Deflactores!$S$5</f>
        <v>0</v>
      </c>
    </row>
    <row r="56" spans="3:22" x14ac:dyDescent="0.2">
      <c r="C56" s="88" t="s">
        <v>126</v>
      </c>
      <c r="D56" s="57">
        <f>34.9093290123399*Deflactores!$A$5</f>
        <v>130.27866857847752</v>
      </c>
      <c r="E56" s="57">
        <f>35.495205958*Deflactores!$B$5</f>
        <v>123.05359856272617</v>
      </c>
      <c r="F56" s="57">
        <f>36.232747103*Deflactores!$C$5</f>
        <v>117.40192633175671</v>
      </c>
      <c r="G56" s="57">
        <f>36.525183768*Deflactores!$D$5</f>
        <v>111.13529049955946</v>
      </c>
      <c r="H56" s="57">
        <f>37.693249802*Deflactores!$E$5</f>
        <v>108.71341112328159</v>
      </c>
      <c r="I56" s="57">
        <f>44.52215717*Deflactores!$F$5</f>
        <v>122.46328613653854</v>
      </c>
      <c r="J56" s="57">
        <f>47.373209717*Deflactores!$G$5</f>
        <v>124.72051217221104</v>
      </c>
      <c r="K56" s="57">
        <f>52.968440133*Deflactores!$H$5</f>
        <v>131.93804028539589</v>
      </c>
      <c r="L56" s="57">
        <f>79.43650773058*Deflactores!$I$5</f>
        <v>183.76408798511821</v>
      </c>
      <c r="M56" s="57">
        <f>86.5386217296*Deflactores!$J$5</f>
        <v>196.26488529619331</v>
      </c>
      <c r="N56" s="57">
        <f>95.67924466188*Deflactores!$K$5</f>
        <v>210.32543384970754</v>
      </c>
      <c r="O56" s="57">
        <f>92.69010028519*Deflactores!$L$5</f>
        <v>196.43411206697246</v>
      </c>
      <c r="P56" s="57">
        <f>125.58575609036*Deflactores!$M$5</f>
        <v>259.80910739780637</v>
      </c>
      <c r="Q56" s="57">
        <f>153.01368452799*Deflactores!$N$5</f>
        <v>310.52718758176229</v>
      </c>
      <c r="R56" s="57">
        <f>165.379529074269*Deflactores!$O$5</f>
        <v>323.77245879952142</v>
      </c>
      <c r="S56" s="57">
        <f>169.82489390118*Deflactores!$P$5</f>
        <v>311.39401538103482</v>
      </c>
      <c r="T56" s="57">
        <f>178.49869965775*Deflactores!$Q$5</f>
        <v>309.50209308191819</v>
      </c>
      <c r="U56" s="57">
        <f>183.77990912226*Deflactores!$R$5</f>
        <v>306.13822344467121</v>
      </c>
      <c r="V56" s="57">
        <f>191.44967192432*Deflactores!$S$5</f>
        <v>309.08549746211662</v>
      </c>
    </row>
    <row r="57" spans="3:22" x14ac:dyDescent="0.2">
      <c r="C57" s="87" t="s">
        <v>127</v>
      </c>
      <c r="D57" s="56">
        <f>0*Deflactores!$A$5</f>
        <v>0</v>
      </c>
      <c r="E57" s="56">
        <f>0*Deflactores!$B$5</f>
        <v>0</v>
      </c>
      <c r="F57" s="56">
        <f>0*Deflactores!$C$5</f>
        <v>0</v>
      </c>
      <c r="G57" s="56">
        <f>0*Deflactores!$D$5</f>
        <v>0</v>
      </c>
      <c r="H57" s="56">
        <f>0*Deflactores!$E$5</f>
        <v>0</v>
      </c>
      <c r="I57" s="56">
        <f>0*Deflactores!$F$5</f>
        <v>0</v>
      </c>
      <c r="J57" s="56">
        <f>0*Deflactores!$G$5</f>
        <v>0</v>
      </c>
      <c r="K57" s="56">
        <f>0*Deflactores!$H$5</f>
        <v>0</v>
      </c>
      <c r="L57" s="56">
        <f>0*Deflactores!$I$5</f>
        <v>0</v>
      </c>
      <c r="M57" s="56">
        <f>0*Deflactores!$J$5</f>
        <v>0</v>
      </c>
      <c r="N57" s="56">
        <f>0*Deflactores!$K$5</f>
        <v>0</v>
      </c>
      <c r="O57" s="56">
        <f>0*Deflactores!$L$5</f>
        <v>0</v>
      </c>
      <c r="P57" s="56">
        <f>0*Deflactores!$M$5</f>
        <v>0</v>
      </c>
      <c r="Q57" s="56">
        <f>0*Deflactores!$N$5</f>
        <v>0</v>
      </c>
      <c r="R57" s="56">
        <f>0*Deflactores!$O$5</f>
        <v>0</v>
      </c>
      <c r="S57" s="56">
        <f>0*Deflactores!$P$5</f>
        <v>0</v>
      </c>
      <c r="T57" s="56">
        <f>0*Deflactores!$Q$5</f>
        <v>0</v>
      </c>
      <c r="U57" s="56">
        <f>0*Deflactores!$R$5</f>
        <v>0</v>
      </c>
      <c r="V57" s="56">
        <f>0*Deflactores!$S$5</f>
        <v>0</v>
      </c>
    </row>
    <row r="58" spans="3:22" x14ac:dyDescent="0.2">
      <c r="C58" s="88" t="s">
        <v>128</v>
      </c>
      <c r="D58" s="57">
        <f>0.548046022*Deflactores!$A$5</f>
        <v>2.04526148413373</v>
      </c>
      <c r="E58" s="57">
        <f>0.593620052309999*Deflactores!$B$5</f>
        <v>2.057942238796211</v>
      </c>
      <c r="F58" s="57">
        <f>0.477502175*Deflactores!$C$5</f>
        <v>1.5472101801511475</v>
      </c>
      <c r="G58" s="57">
        <f>0.591445001*Deflactores!$D$5</f>
        <v>1.7995915480713929</v>
      </c>
      <c r="H58" s="57">
        <f>0.5571688946*Deflactores!$E$5</f>
        <v>1.6069649452337806</v>
      </c>
      <c r="I58" s="57">
        <f>0.54787091*Deflactores!$F$5</f>
        <v>1.5069816083041279</v>
      </c>
      <c r="J58" s="57">
        <f>0.907625489*Deflactores!$G$5</f>
        <v>2.3895259900029857</v>
      </c>
      <c r="K58" s="57">
        <f>1.560274493*Deflactores!$H$5</f>
        <v>3.8864568863423363</v>
      </c>
      <c r="L58" s="57">
        <f>1.753603732*Deflactores!$I$5</f>
        <v>4.0566913086264238</v>
      </c>
      <c r="M58" s="57">
        <f>1.946914569*Deflactores!$J$5</f>
        <v>4.4154963059178698</v>
      </c>
      <c r="N58" s="57">
        <f>2.053266888*Deflactores!$K$5</f>
        <v>4.5135624821659555</v>
      </c>
      <c r="O58" s="57">
        <f>2.02325419107999*Deflactores!$L$5</f>
        <v>4.2877949132403819</v>
      </c>
      <c r="P58" s="57">
        <f>2.18459701351*Deflactores!$M$5</f>
        <v>4.5194472508137737</v>
      </c>
      <c r="Q58" s="57">
        <f>2.61333450013999*Deflactores!$N$5</f>
        <v>5.303521806184702</v>
      </c>
      <c r="R58" s="57">
        <f>2.9814221768*Deflactores!$O$5</f>
        <v>5.8368916292442554</v>
      </c>
      <c r="S58" s="57">
        <f>2.48132282834*Deflactores!$P$5</f>
        <v>4.5497986851269872</v>
      </c>
      <c r="T58" s="57">
        <f>3.18838693534*Deflactores!$Q$5</f>
        <v>5.5284012260866211</v>
      </c>
      <c r="U58" s="57">
        <f>3.87721109110999*Deflactores!$R$5</f>
        <v>6.4586086750252889</v>
      </c>
      <c r="V58" s="57">
        <f>3.12049097132999*Deflactores!$S$5</f>
        <v>5.0378697153413743</v>
      </c>
    </row>
    <row r="59" spans="3:22" x14ac:dyDescent="0.2">
      <c r="C59" s="87" t="s">
        <v>129</v>
      </c>
      <c r="D59" s="56">
        <f>590.542366529879*Deflactores!$A$5</f>
        <v>2203.8542540734757</v>
      </c>
      <c r="E59" s="56">
        <f>721.73101603201*Deflactores!$B$5</f>
        <v>2502.073063673965</v>
      </c>
      <c r="F59" s="56">
        <f>792.23395295389*Deflactores!$C$5</f>
        <v>2567.0091179619108</v>
      </c>
      <c r="G59" s="56">
        <f>915.579159514049*Deflactores!$D$5</f>
        <v>2785.8355625053164</v>
      </c>
      <c r="H59" s="56">
        <f>923.06455706839*Deflactores!$E$5</f>
        <v>2662.2670428534175</v>
      </c>
      <c r="I59" s="56">
        <f>1099.4662577268*Deflactores!$F$5</f>
        <v>3024.2077086101431</v>
      </c>
      <c r="J59" s="56">
        <f>1020.14100772899*Deflactores!$G$5</f>
        <v>2685.748120760697</v>
      </c>
      <c r="K59" s="56">
        <f>1058.50892634213*Deflactores!$H$5</f>
        <v>2636.6189567883962</v>
      </c>
      <c r="L59" s="56">
        <f>1101.96726936946*Deflactores!$I$5</f>
        <v>2549.2310277781053</v>
      </c>
      <c r="M59" s="56">
        <f>1352.22964772239*Deflactores!$J$5</f>
        <v>3066.7832627795365</v>
      </c>
      <c r="N59" s="56">
        <f>1633.55501694836*Deflactores!$K$5</f>
        <v>3590.9372912714543</v>
      </c>
      <c r="O59" s="56">
        <f>1636.54587504943*Deflactores!$L$5</f>
        <v>3468.2607401770842</v>
      </c>
      <c r="P59" s="56">
        <f>1734.94464889148*Deflactores!$M$5</f>
        <v>3589.2161232741587</v>
      </c>
      <c r="Q59" s="56">
        <f>1755.02569808628*Deflactores!$N$5</f>
        <v>3561.6631011898853</v>
      </c>
      <c r="R59" s="56">
        <f>1761.31995290837*Deflactores!$O$5</f>
        <v>3448.2314412063879</v>
      </c>
      <c r="S59" s="56">
        <f>1853.93516098161*Deflactores!$P$5</f>
        <v>3399.409243088227</v>
      </c>
      <c r="T59" s="56">
        <f>2055.17996746918*Deflactores!$Q$5</f>
        <v>3563.5133634662452</v>
      </c>
      <c r="U59" s="56">
        <f>2080.43855404872*Deflactores!$R$5</f>
        <v>3465.5679500775868</v>
      </c>
      <c r="V59" s="56">
        <f>1945.7785345533*Deflactores!$S$5</f>
        <v>3141.3578318444597</v>
      </c>
    </row>
    <row r="60" spans="3:22" x14ac:dyDescent="0.2">
      <c r="C60" s="88" t="s">
        <v>130</v>
      </c>
      <c r="D60" s="57">
        <f>1.086122563*Deflactores!$A$5</f>
        <v>4.0533177068704473</v>
      </c>
      <c r="E60" s="57">
        <f>0.95494697185*Deflactores!$B$5</f>
        <v>3.3105783767465713</v>
      </c>
      <c r="F60" s="57">
        <f>2.38157127242*Deflactores!$C$5</f>
        <v>7.7168053055334163</v>
      </c>
      <c r="G60" s="57">
        <f>1.21193142806*Deflactores!$D$5</f>
        <v>3.6875475337374093</v>
      </c>
      <c r="H60" s="57">
        <f>1.65873509171*Deflactores!$E$5</f>
        <v>4.7840595044716814</v>
      </c>
      <c r="I60" s="57">
        <f>1.93867034288*Deflactores!$F$5</f>
        <v>5.3325345404537314</v>
      </c>
      <c r="J60" s="57">
        <f>3.188602067*Deflactores!$G$5</f>
        <v>8.3947042069834854</v>
      </c>
      <c r="K60" s="57">
        <f>3.2174077565*Deflactores!$H$5</f>
        <v>8.0141773691231339</v>
      </c>
      <c r="L60" s="57">
        <f>3.71449344318*Deflactores!$I$5</f>
        <v>8.5929067051609955</v>
      </c>
      <c r="M60" s="57">
        <f>3.7576092141*Deflactores!$J$5</f>
        <v>8.5220532365031048</v>
      </c>
      <c r="N60" s="57">
        <f>3.59107803142*Deflactores!$K$5</f>
        <v>7.8940322701720245</v>
      </c>
      <c r="O60" s="57">
        <f>2.28565558297*Deflactores!$L$5</f>
        <v>4.8438908098081788</v>
      </c>
      <c r="P60" s="57">
        <f>0*Deflactores!$M$5</f>
        <v>0</v>
      </c>
      <c r="Q60" s="57">
        <f>0*Deflactores!$N$5</f>
        <v>0</v>
      </c>
      <c r="R60" s="57">
        <f>0*Deflactores!$O$5</f>
        <v>0</v>
      </c>
      <c r="S60" s="57">
        <f>0*Deflactores!$P$5</f>
        <v>0</v>
      </c>
      <c r="T60" s="57">
        <f>0*Deflactores!$Q$5</f>
        <v>0</v>
      </c>
      <c r="U60" s="57">
        <f>0*Deflactores!$R$5</f>
        <v>0</v>
      </c>
      <c r="V60" s="57">
        <f>0*Deflactores!$S$5</f>
        <v>0</v>
      </c>
    </row>
    <row r="61" spans="3:22" x14ac:dyDescent="0.2">
      <c r="C61" s="87" t="s">
        <v>131</v>
      </c>
      <c r="D61" s="56">
        <f>52.9180932555599*Deflactores!$A$5</f>
        <v>197.4858563053188</v>
      </c>
      <c r="E61" s="56">
        <f>55.37833529448*Deflactores!$B$5</f>
        <v>191.98376953953473</v>
      </c>
      <c r="F61" s="56">
        <f>64.20793460099*Deflactores!$C$5</f>
        <v>208.04757603696956</v>
      </c>
      <c r="G61" s="56">
        <f>68.49021540718*Deflactores!$D$5</f>
        <v>208.39539190280559</v>
      </c>
      <c r="H61" s="56">
        <f>77.00757460572*Deflactores!$E$5</f>
        <v>222.10226397815697</v>
      </c>
      <c r="I61" s="56">
        <f>49.7213808053599*Deflactores!$F$5</f>
        <v>136.76434547905319</v>
      </c>
      <c r="J61" s="56">
        <f>69.14970693639*Deflactores!$G$5</f>
        <v>182.05198501823219</v>
      </c>
      <c r="K61" s="56">
        <f>43.7329320427099*Deflactores!$H$5</f>
        <v>108.93349577902207</v>
      </c>
      <c r="L61" s="56">
        <f>28.11040905304*Deflactores!$I$5</f>
        <v>65.029088388938789</v>
      </c>
      <c r="M61" s="56">
        <f>30.87121988599*Deflactores!$J$5</f>
        <v>70.014246919823179</v>
      </c>
      <c r="N61" s="56">
        <f>7.69419012478*Deflactores!$K$5</f>
        <v>16.913635573057952</v>
      </c>
      <c r="O61" s="56">
        <f>6.68543805828*Deflactores!$L$5</f>
        <v>14.168159109941181</v>
      </c>
      <c r="P61" s="56">
        <f>10.58889329093*Deflactores!$M$5</f>
        <v>21.906074382095618</v>
      </c>
      <c r="Q61" s="56">
        <f>9.80170356101*Deflactores!$N$5</f>
        <v>19.891655113721626</v>
      </c>
      <c r="R61" s="56">
        <f>12.19280220884*Deflactores!$O$5</f>
        <v>23.870509082412035</v>
      </c>
      <c r="S61" s="56">
        <f>10.6255889731399*Deflactores!$P$5</f>
        <v>19.483273271230878</v>
      </c>
      <c r="T61" s="56">
        <f>12.3921487153699*Deflactores!$Q$5</f>
        <v>21.486968658837871</v>
      </c>
      <c r="U61" s="56">
        <f>12.61989795355*Deflactores!$R$5</f>
        <v>21.02206469686891</v>
      </c>
      <c r="V61" s="56">
        <f>12.4311881314999*Deflactores!$S$5</f>
        <v>20.069504058427775</v>
      </c>
    </row>
    <row r="62" spans="3:22" x14ac:dyDescent="0.2">
      <c r="C62" s="88" t="s">
        <v>132</v>
      </c>
      <c r="D62" s="57">
        <f>19.7757457674699*Deflactores!$A$5</f>
        <v>73.801413594106563</v>
      </c>
      <c r="E62" s="57">
        <f>22.04053040414*Deflactores!$B$5</f>
        <v>76.409377189409696</v>
      </c>
      <c r="F62" s="57">
        <f>23.9674553016999*Deflactores!$C$5</f>
        <v>77.659731780504828</v>
      </c>
      <c r="G62" s="57">
        <f>24.7794280022599*Deflactores!$D$5</f>
        <v>75.39644281972808</v>
      </c>
      <c r="H62" s="57">
        <f>24.58611119*Deflactores!$E$5</f>
        <v>70.910309611440383</v>
      </c>
      <c r="I62" s="57">
        <f>24.7541381655999*Deflactores!$F$5</f>
        <v>68.089088623045043</v>
      </c>
      <c r="J62" s="57">
        <f>33.80148631182*Deflactores!$G$5</f>
        <v>88.989931443875591</v>
      </c>
      <c r="K62" s="57">
        <f>36.05476126153*Deflactores!$H$5</f>
        <v>89.808091985710718</v>
      </c>
      <c r="L62" s="57">
        <f>34.02272821917*Deflactores!$I$5</f>
        <v>78.706325348117986</v>
      </c>
      <c r="M62" s="57">
        <f>31.5364446608499*Deflactores!$J$5</f>
        <v>71.522940512633269</v>
      </c>
      <c r="N62" s="57">
        <f>38.5224961921699*Deflactores!$K$5</f>
        <v>84.681487121102862</v>
      </c>
      <c r="O62" s="57">
        <f>35.97763529815*Deflactores!$L$5</f>
        <v>76.245843108561857</v>
      </c>
      <c r="P62" s="57">
        <f>35.4092651679799*Deflactores!$M$5</f>
        <v>73.25392515283238</v>
      </c>
      <c r="Q62" s="57">
        <f>37.8074362151799*Deflactores!$N$5</f>
        <v>76.726711560423226</v>
      </c>
      <c r="R62" s="57">
        <f>41.8370145102499*Deflactores!$O$5</f>
        <v>81.906588636685186</v>
      </c>
      <c r="S62" s="57">
        <f>42.1844268372681*Deflactores!$P$5</f>
        <v>77.350132584496961</v>
      </c>
      <c r="T62" s="57">
        <f>45.5754365184099*Deflactores!$Q$5</f>
        <v>79.024065848187931</v>
      </c>
      <c r="U62" s="57">
        <f>47.09963159212*Deflactores!$R$5</f>
        <v>78.457964253959105</v>
      </c>
      <c r="V62" s="57">
        <f>52.73272959378*Deflactores!$S$5</f>
        <v>85.134238127458005</v>
      </c>
    </row>
    <row r="63" spans="3:22" x14ac:dyDescent="0.2">
      <c r="C63" s="87" t="s">
        <v>133</v>
      </c>
      <c r="D63" s="56">
        <f>0.11853800175*Deflactores!$A$5</f>
        <v>0.44237381470392595</v>
      </c>
      <c r="E63" s="56">
        <f>0.214188289*Deflactores!$B$5</f>
        <v>0.74254083108096036</v>
      </c>
      <c r="F63" s="56">
        <f>0.260938646*Deflactores!$C$5</f>
        <v>0.84549757178814211</v>
      </c>
      <c r="G63" s="56">
        <f>0.07390113754*Deflactores!$D$5</f>
        <v>0.22485922154213209</v>
      </c>
      <c r="H63" s="56">
        <f>0.28628364463*Deflactores!$E$5</f>
        <v>0.82568819934653814</v>
      </c>
      <c r="I63" s="56">
        <f>0.22612981675*Deflactores!$F$5</f>
        <v>0.62199592771120604</v>
      </c>
      <c r="J63" s="56">
        <f>0.2395643486*Deflactores!$G$5</f>
        <v>0.63070643585444242</v>
      </c>
      <c r="K63" s="56">
        <f>0.57475618138*Deflactores!$H$5</f>
        <v>1.4316488086639032</v>
      </c>
      <c r="L63" s="56">
        <f>0.107645627*Deflactores!$I$5</f>
        <v>0.24902152720928511</v>
      </c>
      <c r="M63" s="56">
        <f>0.15916067675*Deflactores!$J$5</f>
        <v>0.36096775453171576</v>
      </c>
      <c r="N63" s="56">
        <f>0.35240037628*Deflactores!$K$5</f>
        <v>0.7746587286701393</v>
      </c>
      <c r="O63" s="56">
        <f>0.679652571*Deflactores!$L$5</f>
        <v>1.4403582355358793</v>
      </c>
      <c r="P63" s="56">
        <f>0.872187725779999*Deflactores!$M$5</f>
        <v>1.8043631823594868</v>
      </c>
      <c r="Q63" s="56">
        <f>0.181817714*Deflactores!$N$5</f>
        <v>0.36898231393570158</v>
      </c>
      <c r="R63" s="56">
        <f>0.66065344801*Deflactores!$O$5</f>
        <v>1.2933970272736732</v>
      </c>
      <c r="S63" s="56">
        <f>1.50038977266*Deflactores!$P$5</f>
        <v>2.7511419863868913</v>
      </c>
      <c r="T63" s="56">
        <f>1.16710580212*Deflactores!$Q$5</f>
        <v>2.023665658611467</v>
      </c>
      <c r="U63" s="56">
        <f>1.16787325233*Deflactores!$R$5</f>
        <v>1.9454283353628623</v>
      </c>
      <c r="V63" s="56">
        <f>4.78542563892*Deflactores!$S$5</f>
        <v>7.7258197901652466</v>
      </c>
    </row>
    <row r="64" spans="3:22" x14ac:dyDescent="0.2">
      <c r="C64" s="88" t="s">
        <v>134</v>
      </c>
      <c r="D64" s="57">
        <f>87.7763483381999*Deflactores!$A$5</f>
        <v>327.57392129018319</v>
      </c>
      <c r="E64" s="57">
        <f>98.73897613753*Deflactores!$B$5</f>
        <v>342.30499596196245</v>
      </c>
      <c r="F64" s="57">
        <f>106.63319613198*Deflactores!$C$5</f>
        <v>345.51458660361794</v>
      </c>
      <c r="G64" s="57">
        <f>95.4810111711799*Deflactores!$D$5</f>
        <v>290.52037030399316</v>
      </c>
      <c r="H64" s="57">
        <f>106.72409089831*Deflactores!$E$5</f>
        <v>307.80948927282014</v>
      </c>
      <c r="I64" s="57">
        <f>99.93120736489*Deflactores!$F$5</f>
        <v>274.87221687772262</v>
      </c>
      <c r="J64" s="57">
        <f>112.881500996709*Deflactores!$G$5</f>
        <v>297.18566048576906</v>
      </c>
      <c r="K64" s="57">
        <f>130.89860444591*Deflactores!$H$5</f>
        <v>326.05274581093113</v>
      </c>
      <c r="L64" s="57">
        <f>135.50108573929*Deflactores!$I$5</f>
        <v>313.46082743625323</v>
      </c>
      <c r="M64" s="57">
        <f>143.33258236126*Deflactores!$J$5</f>
        <v>325.07049770493154</v>
      </c>
      <c r="N64" s="57">
        <f>152.341496823849*Deflactores!$K$5</f>
        <v>334.88236164510192</v>
      </c>
      <c r="O64" s="57">
        <f>160.73850049252*Deflactores!$L$5</f>
        <v>340.64613720425274</v>
      </c>
      <c r="P64" s="57">
        <f>150.59069713122*Deflactores!$M$5</f>
        <v>311.53879087947701</v>
      </c>
      <c r="Q64" s="57">
        <f>155.11208905466*Deflactores!$N$5</f>
        <v>314.78570640696245</v>
      </c>
      <c r="R64" s="57">
        <f>142.827688284862*Deflactores!$O$5</f>
        <v>279.62149898174016</v>
      </c>
      <c r="S64" s="57">
        <f>143.72790038354*Deflactores!$P$5</f>
        <v>263.54209323845731</v>
      </c>
      <c r="T64" s="57">
        <f>151.78158632031*Deflactores!$Q$5</f>
        <v>263.17681163785534</v>
      </c>
      <c r="U64" s="57">
        <f>155.57855353852*Deflactores!$R$5</f>
        <v>259.16076579779559</v>
      </c>
      <c r="V64" s="57">
        <f>175.11499510111*Deflactores!$S$5</f>
        <v>282.71401475839821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117.74786918309*Deflactores!$A$5</f>
        <v>439.42510667286803</v>
      </c>
      <c r="E66" s="57">
        <f>128.27804213386*Deflactores!$B$5</f>
        <v>444.71004675477309</v>
      </c>
      <c r="F66" s="57">
        <f>140.64878817679*Deflactores!$C$5</f>
        <v>455.73245167532866</v>
      </c>
      <c r="G66" s="57">
        <f>133.31566642653*Deflactores!$D$5</f>
        <v>405.63999377972345</v>
      </c>
      <c r="H66" s="57">
        <f>136.62008344084*Deflactores!$E$5</f>
        <v>394.03435301598768</v>
      </c>
      <c r="I66" s="57">
        <f>143.07687272364*Deflactores!$F$5</f>
        <v>393.54930483203793</v>
      </c>
      <c r="J66" s="57">
        <f>148.93366923304*Deflactores!$G$5</f>
        <v>392.1010127326395</v>
      </c>
      <c r="K66" s="57">
        <f>151.79142300904*Deflactores!$H$5</f>
        <v>378.09425449678616</v>
      </c>
      <c r="L66" s="57">
        <f>190.52418564332*Deflactores!$I$5</f>
        <v>440.74826819676474</v>
      </c>
      <c r="M66" s="57">
        <f>222.65100746948*Deflactores!$J$5</f>
        <v>504.96036993309946</v>
      </c>
      <c r="N66" s="57">
        <f>243.12928624626*Deflactores!$K$5</f>
        <v>534.4552289477657</v>
      </c>
      <c r="O66" s="57">
        <f>244.71811273415*Deflactores!$L$5</f>
        <v>518.62048949923076</v>
      </c>
      <c r="P66" s="57">
        <f>259.79584487137*Deflactores!$M$5</f>
        <v>537.46004851955274</v>
      </c>
      <c r="Q66" s="57">
        <f>289.855268426039*Deflactores!$N$5</f>
        <v>588.23458560420454</v>
      </c>
      <c r="R66" s="57">
        <f>310.42840631089*Deflactores!$O$5</f>
        <v>607.74249966183731</v>
      </c>
      <c r="S66" s="57">
        <f>319.70712612475*Deflactores!$P$5</f>
        <v>586.22080345798531</v>
      </c>
      <c r="T66" s="57">
        <f>358.25737999448*Deflactores!$Q$5</f>
        <v>621.18888923525822</v>
      </c>
      <c r="U66" s="57">
        <f>394.30136130085*Deflactores!$R$5</f>
        <v>656.82216748814778</v>
      </c>
      <c r="V66" s="57">
        <f>562.6196854812*Deflactores!$S$5</f>
        <v>908.32010115785397</v>
      </c>
    </row>
    <row r="67" spans="3:22" x14ac:dyDescent="0.2">
      <c r="C67" s="87" t="s">
        <v>137</v>
      </c>
      <c r="D67" s="56">
        <f>4.5078332671*Deflactores!$A$5</f>
        <v>16.822853169247797</v>
      </c>
      <c r="E67" s="56">
        <f>4.61580152747999*Deflactores!$B$5</f>
        <v>16.001907099224077</v>
      </c>
      <c r="F67" s="56">
        <f>4.91296241201*Deflactores!$C$5</f>
        <v>15.919059339492659</v>
      </c>
      <c r="G67" s="56">
        <f>4.83266192136999*Deflactores!$D$5</f>
        <v>14.704355491515757</v>
      </c>
      <c r="H67" s="56">
        <f>5.27745976275*Deflactores!$E$5</f>
        <v>15.221045038254431</v>
      </c>
      <c r="I67" s="56">
        <f>5.26098378802999*Deflactores!$F$5</f>
        <v>14.470937707109467</v>
      </c>
      <c r="J67" s="56">
        <f>5.55759823812*Deflactores!$G$5</f>
        <v>14.631613581736401</v>
      </c>
      <c r="K67" s="56">
        <f>5.57295568325999*Deflactores!$H$5</f>
        <v>13.881565128224171</v>
      </c>
      <c r="L67" s="56">
        <f>5.88174071844*Deflactores!$I$5</f>
        <v>13.606498444706597</v>
      </c>
      <c r="M67" s="56">
        <f>6.41395252529999*Deflactores!$J$5</f>
        <v>14.546495327908092</v>
      </c>
      <c r="N67" s="56">
        <f>6.53008129081999*Deflactores!$K$5</f>
        <v>14.354651162006633</v>
      </c>
      <c r="O67" s="56">
        <f>6.78414635823*Deflactores!$L$5</f>
        <v>14.377347331710931</v>
      </c>
      <c r="P67" s="56">
        <f>7.695256233792*Deflactores!$M$5</f>
        <v>15.919780359966884</v>
      </c>
      <c r="Q67" s="56">
        <f>5.03690573002999*Deflactores!$N$5</f>
        <v>10.221936523426205</v>
      </c>
      <c r="R67" s="56">
        <f>6.749330007256*Deflactores!$O$5</f>
        <v>13.213528808135084</v>
      </c>
      <c r="S67" s="56">
        <f>4.39523717445*Deflactores!$P$5</f>
        <v>8.0591868533737365</v>
      </c>
      <c r="T67" s="56">
        <f>4.01964320318999*Deflactores!$Q$5</f>
        <v>6.9697313605936548</v>
      </c>
      <c r="U67" s="56">
        <f>3.76640886752999*Deflactores!$R$5</f>
        <v>6.2740357473178605</v>
      </c>
      <c r="V67" s="56">
        <f>3.53890756901999*Deflactores!$S$5</f>
        <v>5.7133814618151035</v>
      </c>
    </row>
    <row r="68" spans="3:22" x14ac:dyDescent="0.2">
      <c r="C68" s="88" t="s">
        <v>138</v>
      </c>
      <c r="D68" s="57">
        <f>9.59272877161*Deflactores!$A$5</f>
        <v>35.799253888782729</v>
      </c>
      <c r="E68" s="57">
        <f>11.05506636049*Deflactores!$B$5</f>
        <v>38.325336092364104</v>
      </c>
      <c r="F68" s="57">
        <f>13.1907290012199*Deflactores!$C$5</f>
        <v>42.740810959243085</v>
      </c>
      <c r="G68" s="57">
        <f>12.81520900258*Deflactores!$D$5</f>
        <v>38.992876377040162</v>
      </c>
      <c r="H68" s="57">
        <f>30.9243657788*Deflactores!$E$5</f>
        <v>89.190857999700583</v>
      </c>
      <c r="I68" s="57">
        <f>14.6039545667799*Deflactores!$F$5</f>
        <v>40.169847566183769</v>
      </c>
      <c r="J68" s="57">
        <f>21.7493999121499*Deflactores!$G$5</f>
        <v>57.260133157246365</v>
      </c>
      <c r="K68" s="57">
        <f>29.1816290065399*Deflactores!$H$5</f>
        <v>72.687942740825321</v>
      </c>
      <c r="L68" s="57">
        <f>42.9728264043799*Deflactores!$I$5</f>
        <v>99.410994742203272</v>
      </c>
      <c r="M68" s="57">
        <f>40.82868291893*Deflactores!$J$5</f>
        <v>92.59723126763835</v>
      </c>
      <c r="N68" s="57">
        <f>39.85871563107*Deflactores!$K$5</f>
        <v>87.618811032869132</v>
      </c>
      <c r="O68" s="57">
        <f>27.3897004709599*Deflactores!$L$5</f>
        <v>58.045805056195462</v>
      </c>
      <c r="P68" s="57">
        <f>17.7940853175437*Deflactores!$M$5</f>
        <v>36.812020465004856</v>
      </c>
      <c r="Q68" s="57">
        <f>19.48107961143*Deflactores!$N$5</f>
        <v>39.535057805154565</v>
      </c>
      <c r="R68" s="57">
        <f>43.7024991075*Deflactores!$O$5</f>
        <v>85.558748842275435</v>
      </c>
      <c r="S68" s="57">
        <f>0*Deflactores!$P$5</f>
        <v>0</v>
      </c>
      <c r="T68" s="57">
        <f>0*Deflactores!$Q$5</f>
        <v>0</v>
      </c>
      <c r="U68" s="57">
        <f>0*Deflactores!$R$5</f>
        <v>0</v>
      </c>
      <c r="V68" s="57">
        <f>0*Deflactores!$S$5</f>
        <v>0</v>
      </c>
    </row>
    <row r="69" spans="3:22" x14ac:dyDescent="0.2">
      <c r="C69" s="87" t="s">
        <v>139</v>
      </c>
      <c r="D69" s="56">
        <f>102.55123962816*Deflactores!$A$5</f>
        <v>382.71256818217421</v>
      </c>
      <c r="E69" s="56">
        <f>174.67592811742*Deflactores!$B$5</f>
        <v>605.56069353608382</v>
      </c>
      <c r="F69" s="56">
        <f>97.29121159141*Deflactores!$C$5</f>
        <v>315.24453896669451</v>
      </c>
      <c r="G69" s="56">
        <f>111.545779226089*Deflactores!$D$5</f>
        <v>339.4006901384011</v>
      </c>
      <c r="H69" s="56">
        <f>108.67582002527*Deflactores!$E$5</f>
        <v>313.43859082535408</v>
      </c>
      <c r="I69" s="56">
        <f>117.16215306297*Deflactores!$F$5</f>
        <v>322.2679040491654</v>
      </c>
      <c r="J69" s="56">
        <f>196.406322783269*Deflactores!$G$5</f>
        <v>517.0833329158927</v>
      </c>
      <c r="K69" s="56">
        <f>153.41640543269*Deflactores!$H$5</f>
        <v>382.14189108824064</v>
      </c>
      <c r="L69" s="56">
        <f>162.49332213999*Deflactores!$I$5</f>
        <v>375.90319614758386</v>
      </c>
      <c r="M69" s="56">
        <f>404.44420697131*Deflactores!$J$5</f>
        <v>917.25745457283165</v>
      </c>
      <c r="N69" s="56">
        <f>427.25907949093*Deflactores!$K$5</f>
        <v>939.21572622907036</v>
      </c>
      <c r="O69" s="56">
        <f>539.579295183109*Deflactores!$L$5</f>
        <v>1143.5070132937617</v>
      </c>
      <c r="P69" s="56">
        <f>490.07052372571*Deflactores!$M$5</f>
        <v>1013.8473445948836</v>
      </c>
      <c r="Q69" s="56">
        <f>627.21410869598*Deflactores!$N$5</f>
        <v>1272.8732974816819</v>
      </c>
      <c r="R69" s="56">
        <f>514.29028430218*Deflactores!$O$5</f>
        <v>1006.8539366226138</v>
      </c>
      <c r="S69" s="56">
        <f>449.21095882546*Deflactores!$P$5</f>
        <v>823.68138738965388</v>
      </c>
      <c r="T69" s="56">
        <f>451.902826277439*Deflactores!$Q$5</f>
        <v>783.56240617257197</v>
      </c>
      <c r="U69" s="56">
        <f>421.62922813503*Deflactores!$R$5</f>
        <v>702.34457874139775</v>
      </c>
      <c r="V69" s="56">
        <f>435.302915238199*Deflactores!$S$5</f>
        <v>702.77382432023308</v>
      </c>
    </row>
    <row r="70" spans="3:22" x14ac:dyDescent="0.2">
      <c r="C70" s="88" t="s">
        <v>140</v>
      </c>
      <c r="D70" s="57">
        <f>12.63487507648*Deflactores!$A$5</f>
        <v>47.152287058778732</v>
      </c>
      <c r="E70" s="57">
        <f>4.12644405256*Deflactores!$B$5</f>
        <v>14.305418893359706</v>
      </c>
      <c r="F70" s="57">
        <f>6.83168130509*Deflactores!$C$5</f>
        <v>22.136122966944654</v>
      </c>
      <c r="G70" s="57">
        <f>8.13255849516*Deflactores!$D$5</f>
        <v>24.744961082334253</v>
      </c>
      <c r="H70" s="57">
        <f>2271.49701887493*Deflactores!$E$5</f>
        <v>6551.3637209693725</v>
      </c>
      <c r="I70" s="57">
        <f>2038.09985672244*Deflactores!$F$5</f>
        <v>5606.0267919097869</v>
      </c>
      <c r="J70" s="57">
        <f>125.423832132199*Deflactores!$G$5</f>
        <v>330.20613708840114</v>
      </c>
      <c r="K70" s="57">
        <f>58.1438666441199*Deflactores!$H$5</f>
        <v>144.82940785830706</v>
      </c>
      <c r="L70" s="57">
        <f>69.05527608789*Deflactores!$I$5</f>
        <v>159.7487124420316</v>
      </c>
      <c r="M70" s="57">
        <f>63.21166557083*Deflactores!$J$5</f>
        <v>143.36061800712511</v>
      </c>
      <c r="N70" s="57">
        <f>906.70772851146*Deflactores!$K$5</f>
        <v>1993.156374174793</v>
      </c>
      <c r="O70" s="57">
        <f>668.08263248572*Deflactores!$L$5</f>
        <v>1415.8385663184622</v>
      </c>
      <c r="P70" s="57">
        <f>110.652397138715*Deflactores!$M$5</f>
        <v>228.91529602570805</v>
      </c>
      <c r="Q70" s="57">
        <f>195.529212528351*Deflactores!$N$5</f>
        <v>396.80853803241928</v>
      </c>
      <c r="R70" s="57">
        <f>340.063572865398*Deflactores!$O$5</f>
        <v>665.76086986760458</v>
      </c>
      <c r="S70" s="57">
        <f>620.91321596456*Deflactores!$P$5</f>
        <v>1138.5177701619195</v>
      </c>
      <c r="T70" s="57">
        <f>413.2186443378*Deflactores!$Q$5</f>
        <v>716.48721009306837</v>
      </c>
      <c r="U70" s="57">
        <f>520.153405450799*Deflactores!$R$5</f>
        <v>866.46489392629621</v>
      </c>
      <c r="V70" s="57">
        <f>420.37260581885*Deflactores!$S$5</f>
        <v>678.66961945135756</v>
      </c>
    </row>
    <row r="71" spans="3:22" x14ac:dyDescent="0.2">
      <c r="C71" s="87" t="s">
        <v>141</v>
      </c>
      <c r="D71" s="56">
        <f>9.12766304758*Deflactores!$A$5</f>
        <v>34.063667870881979</v>
      </c>
      <c r="E71" s="56">
        <f>8.38083977937*Deflactores!$B$5</f>
        <v>29.05441639215752</v>
      </c>
      <c r="F71" s="56">
        <f>10.83871057821*Deflactores!$C$5</f>
        <v>35.119763268760906</v>
      </c>
      <c r="G71" s="56">
        <f>11.92827706617*Deflactores!$D$5</f>
        <v>36.29420580956667</v>
      </c>
      <c r="H71" s="56">
        <f>14.09637140133*Deflactores!$E$5</f>
        <v>40.656208407319255</v>
      </c>
      <c r="I71" s="56">
        <f>14.4622732668*Deflactores!$F$5</f>
        <v>39.780136943821418</v>
      </c>
      <c r="J71" s="56">
        <f>24.6572096128*Deflactores!$G$5</f>
        <v>64.915589000979523</v>
      </c>
      <c r="K71" s="56">
        <f>19.24574008798*Deflactores!$H$5</f>
        <v>47.9388334765815</v>
      </c>
      <c r="L71" s="56">
        <f>25.3006627846*Deflactores!$I$5</f>
        <v>58.529174492413112</v>
      </c>
      <c r="M71" s="56">
        <f>26.7567468123799*Deflactores!$J$5</f>
        <v>60.682845867821534</v>
      </c>
      <c r="N71" s="56">
        <f>26.5961454703399*Deflactores!$K$5</f>
        <v>58.464569348840627</v>
      </c>
      <c r="O71" s="56">
        <f>24.16688493318*Deflactores!$L$5</f>
        <v>51.215831773486762</v>
      </c>
      <c r="P71" s="56">
        <f>22.87418363546*Deflactores!$M$5</f>
        <v>47.321618452544811</v>
      </c>
      <c r="Q71" s="56">
        <f>22.65695975556*Deflactores!$N$5</f>
        <v>45.980214212541448</v>
      </c>
      <c r="R71" s="56">
        <f>27.88881954315*Deflactores!$O$5</f>
        <v>54.599452102967206</v>
      </c>
      <c r="S71" s="56">
        <f>28.51771076153*Deflactores!$P$5</f>
        <v>52.290593325352717</v>
      </c>
      <c r="T71" s="56">
        <f>31.3254946883299*Deflactores!$Q$5</f>
        <v>54.315836426003159</v>
      </c>
      <c r="U71" s="56">
        <f>18.49309151377*Deflactores!$R$5</f>
        <v>30.805555455242857</v>
      </c>
      <c r="V71" s="56">
        <f>18.15825791927*Deflactores!$S$5</f>
        <v>29.315559152494071</v>
      </c>
    </row>
    <row r="72" spans="3:22" x14ac:dyDescent="0.2">
      <c r="C72" s="88" t="s">
        <v>142</v>
      </c>
      <c r="D72" s="57">
        <f>17.3119521128*Deflactores!$A$5</f>
        <v>64.606743685984455</v>
      </c>
      <c r="E72" s="57">
        <f>19.32297623409*Deflactores!$B$5</f>
        <v>66.988250846052722</v>
      </c>
      <c r="F72" s="57">
        <f>19.61576524128*Deflactores!$C$5</f>
        <v>63.559316086389437</v>
      </c>
      <c r="G72" s="57">
        <f>18.96296971418*Deflactores!$D$5</f>
        <v>57.698687056739757</v>
      </c>
      <c r="H72" s="57">
        <f>28.32106883313*Deflactores!$E$5</f>
        <v>81.682529781325812</v>
      </c>
      <c r="I72" s="57">
        <f>23.42672434268*Deflactores!$F$5</f>
        <v>64.437885061700698</v>
      </c>
      <c r="J72" s="57">
        <f>30.2866363212*Deflactores!$G$5</f>
        <v>79.736307008094414</v>
      </c>
      <c r="K72" s="57">
        <f>32.08803951389*Deflactores!$H$5</f>
        <v>79.92746321078441</v>
      </c>
      <c r="L72" s="57">
        <f>33.39956864715*Deflactores!$I$5</f>
        <v>77.264741954121831</v>
      </c>
      <c r="M72" s="57">
        <f>30.9719133424899*Deflactores!$J$5</f>
        <v>70.24261420017784</v>
      </c>
      <c r="N72" s="57">
        <f>50.23652760472*Deflactores!$K$5</f>
        <v>110.43167722429982</v>
      </c>
      <c r="O72" s="57">
        <f>42.8853853055399*Deflactores!$L$5</f>
        <v>90.885138296583847</v>
      </c>
      <c r="P72" s="57">
        <f>48.5560282848399*Deflactores!$M$5</f>
        <v>100.45166554071689</v>
      </c>
      <c r="Q72" s="57">
        <f>46.4910747908*Deflactores!$N$5</f>
        <v>94.349356706064114</v>
      </c>
      <c r="R72" s="57">
        <f>93.14793099778*Deflactores!$O$5</f>
        <v>182.36074815339231</v>
      </c>
      <c r="S72" s="57">
        <f>97.34066631463*Deflactores!$P$5</f>
        <v>178.48561684493691</v>
      </c>
      <c r="T72" s="57">
        <f>96.15349394247*Deflactores!$Q$5</f>
        <v>166.72226570498668</v>
      </c>
      <c r="U72" s="57">
        <f>99.0644508454599*Deflactores!$R$5</f>
        <v>165.02029592459789</v>
      </c>
      <c r="V72" s="57">
        <f>89.69967658078*Deflactores!$S$5</f>
        <v>144.81544355490453</v>
      </c>
    </row>
    <row r="73" spans="3:22" x14ac:dyDescent="0.2">
      <c r="C73" s="87" t="s">
        <v>143</v>
      </c>
      <c r="D73" s="56">
        <f>0*Deflactores!$A$5</f>
        <v>0</v>
      </c>
      <c r="E73" s="56">
        <f>0*Deflactores!$B$5</f>
        <v>0</v>
      </c>
      <c r="F73" s="56">
        <f>0*Deflactores!$C$5</f>
        <v>0</v>
      </c>
      <c r="G73" s="56">
        <f>0*Deflactores!$D$5</f>
        <v>0</v>
      </c>
      <c r="H73" s="56">
        <f>0*Deflactores!$E$5</f>
        <v>0</v>
      </c>
      <c r="I73" s="56">
        <f>0*Deflactores!$F$5</f>
        <v>0</v>
      </c>
      <c r="J73" s="56">
        <f>0*Deflactores!$G$5</f>
        <v>0</v>
      </c>
      <c r="K73" s="56">
        <f>0*Deflactores!$H$5</f>
        <v>0</v>
      </c>
      <c r="L73" s="56">
        <f>0*Deflactores!$I$5</f>
        <v>0</v>
      </c>
      <c r="M73" s="56">
        <f>0*Deflactores!$J$5</f>
        <v>0</v>
      </c>
      <c r="N73" s="56">
        <f>0*Deflactores!$K$5</f>
        <v>0</v>
      </c>
      <c r="O73" s="56">
        <f>0*Deflactores!$L$5</f>
        <v>0</v>
      </c>
      <c r="P73" s="56">
        <f>0*Deflactores!$M$5</f>
        <v>0</v>
      </c>
      <c r="Q73" s="56">
        <f>0*Deflactores!$N$5</f>
        <v>0</v>
      </c>
      <c r="R73" s="56">
        <f>0*Deflactores!$O$5</f>
        <v>0</v>
      </c>
      <c r="S73" s="56">
        <f>0*Deflactores!$P$5</f>
        <v>0</v>
      </c>
      <c r="T73" s="56">
        <f>0*Deflactores!$Q$5</f>
        <v>0</v>
      </c>
      <c r="U73" s="56">
        <f>0*Deflactores!$R$5</f>
        <v>0</v>
      </c>
      <c r="V73" s="56">
        <f>0*Deflactores!$S$5</f>
        <v>0</v>
      </c>
    </row>
    <row r="74" spans="3:22" x14ac:dyDescent="0.2">
      <c r="C74" s="88" t="s">
        <v>144</v>
      </c>
      <c r="D74" s="57">
        <f>0*Deflactores!$A$5</f>
        <v>0</v>
      </c>
      <c r="E74" s="57">
        <f>0*Deflactores!$B$5</f>
        <v>0</v>
      </c>
      <c r="F74" s="57">
        <f>0*Deflactores!$C$5</f>
        <v>0</v>
      </c>
      <c r="G74" s="57">
        <f>0*Deflactores!$D$5</f>
        <v>0</v>
      </c>
      <c r="H74" s="57">
        <f>0*Deflactores!$E$5</f>
        <v>0</v>
      </c>
      <c r="I74" s="57">
        <f>0*Deflactores!$F$5</f>
        <v>0</v>
      </c>
      <c r="J74" s="57">
        <f>0*Deflactores!$G$5</f>
        <v>0</v>
      </c>
      <c r="K74" s="57">
        <f>0*Deflactores!$H$5</f>
        <v>0</v>
      </c>
      <c r="L74" s="57">
        <f>0*Deflactores!$I$5</f>
        <v>0</v>
      </c>
      <c r="M74" s="57">
        <f>0*Deflactores!$J$5</f>
        <v>0</v>
      </c>
      <c r="N74" s="57">
        <f>0*Deflactores!$K$5</f>
        <v>0</v>
      </c>
      <c r="O74" s="57">
        <f>0*Deflactores!$L$5</f>
        <v>0</v>
      </c>
      <c r="P74" s="57">
        <f>0*Deflactores!$M$5</f>
        <v>0</v>
      </c>
      <c r="Q74" s="57">
        <f>0*Deflactores!$N$5</f>
        <v>0</v>
      </c>
      <c r="R74" s="57">
        <f>0*Deflactores!$O$5</f>
        <v>0</v>
      </c>
      <c r="S74" s="57">
        <f>0*Deflactores!$P$5</f>
        <v>0</v>
      </c>
      <c r="T74" s="57">
        <f>0*Deflactores!$Q$5</f>
        <v>0</v>
      </c>
      <c r="U74" s="57">
        <f>0*Deflactores!$R$5</f>
        <v>0</v>
      </c>
      <c r="V74" s="57">
        <f>0*Deflactores!$S$5</f>
        <v>0</v>
      </c>
    </row>
    <row r="75" spans="3:22" x14ac:dyDescent="0.2">
      <c r="C75" s="87" t="s">
        <v>145</v>
      </c>
      <c r="D75" s="56">
        <f>13.3973125682999*Deflactores!$A$5</f>
        <v>49.997639407816983</v>
      </c>
      <c r="E75" s="56">
        <f>13.96122486604*Deflactores!$B$5</f>
        <v>48.400309668366191</v>
      </c>
      <c r="F75" s="56">
        <f>28.878024793*Deflactores!$C$5</f>
        <v>93.571037540063216</v>
      </c>
      <c r="G75" s="56">
        <f>14.164391076*Deflactores!$D$5</f>
        <v>43.098036877223457</v>
      </c>
      <c r="H75" s="56">
        <f>15.2725196755*Deflactores!$E$5</f>
        <v>44.048409704459651</v>
      </c>
      <c r="I75" s="56">
        <f>11.372307505*Deflactores!$F$5</f>
        <v>31.280832658215061</v>
      </c>
      <c r="J75" s="56">
        <f>11.197813476*Deflactores!$G$5</f>
        <v>29.480734792484082</v>
      </c>
      <c r="K75" s="56">
        <f>14.42968728701*Deflactores!$H$5</f>
        <v>35.942622773085652</v>
      </c>
      <c r="L75" s="56">
        <f>13.989468594*Deflactores!$I$5</f>
        <v>32.362474270545242</v>
      </c>
      <c r="M75" s="56">
        <f>19.3520031614199*Deflactores!$J$5</f>
        <v>43.889290178381991</v>
      </c>
      <c r="N75" s="56">
        <f>20.350714035*Deflactores!$K$5</f>
        <v>44.735645371038657</v>
      </c>
      <c r="O75" s="56">
        <f>22.5574617961499*Deflactores!$L$5</f>
        <v>47.805051076413093</v>
      </c>
      <c r="P75" s="56">
        <f>21.05356411425*Deflactores!$M$5</f>
        <v>43.555159998639787</v>
      </c>
      <c r="Q75" s="56">
        <f>24.10146468264*Deflactores!$N$5</f>
        <v>48.91170399293491</v>
      </c>
      <c r="R75" s="56">
        <f>32.97458032322*Deflactores!$O$5</f>
        <v>64.556121358507085</v>
      </c>
      <c r="S75" s="56">
        <f>38.01722526375*Deflactores!$P$5</f>
        <v>69.709075958045844</v>
      </c>
      <c r="T75" s="56">
        <f>39.65486432048*Deflactores!$Q$5</f>
        <v>68.758279649098625</v>
      </c>
      <c r="U75" s="56">
        <f>45.54391112425*Deflactores!$R$5</f>
        <v>75.866464984616243</v>
      </c>
      <c r="V75" s="56">
        <f>46.36684528019*Deflactores!$S$5</f>
        <v>74.856850341543989</v>
      </c>
    </row>
    <row r="76" spans="3:22" x14ac:dyDescent="0.2">
      <c r="C76" s="88" t="s">
        <v>146</v>
      </c>
      <c r="D76" s="57">
        <f>49.5838456009899*Deflactores!$A$5</f>
        <v>185.04272555953037</v>
      </c>
      <c r="E76" s="57">
        <f>51.02347983731*Deflactores!$B$5</f>
        <v>176.88650159131151</v>
      </c>
      <c r="F76" s="57">
        <f>50.7217821404399*Deflactores!$C$5</f>
        <v>164.34952926255733</v>
      </c>
      <c r="G76" s="57">
        <f>36.44044648111*Deflactores!$D$5</f>
        <v>110.87746009261392</v>
      </c>
      <c r="H76" s="57">
        <f>37.52025352999*Deflactores!$E$5</f>
        <v>108.21446197613695</v>
      </c>
      <c r="I76" s="57">
        <f>39.76813289218*Deflactores!$F$5</f>
        <v>109.38679855280088</v>
      </c>
      <c r="J76" s="57">
        <f>51.32883668642*Deflactores!$G$5</f>
        <v>135.13458005014149</v>
      </c>
      <c r="K76" s="57">
        <f>48.85579763615*Deflactores!$H$5</f>
        <v>121.69394040126939</v>
      </c>
      <c r="L76" s="57">
        <f>47.63051427145*Deflactores!$I$5</f>
        <v>110.18583602694913</v>
      </c>
      <c r="M76" s="57">
        <f>69.18777689529*Deflactores!$J$5</f>
        <v>156.9141133155816</v>
      </c>
      <c r="N76" s="57">
        <f>108.948383400749*Deflactores!$K$5</f>
        <v>239.49411481000456</v>
      </c>
      <c r="O76" s="57">
        <f>103.97432006514*Deflactores!$L$5</f>
        <v>220.3482699546322</v>
      </c>
      <c r="P76" s="57">
        <f>170.75912669424*Deflactores!$M$5</f>
        <v>353.26280358210846</v>
      </c>
      <c r="Q76" s="57">
        <f>174.86956880037*Deflactores!$N$5</f>
        <v>354.88169284153958</v>
      </c>
      <c r="R76" s="57">
        <f>165.839718686391*Deflactores!$O$5</f>
        <v>324.67339692085221</v>
      </c>
      <c r="S76" s="57">
        <f>196.203212143966*Deflactores!$P$5</f>
        <v>359.76177965827702</v>
      </c>
      <c r="T76" s="57">
        <f>282.82947349313*Deflactores!$Q$5</f>
        <v>490.40309088649445</v>
      </c>
      <c r="U76" s="57">
        <f>262.157086986611*Deflactores!$R$5</f>
        <v>436.69792447291138</v>
      </c>
      <c r="V76" s="57">
        <f>206.790945890165*Deflactores!$S$5</f>
        <v>333.85318312997316</v>
      </c>
    </row>
    <row r="77" spans="3:22" x14ac:dyDescent="0.2">
      <c r="C77" s="90" t="s">
        <v>147</v>
      </c>
      <c r="D77" s="58">
        <f>113.571641551619*Deflactores!$A$5</f>
        <v>423.83977773926495</v>
      </c>
      <c r="E77" s="58">
        <f>113.70600655136*Deflactores!$B$5</f>
        <v>394.19219882532411</v>
      </c>
      <c r="F77" s="58">
        <f>152.289238686*Deflactores!$C$5</f>
        <v>493.45002548406649</v>
      </c>
      <c r="G77" s="58">
        <f>131.94324648064*Deflactores!$D$5</f>
        <v>401.46412733254351</v>
      </c>
      <c r="H77" s="58">
        <f>118.04696540818*Deflactores!$E$5</f>
        <v>340.46648537039488</v>
      </c>
      <c r="I77" s="58">
        <f>119.82983621475*Deflactores!$F$5</f>
        <v>329.60567171146977</v>
      </c>
      <c r="J77" s="58">
        <f>145.63143382432*Deflactores!$G$5</f>
        <v>383.40714347722837</v>
      </c>
      <c r="K77" s="58">
        <f>145.50076507744*Deflactores!$H$5</f>
        <v>362.42497902790188</v>
      </c>
      <c r="L77" s="58">
        <f>158.3825274178*Deflactores!$I$5</f>
        <v>366.39350766052974</v>
      </c>
      <c r="M77" s="58">
        <f>212.286442432589*Deflactores!$J$5</f>
        <v>481.45410039177904</v>
      </c>
      <c r="N77" s="58">
        <f>241.22768452792*Deflactores!$K$5</f>
        <v>530.27506210141769</v>
      </c>
      <c r="O77" s="58">
        <f>262.86277379776*Deflactores!$L$5</f>
        <v>557.07368324721381</v>
      </c>
      <c r="P77" s="58">
        <f>378.879071458829*Deflactores!$M$5</f>
        <v>783.81686292991992</v>
      </c>
      <c r="Q77" s="58">
        <f>369.66311651395*Deflactores!$N$5</f>
        <v>750.19726685156843</v>
      </c>
      <c r="R77" s="58">
        <f>387.25292522937*Deflactores!$O$5</f>
        <v>758.14602013114711</v>
      </c>
      <c r="S77" s="58">
        <f>442.09207778766*Deflactores!$P$5</f>
        <v>810.62807759238478</v>
      </c>
      <c r="T77" s="58">
        <f>474.49511602292*Deflactores!$Q$5</f>
        <v>822.73558209568262</v>
      </c>
      <c r="U77" s="58">
        <f>524.128403218719*Deflactores!$R$5</f>
        <v>873.08639439759099</v>
      </c>
      <c r="V77" s="58">
        <f>467.0484806235*Deflactores!$S$5</f>
        <v>754.02538182204285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0*Deflactores!$S$5</f>
        <v>0</v>
      </c>
    </row>
    <row r="79" spans="3:22" x14ac:dyDescent="0.2">
      <c r="C79" s="87" t="s">
        <v>149</v>
      </c>
      <c r="D79" s="56">
        <f>69.74150272766*Deflactores!$A$5</f>
        <v>260.26940010247989</v>
      </c>
      <c r="E79" s="56">
        <f>69.13731330351*Deflactores!$B$5</f>
        <v>239.68293653577416</v>
      </c>
      <c r="F79" s="56">
        <f>76.2752722339*Deflactores!$C$5</f>
        <v>247.14835632757115</v>
      </c>
      <c r="G79" s="56">
        <f>104.3576307356*Deflactores!$D$5</f>
        <v>317.52928832099673</v>
      </c>
      <c r="H79" s="56">
        <f>85.50583473293*Deflactores!$E$5</f>
        <v>246.61261667777885</v>
      </c>
      <c r="I79" s="56">
        <f>6.09644239402*Deflactores!$F$5</f>
        <v>16.768962170073472</v>
      </c>
      <c r="J79" s="56">
        <f>95.4813949722899*Deflactores!$G$5</f>
        <v>251.37601093530679</v>
      </c>
      <c r="K79" s="56">
        <f>100.27310952088*Deflactores!$H$5</f>
        <v>249.76830600048996</v>
      </c>
      <c r="L79" s="56">
        <f>152.68230219825*Deflactores!$I$5</f>
        <v>353.20691727902522</v>
      </c>
      <c r="M79" s="56">
        <f>184.718313219889*Deflactores!$J$5</f>
        <v>418.93108338941187</v>
      </c>
      <c r="N79" s="56">
        <f>258.06001506735*Deflactores!$K$5</f>
        <v>567.27647485209536</v>
      </c>
      <c r="O79" s="56">
        <f>285.8359323766*Deflactores!$L$5</f>
        <v>605.75970249763463</v>
      </c>
      <c r="P79" s="56">
        <f>485.57987456694*Deflactores!$M$5</f>
        <v>1004.5571863325303</v>
      </c>
      <c r="Q79" s="56">
        <f>297.902283987*Deflactores!$N$5</f>
        <v>604.56526294381717</v>
      </c>
      <c r="R79" s="56">
        <f>354.72007051411*Deflactores!$O$5</f>
        <v>694.45468891326061</v>
      </c>
      <c r="S79" s="56">
        <f>374.25294026015*Deflactores!$P$5</f>
        <v>686.23700070485904</v>
      </c>
      <c r="T79" s="56">
        <f>114.05856782854*Deflactores!$Q$5</f>
        <v>197.76819407953803</v>
      </c>
      <c r="U79" s="56">
        <f>126.2342094265*Deflactores!$R$5</f>
        <v>210.27933247078997</v>
      </c>
      <c r="V79" s="56">
        <f>223.75610027383*Deflactores!$S$5</f>
        <v>361.24253893032954</v>
      </c>
    </row>
    <row r="80" spans="3:22" x14ac:dyDescent="0.2">
      <c r="C80" s="88" t="s">
        <v>150</v>
      </c>
      <c r="D80" s="57">
        <f>139.4940030023*Deflactores!$A$5</f>
        <v>520.57984212179736</v>
      </c>
      <c r="E80" s="57">
        <f>154.994164648709*Deflactores!$B$5</f>
        <v>537.32861104722485</v>
      </c>
      <c r="F80" s="57">
        <f>171.58627863092*Deflactores!$C$5</f>
        <v>555.97660277047055</v>
      </c>
      <c r="G80" s="57">
        <f>182.30855052279*Deflactores!$D$5</f>
        <v>554.71079492978834</v>
      </c>
      <c r="H80" s="57">
        <f>197.28998762879*Deflactores!$E$5</f>
        <v>569.01614077483316</v>
      </c>
      <c r="I80" s="57">
        <f>209.63606482804*Deflactores!$F$5</f>
        <v>576.62797634776427</v>
      </c>
      <c r="J80" s="57">
        <f>212.97684624607*Deflactores!$G$5</f>
        <v>560.70892184238141</v>
      </c>
      <c r="K80" s="57">
        <f>204.22763107631*Deflactores!$H$5</f>
        <v>508.70656845244412</v>
      </c>
      <c r="L80" s="57">
        <f>208.68190149354*Deflactores!$I$5</f>
        <v>482.75333851563641</v>
      </c>
      <c r="M80" s="57">
        <f>229.102127644069*Deflactores!$J$5</f>
        <v>519.59115946720863</v>
      </c>
      <c r="N80" s="57">
        <f>324.36220657933*Deflactores!$K$5</f>
        <v>713.02425164761496</v>
      </c>
      <c r="O80" s="57">
        <f>217.59143298586*Deflactores!$L$5</f>
        <v>461.13209286048124</v>
      </c>
      <c r="P80" s="57">
        <f>317.91832381292*Deflactores!$M$5</f>
        <v>657.70258114153887</v>
      </c>
      <c r="Q80" s="57">
        <f>325.12017421989*Deflactores!$N$5</f>
        <v>659.80146571875525</v>
      </c>
      <c r="R80" s="57">
        <f>366.309511257572*Deflactores!$O$5</f>
        <v>717.14396458496094</v>
      </c>
      <c r="S80" s="57">
        <f>391.763118331339*Deflactores!$P$5</f>
        <v>718.34398180974517</v>
      </c>
      <c r="T80" s="57">
        <f>485.10032091312*Deflactores!$Q$5</f>
        <v>841.12413684354897</v>
      </c>
      <c r="U80" s="57">
        <f>660.81048765885*Deflactores!$R$5</f>
        <v>1100.7696635158693</v>
      </c>
      <c r="V80" s="57">
        <f>674.0742277688*Deflactores!$S$5</f>
        <v>1088.2576393166712</v>
      </c>
    </row>
    <row r="81" spans="3:22" x14ac:dyDescent="0.2">
      <c r="C81" s="87" t="s">
        <v>151</v>
      </c>
      <c r="D81" s="56">
        <f>23.78600105*Deflactores!$A$5</f>
        <v>88.767347734036591</v>
      </c>
      <c r="E81" s="56">
        <f>17.14503132068*Deflactores!$B$5</f>
        <v>59.437823912804234</v>
      </c>
      <c r="F81" s="56">
        <f>6.14762940545*Deflactores!$C$5</f>
        <v>19.919647067385164</v>
      </c>
      <c r="G81" s="56">
        <f>11.26058101111*Deflactores!$D$5</f>
        <v>34.262604941633072</v>
      </c>
      <c r="H81" s="56">
        <f>22.9284455457*Deflactores!$E$5</f>
        <v>66.1293345657662</v>
      </c>
      <c r="I81" s="56">
        <f>8.57041686506*Deflactores!$F$5</f>
        <v>23.573911947880095</v>
      </c>
      <c r="J81" s="56">
        <f>23.46058260405*Deflactores!$G$5</f>
        <v>61.765202225374487</v>
      </c>
      <c r="K81" s="56">
        <f>13.86999891267*Deflactores!$H$5</f>
        <v>34.548506067071266</v>
      </c>
      <c r="L81" s="56">
        <f>0*Deflactores!$I$5</f>
        <v>0</v>
      </c>
      <c r="M81" s="56">
        <f>0*Deflactores!$J$5</f>
        <v>0</v>
      </c>
      <c r="N81" s="56">
        <f>0*Deflactores!$K$5</f>
        <v>0</v>
      </c>
      <c r="O81" s="56">
        <f>0*Deflactores!$L$5</f>
        <v>0</v>
      </c>
      <c r="P81" s="56">
        <f>0*Deflactores!$M$5</f>
        <v>0</v>
      </c>
      <c r="Q81" s="56">
        <f>0*Deflactores!$N$5</f>
        <v>0</v>
      </c>
      <c r="R81" s="56">
        <f>0*Deflactores!$O$5</f>
        <v>0</v>
      </c>
      <c r="S81" s="56">
        <f>0*Deflactores!$P$5</f>
        <v>0</v>
      </c>
      <c r="T81" s="56">
        <f>0*Deflactores!$Q$5</f>
        <v>0</v>
      </c>
      <c r="U81" s="56">
        <f>0*Deflactores!$R$5</f>
        <v>0</v>
      </c>
      <c r="V81" s="56">
        <f>0*Deflactores!$S$5</f>
        <v>0</v>
      </c>
    </row>
    <row r="82" spans="3:22" x14ac:dyDescent="0.2">
      <c r="C82" s="79" t="s">
        <v>179</v>
      </c>
      <c r="D82" s="44">
        <f t="shared" ref="D82:V82" si="1">+SUM(D53:D81)</f>
        <v>5541.4195095456607</v>
      </c>
      <c r="E82" s="44">
        <f t="shared" si="1"/>
        <v>5941.002745461421</v>
      </c>
      <c r="F82" s="44">
        <f t="shared" si="1"/>
        <v>5889.5815837681557</v>
      </c>
      <c r="G82" s="44">
        <f t="shared" si="1"/>
        <v>5886.9882134722366</v>
      </c>
      <c r="H82" s="44">
        <f t="shared" si="1"/>
        <v>12255.381014739458</v>
      </c>
      <c r="I82" s="44">
        <f t="shared" si="1"/>
        <v>11218.753190495863</v>
      </c>
      <c r="J82" s="44">
        <f t="shared" si="1"/>
        <v>6301.1563408395868</v>
      </c>
      <c r="K82" s="44">
        <f t="shared" si="1"/>
        <v>5754.0853545965547</v>
      </c>
      <c r="L82" s="44">
        <f t="shared" si="1"/>
        <v>5795.1542802051272</v>
      </c>
      <c r="M82" s="44">
        <f t="shared" si="1"/>
        <v>7189.0944922238195</v>
      </c>
      <c r="N82" s="44">
        <f t="shared" si="1"/>
        <v>10098.576541990178</v>
      </c>
      <c r="O82" s="44">
        <f t="shared" si="1"/>
        <v>9305.7185520804815</v>
      </c>
      <c r="P82" s="44">
        <f t="shared" si="1"/>
        <v>9115.1457157579098</v>
      </c>
      <c r="Q82" s="44">
        <f t="shared" si="1"/>
        <v>9221.6779762277711</v>
      </c>
      <c r="R82" s="44">
        <f t="shared" si="1"/>
        <v>9407.4987541937335</v>
      </c>
      <c r="S82" s="44">
        <f t="shared" si="1"/>
        <v>9587.8498025942063</v>
      </c>
      <c r="T82" s="44">
        <f t="shared" si="1"/>
        <v>9077.1504442610076</v>
      </c>
      <c r="U82" s="44">
        <f t="shared" si="1"/>
        <v>9318.9102546998911</v>
      </c>
      <c r="V82" s="44">
        <f t="shared" si="1"/>
        <v>8994.9206836004196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4" t="s">
        <v>196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1.25" hidden="1" customHeight="1" x14ac:dyDescent="0.2">
      <c r="H88" s="27"/>
      <c r="I88" s="27"/>
      <c r="J88" s="27"/>
      <c r="L88" s="179"/>
      <c r="M88" s="160"/>
      <c r="N88" s="160"/>
      <c r="O88" s="160"/>
      <c r="P88" s="160"/>
      <c r="Q88" s="160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81" t="s">
        <v>120</v>
      </c>
      <c r="D90" s="155">
        <v>2000</v>
      </c>
      <c r="E90" s="155">
        <v>2001</v>
      </c>
      <c r="F90" s="155">
        <v>2002</v>
      </c>
      <c r="G90" s="155">
        <v>2003</v>
      </c>
      <c r="H90" s="155">
        <v>2004</v>
      </c>
      <c r="I90" s="155">
        <v>2005</v>
      </c>
      <c r="J90" s="155">
        <v>2006</v>
      </c>
      <c r="K90" s="155">
        <v>2007</v>
      </c>
      <c r="L90" s="155">
        <v>2008</v>
      </c>
      <c r="M90" s="155">
        <v>2009</v>
      </c>
      <c r="N90" s="155">
        <v>2010</v>
      </c>
      <c r="O90" s="155">
        <v>2011</v>
      </c>
      <c r="P90" s="155">
        <v>2012</v>
      </c>
      <c r="Q90" s="155">
        <v>2013</v>
      </c>
      <c r="R90" s="155">
        <v>2014</v>
      </c>
      <c r="S90" s="155">
        <v>2015</v>
      </c>
      <c r="T90" s="155">
        <v>2016</v>
      </c>
      <c r="U90" s="155">
        <v>2017</v>
      </c>
      <c r="V90" s="155">
        <v>2018</v>
      </c>
    </row>
    <row r="91" spans="3:22" ht="12" customHeight="1" thickBot="1" x14ac:dyDescent="0.25">
      <c r="C91" s="162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</row>
    <row r="92" spans="3:22" x14ac:dyDescent="0.2">
      <c r="C92" s="87" t="s">
        <v>123</v>
      </c>
      <c r="D92" s="60">
        <f t="shared" ref="D92:V92" si="2">+IFERROR(IF(D53&gt;0,+((D53/D13)*100)," "),"")</f>
        <v>94.203305657212383</v>
      </c>
      <c r="E92" s="60">
        <f t="shared" si="2"/>
        <v>87.471264132040488</v>
      </c>
      <c r="F92" s="60">
        <f t="shared" si="2"/>
        <v>91.128019172591848</v>
      </c>
      <c r="G92" s="60">
        <f t="shared" si="2"/>
        <v>75.908749904757613</v>
      </c>
      <c r="H92" s="60">
        <f t="shared" si="2"/>
        <v>75.500079225500087</v>
      </c>
      <c r="I92" s="60">
        <f t="shared" si="2"/>
        <v>83.140460037748483</v>
      </c>
      <c r="J92" s="60">
        <f t="shared" si="2"/>
        <v>88.128568013195959</v>
      </c>
      <c r="K92" s="60">
        <f t="shared" si="2"/>
        <v>85.170590357299886</v>
      </c>
      <c r="L92" s="60">
        <f t="shared" si="2"/>
        <v>93.158667405647918</v>
      </c>
      <c r="M92" s="60">
        <f t="shared" si="2"/>
        <v>90.49481503272969</v>
      </c>
      <c r="N92" s="60">
        <f t="shared" si="2"/>
        <v>89.027171025949031</v>
      </c>
      <c r="O92" s="60">
        <f t="shared" si="2"/>
        <v>87.84946102215325</v>
      </c>
      <c r="P92" s="60">
        <f t="shared" si="2"/>
        <v>96.934893491583679</v>
      </c>
      <c r="Q92" s="60">
        <f t="shared" si="2"/>
        <v>86.581579005279067</v>
      </c>
      <c r="R92" s="60">
        <f t="shared" si="2"/>
        <v>93.246326541790197</v>
      </c>
      <c r="S92" s="60">
        <f t="shared" si="2"/>
        <v>87.390457924678472</v>
      </c>
      <c r="T92" s="60">
        <f t="shared" si="2"/>
        <v>83.637026672497129</v>
      </c>
      <c r="U92" s="60">
        <f t="shared" si="2"/>
        <v>96.625681544715164</v>
      </c>
      <c r="V92" s="60">
        <f t="shared" si="2"/>
        <v>86.903002059336302</v>
      </c>
    </row>
    <row r="93" spans="3:22" x14ac:dyDescent="0.2">
      <c r="C93" s="88" t="s">
        <v>124</v>
      </c>
      <c r="D93" s="62" t="str">
        <f t="shared" ref="D93:V93" si="3">+IFERROR(IF(D54&gt;0,+((D54/D14)*100)," "),"")</f>
        <v xml:space="preserve"> </v>
      </c>
      <c r="E93" s="62" t="str">
        <f t="shared" si="3"/>
        <v xml:space="preserve"> </v>
      </c>
      <c r="F93" s="62" t="str">
        <f t="shared" si="3"/>
        <v xml:space="preserve"> </v>
      </c>
      <c r="G93" s="62" t="str">
        <f t="shared" si="3"/>
        <v xml:space="preserve"> </v>
      </c>
      <c r="H93" s="62" t="str">
        <f t="shared" si="3"/>
        <v xml:space="preserve"> </v>
      </c>
      <c r="I93" s="62" t="str">
        <f t="shared" si="3"/>
        <v xml:space="preserve"> </v>
      </c>
      <c r="J93" s="62" t="str">
        <f t="shared" si="3"/>
        <v xml:space="preserve"> </v>
      </c>
      <c r="K93" s="62" t="str">
        <f t="shared" si="3"/>
        <v xml:space="preserve"> </v>
      </c>
      <c r="L93" s="62" t="str">
        <f t="shared" si="3"/>
        <v xml:space="preserve"> </v>
      </c>
      <c r="M93" s="62" t="str">
        <f t="shared" si="3"/>
        <v xml:space="preserve"> </v>
      </c>
      <c r="N93" s="62" t="str">
        <f t="shared" si="3"/>
        <v xml:space="preserve"> </v>
      </c>
      <c r="O93" s="62" t="str">
        <f t="shared" si="3"/>
        <v xml:space="preserve"> </v>
      </c>
      <c r="P93" s="62">
        <f t="shared" si="3"/>
        <v>81.655503734028159</v>
      </c>
      <c r="Q93" s="62">
        <f t="shared" si="3"/>
        <v>87.647612421551145</v>
      </c>
      <c r="R93" s="62">
        <f t="shared" si="3"/>
        <v>69.758201796917618</v>
      </c>
      <c r="S93" s="62">
        <f t="shared" si="3"/>
        <v>96.939605972279097</v>
      </c>
      <c r="T93" s="62">
        <f t="shared" si="3"/>
        <v>91.865283484474773</v>
      </c>
      <c r="U93" s="62">
        <f t="shared" si="3"/>
        <v>97.191158466917855</v>
      </c>
      <c r="V93" s="62">
        <f t="shared" si="3"/>
        <v>96.952595420991955</v>
      </c>
    </row>
    <row r="94" spans="3:22" x14ac:dyDescent="0.2">
      <c r="C94" s="87" t="s">
        <v>125</v>
      </c>
      <c r="D94" s="60">
        <f t="shared" ref="D94:V94" si="4">+IFERROR(IF(D55&gt;0,+((D55/D15)*100)," "),"")</f>
        <v>75.769773989220496</v>
      </c>
      <c r="E94" s="60">
        <f t="shared" si="4"/>
        <v>83.177590345454917</v>
      </c>
      <c r="F94" s="60">
        <f t="shared" si="4"/>
        <v>98.601044729947247</v>
      </c>
      <c r="G94" s="60">
        <f t="shared" si="4"/>
        <v>88.9210462043756</v>
      </c>
      <c r="H94" s="60">
        <f t="shared" si="4"/>
        <v>75.16369651478594</v>
      </c>
      <c r="I94" s="60">
        <f t="shared" si="4"/>
        <v>75.766181241757863</v>
      </c>
      <c r="J94" s="60">
        <f t="shared" si="4"/>
        <v>81.730376640734022</v>
      </c>
      <c r="K94" s="60">
        <f t="shared" si="4"/>
        <v>53.193195694963734</v>
      </c>
      <c r="L94" s="60">
        <f t="shared" si="4"/>
        <v>88.222403650571735</v>
      </c>
      <c r="M94" s="60">
        <f t="shared" si="4"/>
        <v>79.514917505851543</v>
      </c>
      <c r="N94" s="60" t="str">
        <f t="shared" si="4"/>
        <v xml:space="preserve"> </v>
      </c>
      <c r="O94" s="60" t="str">
        <f t="shared" si="4"/>
        <v xml:space="preserve"> </v>
      </c>
      <c r="P94" s="60" t="str">
        <f t="shared" si="4"/>
        <v xml:space="preserve"> </v>
      </c>
      <c r="Q94" s="60" t="str">
        <f t="shared" si="4"/>
        <v xml:space="preserve"> </v>
      </c>
      <c r="R94" s="60" t="str">
        <f t="shared" si="4"/>
        <v xml:space="preserve"> </v>
      </c>
      <c r="S94" s="60" t="str">
        <f t="shared" si="4"/>
        <v xml:space="preserve"> </v>
      </c>
      <c r="T94" s="60" t="str">
        <f t="shared" si="4"/>
        <v xml:space="preserve"> </v>
      </c>
      <c r="U94" s="60" t="str">
        <f t="shared" si="4"/>
        <v xml:space="preserve"> </v>
      </c>
      <c r="V94" s="60" t="str">
        <f t="shared" si="4"/>
        <v xml:space="preserve"> </v>
      </c>
    </row>
    <row r="95" spans="3:22" x14ac:dyDescent="0.2">
      <c r="C95" s="88" t="s">
        <v>126</v>
      </c>
      <c r="D95" s="62">
        <f t="shared" ref="D95:V95" si="5">+IFERROR(IF(D56&gt;0,+((D56/D16)*100)," "),"")</f>
        <v>95.013070743735454</v>
      </c>
      <c r="E95" s="62">
        <f t="shared" si="5"/>
        <v>92.799103167689921</v>
      </c>
      <c r="F95" s="62">
        <f t="shared" si="5"/>
        <v>87.01846174888324</v>
      </c>
      <c r="G95" s="62">
        <f t="shared" si="5"/>
        <v>89.034540032180772</v>
      </c>
      <c r="H95" s="62">
        <f t="shared" si="5"/>
        <v>91.868207181626971</v>
      </c>
      <c r="I95" s="62">
        <f t="shared" si="5"/>
        <v>92.928541518385472</v>
      </c>
      <c r="J95" s="62">
        <f t="shared" si="5"/>
        <v>91.939863170846721</v>
      </c>
      <c r="K95" s="62">
        <f t="shared" si="5"/>
        <v>94.329343287624923</v>
      </c>
      <c r="L95" s="62">
        <f t="shared" si="5"/>
        <v>93.606093479586519</v>
      </c>
      <c r="M95" s="62">
        <f t="shared" si="5"/>
        <v>95.461503966889083</v>
      </c>
      <c r="N95" s="62">
        <f t="shared" si="5"/>
        <v>93.000278635505623</v>
      </c>
      <c r="O95" s="62">
        <f t="shared" si="5"/>
        <v>88.072544832183439</v>
      </c>
      <c r="P95" s="62">
        <f t="shared" si="5"/>
        <v>92.967582421285883</v>
      </c>
      <c r="Q95" s="62">
        <f t="shared" si="5"/>
        <v>95.876726448986346</v>
      </c>
      <c r="R95" s="62">
        <f t="shared" si="5"/>
        <v>95.659180250132465</v>
      </c>
      <c r="S95" s="62">
        <f t="shared" si="5"/>
        <v>95.740211005786918</v>
      </c>
      <c r="T95" s="62">
        <f t="shared" si="5"/>
        <v>95.351611722365419</v>
      </c>
      <c r="U95" s="62">
        <f t="shared" si="5"/>
        <v>96.69620150632116</v>
      </c>
      <c r="V95" s="62">
        <f t="shared" si="5"/>
        <v>94.90959083291412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 t="str">
        <f t="shared" si="6"/>
        <v xml:space="preserve"> </v>
      </c>
      <c r="F96" s="60" t="str">
        <f t="shared" si="6"/>
        <v xml:space="preserve"> </v>
      </c>
      <c r="G96" s="60" t="str">
        <f t="shared" si="6"/>
        <v xml:space="preserve"> </v>
      </c>
      <c r="H96" s="60" t="str">
        <f t="shared" si="6"/>
        <v xml:space="preserve"> </v>
      </c>
      <c r="I96" s="60" t="str">
        <f t="shared" si="6"/>
        <v xml:space="preserve"> </v>
      </c>
      <c r="J96" s="60" t="str">
        <f t="shared" si="6"/>
        <v xml:space="preserve"> </v>
      </c>
      <c r="K96" s="60" t="str">
        <f t="shared" si="6"/>
        <v xml:space="preserve"> </v>
      </c>
      <c r="L96" s="60" t="str">
        <f t="shared" si="6"/>
        <v xml:space="preserve"> </v>
      </c>
      <c r="M96" s="60" t="str">
        <f t="shared" si="6"/>
        <v xml:space="preserve"> </v>
      </c>
      <c r="N96" s="60" t="str">
        <f t="shared" si="6"/>
        <v xml:space="preserve"> </v>
      </c>
      <c r="O96" s="60" t="str">
        <f t="shared" si="6"/>
        <v xml:space="preserve"> </v>
      </c>
      <c r="P96" s="60" t="str">
        <f t="shared" si="6"/>
        <v xml:space="preserve"> </v>
      </c>
      <c r="Q96" s="60" t="str">
        <f t="shared" si="6"/>
        <v xml:space="preserve"> </v>
      </c>
      <c r="R96" s="60" t="str">
        <f t="shared" si="6"/>
        <v xml:space="preserve"> </v>
      </c>
      <c r="S96" s="60" t="str">
        <f t="shared" si="6"/>
        <v xml:space="preserve"> </v>
      </c>
      <c r="T96" s="60" t="str">
        <f t="shared" si="6"/>
        <v xml:space="preserve"> </v>
      </c>
      <c r="U96" s="60" t="str">
        <f t="shared" si="6"/>
        <v xml:space="preserve"> </v>
      </c>
      <c r="V96" s="60" t="str">
        <f t="shared" si="6"/>
        <v xml:space="preserve"> </v>
      </c>
    </row>
    <row r="97" spans="3:22" x14ac:dyDescent="0.2">
      <c r="C97" s="88" t="s">
        <v>128</v>
      </c>
      <c r="D97" s="62">
        <f t="shared" ref="D97:V97" si="7">+IFERROR(IF(D58&gt;0,+((D58/D18)*100)," "),"")</f>
        <v>86.486610677927331</v>
      </c>
      <c r="E97" s="62">
        <f t="shared" si="7"/>
        <v>90.925323898270591</v>
      </c>
      <c r="F97" s="62">
        <f t="shared" si="7"/>
        <v>77.627957766161401</v>
      </c>
      <c r="G97" s="62">
        <f t="shared" si="7"/>
        <v>86.812465205825418</v>
      </c>
      <c r="H97" s="62">
        <f t="shared" si="7"/>
        <v>85.832911558562685</v>
      </c>
      <c r="I97" s="62">
        <f t="shared" si="7"/>
        <v>88.107833645520302</v>
      </c>
      <c r="J97" s="62">
        <f t="shared" si="7"/>
        <v>35.952556799879424</v>
      </c>
      <c r="K97" s="62">
        <f t="shared" si="7"/>
        <v>59.143608145043643</v>
      </c>
      <c r="L97" s="62">
        <f t="shared" si="7"/>
        <v>85.226291016673343</v>
      </c>
      <c r="M97" s="62">
        <f t="shared" si="7"/>
        <v>68.12929288756375</v>
      </c>
      <c r="N97" s="62">
        <f t="shared" si="7"/>
        <v>81.993306132326509</v>
      </c>
      <c r="O97" s="62">
        <f t="shared" si="7"/>
        <v>82.696847994576231</v>
      </c>
      <c r="P97" s="62">
        <f t="shared" si="7"/>
        <v>86.884615128946081</v>
      </c>
      <c r="Q97" s="62">
        <f t="shared" si="7"/>
        <v>81.29965257579569</v>
      </c>
      <c r="R97" s="62">
        <f t="shared" si="7"/>
        <v>88.698826030086224</v>
      </c>
      <c r="S97" s="62">
        <f t="shared" si="7"/>
        <v>94.70113551845472</v>
      </c>
      <c r="T97" s="62">
        <f t="shared" si="7"/>
        <v>95.724453440741215</v>
      </c>
      <c r="U97" s="62">
        <f t="shared" si="7"/>
        <v>96.911394891974084</v>
      </c>
      <c r="V97" s="62">
        <f t="shared" si="7"/>
        <v>96.375099774691279</v>
      </c>
    </row>
    <row r="98" spans="3:22" x14ac:dyDescent="0.2">
      <c r="C98" s="87" t="s">
        <v>129</v>
      </c>
      <c r="D98" s="60">
        <f t="shared" ref="D98:V98" si="8">+IFERROR(IF(D59&gt;0,+((D59/D19)*100)," "),"")</f>
        <v>87.225546420586767</v>
      </c>
      <c r="E98" s="60">
        <f t="shared" si="8"/>
        <v>90.291401615743794</v>
      </c>
      <c r="F98" s="60">
        <f t="shared" si="8"/>
        <v>89.25523334939723</v>
      </c>
      <c r="G98" s="60">
        <f t="shared" si="8"/>
        <v>91.05482714836333</v>
      </c>
      <c r="H98" s="60">
        <f t="shared" si="8"/>
        <v>93.308584033000855</v>
      </c>
      <c r="I98" s="60">
        <f t="shared" si="8"/>
        <v>94.212008623357818</v>
      </c>
      <c r="J98" s="60">
        <f t="shared" si="8"/>
        <v>93.529162185493959</v>
      </c>
      <c r="K98" s="60">
        <f t="shared" si="8"/>
        <v>92.390753081775117</v>
      </c>
      <c r="L98" s="60">
        <f t="shared" si="8"/>
        <v>92.357814865027834</v>
      </c>
      <c r="M98" s="60">
        <f t="shared" si="8"/>
        <v>91.251740130334014</v>
      </c>
      <c r="N98" s="60">
        <f t="shared" si="8"/>
        <v>95.500212235991128</v>
      </c>
      <c r="O98" s="60">
        <f t="shared" si="8"/>
        <v>87.428186264023921</v>
      </c>
      <c r="P98" s="60">
        <f t="shared" si="8"/>
        <v>86.277911953746539</v>
      </c>
      <c r="Q98" s="60">
        <f t="shared" si="8"/>
        <v>84.719978464840153</v>
      </c>
      <c r="R98" s="60">
        <f t="shared" si="8"/>
        <v>91.374114127934405</v>
      </c>
      <c r="S98" s="60">
        <f t="shared" si="8"/>
        <v>87.34762406706389</v>
      </c>
      <c r="T98" s="60">
        <f t="shared" si="8"/>
        <v>94.446161546173684</v>
      </c>
      <c r="U98" s="60">
        <f t="shared" si="8"/>
        <v>97.926552445848316</v>
      </c>
      <c r="V98" s="60">
        <f t="shared" si="8"/>
        <v>97.1902375359507</v>
      </c>
    </row>
    <row r="99" spans="3:22" x14ac:dyDescent="0.2">
      <c r="C99" s="88" t="s">
        <v>130</v>
      </c>
      <c r="D99" s="62">
        <f t="shared" ref="D99:V99" si="9">+IFERROR(IF(D60&gt;0,+((D60/D20)*100)," "),"")</f>
        <v>97.200525772236361</v>
      </c>
      <c r="E99" s="62">
        <f t="shared" si="9"/>
        <v>88.490333339819898</v>
      </c>
      <c r="F99" s="62">
        <f t="shared" si="9"/>
        <v>86.626058219529142</v>
      </c>
      <c r="G99" s="62">
        <f t="shared" si="9"/>
        <v>82.482878665884016</v>
      </c>
      <c r="H99" s="62">
        <f t="shared" si="9"/>
        <v>91.036692151141551</v>
      </c>
      <c r="I99" s="62">
        <f t="shared" si="9"/>
        <v>97.463229846949801</v>
      </c>
      <c r="J99" s="62">
        <f t="shared" si="9"/>
        <v>95.424558116289447</v>
      </c>
      <c r="K99" s="62">
        <f t="shared" si="9"/>
        <v>92.140305559719209</v>
      </c>
      <c r="L99" s="62">
        <f t="shared" si="9"/>
        <v>95.800510628945233</v>
      </c>
      <c r="M99" s="62">
        <f t="shared" si="9"/>
        <v>96.595065083591933</v>
      </c>
      <c r="N99" s="62">
        <f t="shared" si="9"/>
        <v>96.347144660234136</v>
      </c>
      <c r="O99" s="62">
        <f t="shared" si="9"/>
        <v>75.001163463350352</v>
      </c>
      <c r="P99" s="62" t="str">
        <f t="shared" si="9"/>
        <v xml:space="preserve"> </v>
      </c>
      <c r="Q99" s="62" t="str">
        <f t="shared" si="9"/>
        <v xml:space="preserve"> </v>
      </c>
      <c r="R99" s="62" t="str">
        <f t="shared" si="9"/>
        <v xml:space="preserve"> </v>
      </c>
      <c r="S99" s="62" t="str">
        <f t="shared" si="9"/>
        <v xml:space="preserve"> </v>
      </c>
      <c r="T99" s="62" t="str">
        <f t="shared" si="9"/>
        <v xml:space="preserve"> </v>
      </c>
      <c r="U99" s="62" t="str">
        <f t="shared" si="9"/>
        <v xml:space="preserve"> </v>
      </c>
      <c r="V99" s="62" t="str">
        <f t="shared" si="9"/>
        <v xml:space="preserve"> </v>
      </c>
    </row>
    <row r="100" spans="3:22" x14ac:dyDescent="0.2">
      <c r="C100" s="87" t="s">
        <v>131</v>
      </c>
      <c r="D100" s="60">
        <f t="shared" ref="D100:V100" si="10">+IFERROR(IF(D61&gt;0,+((D61/D21)*100)," "),"")</f>
        <v>92.076885101159249</v>
      </c>
      <c r="E100" s="60">
        <f t="shared" si="10"/>
        <v>93.094173027694595</v>
      </c>
      <c r="F100" s="60">
        <f t="shared" si="10"/>
        <v>93.129731337432759</v>
      </c>
      <c r="G100" s="60">
        <f t="shared" si="10"/>
        <v>90.842407082518378</v>
      </c>
      <c r="H100" s="60">
        <f t="shared" si="10"/>
        <v>91.36526631581107</v>
      </c>
      <c r="I100" s="60">
        <f t="shared" si="10"/>
        <v>92.290304698855579</v>
      </c>
      <c r="J100" s="60">
        <f t="shared" si="10"/>
        <v>82.905113713485505</v>
      </c>
      <c r="K100" s="60">
        <f t="shared" si="10"/>
        <v>85.682414934705946</v>
      </c>
      <c r="L100" s="60">
        <f t="shared" si="10"/>
        <v>88.860234254829763</v>
      </c>
      <c r="M100" s="60">
        <f t="shared" si="10"/>
        <v>93.642395621996698</v>
      </c>
      <c r="N100" s="60">
        <f t="shared" si="10"/>
        <v>88.702155371588546</v>
      </c>
      <c r="O100" s="60">
        <f t="shared" si="10"/>
        <v>94.611740770411487</v>
      </c>
      <c r="P100" s="60">
        <f t="shared" si="10"/>
        <v>95.838753881994137</v>
      </c>
      <c r="Q100" s="60">
        <f t="shared" si="10"/>
        <v>84.901420417346145</v>
      </c>
      <c r="R100" s="60">
        <f t="shared" si="10"/>
        <v>91.238913914443955</v>
      </c>
      <c r="S100" s="60">
        <f t="shared" si="10"/>
        <v>91.458390482337009</v>
      </c>
      <c r="T100" s="60">
        <f t="shared" si="10"/>
        <v>92.117666952714444</v>
      </c>
      <c r="U100" s="60">
        <f t="shared" si="10"/>
        <v>88.073980158435319</v>
      </c>
      <c r="V100" s="60">
        <f t="shared" si="10"/>
        <v>88.991790352174291</v>
      </c>
    </row>
    <row r="101" spans="3:22" x14ac:dyDescent="0.2">
      <c r="C101" s="88" t="s">
        <v>132</v>
      </c>
      <c r="D101" s="62">
        <f t="shared" ref="D101:V101" si="11">+IFERROR(IF(D62&gt;0,+((D62/D22)*100)," "),"")</f>
        <v>83.265277749522738</v>
      </c>
      <c r="E101" s="62">
        <f t="shared" si="11"/>
        <v>87.79208478833128</v>
      </c>
      <c r="F101" s="62">
        <f t="shared" si="11"/>
        <v>83.324651288977719</v>
      </c>
      <c r="G101" s="62">
        <f t="shared" si="11"/>
        <v>86.026074703323488</v>
      </c>
      <c r="H101" s="62">
        <f t="shared" si="11"/>
        <v>81.836949918116815</v>
      </c>
      <c r="I101" s="62">
        <f t="shared" si="11"/>
        <v>93.666686212676382</v>
      </c>
      <c r="J101" s="62">
        <f t="shared" si="11"/>
        <v>74.560783638686374</v>
      </c>
      <c r="K101" s="62">
        <f t="shared" si="11"/>
        <v>53.506547084759845</v>
      </c>
      <c r="L101" s="62">
        <f t="shared" si="11"/>
        <v>55.814359166408344</v>
      </c>
      <c r="M101" s="62">
        <f t="shared" si="11"/>
        <v>36.803667828765811</v>
      </c>
      <c r="N101" s="62">
        <f t="shared" si="11"/>
        <v>67.49821850328847</v>
      </c>
      <c r="O101" s="62">
        <f t="shared" si="11"/>
        <v>62.398841799555193</v>
      </c>
      <c r="P101" s="62">
        <f t="shared" si="11"/>
        <v>64.644230584384104</v>
      </c>
      <c r="Q101" s="62">
        <f t="shared" si="11"/>
        <v>45.55831849988359</v>
      </c>
      <c r="R101" s="62">
        <f t="shared" si="11"/>
        <v>51.903463375777783</v>
      </c>
      <c r="S101" s="62">
        <f t="shared" si="11"/>
        <v>53.648075970951638</v>
      </c>
      <c r="T101" s="62">
        <f t="shared" si="11"/>
        <v>76.269740443762075</v>
      </c>
      <c r="U101" s="62">
        <f t="shared" si="11"/>
        <v>79.435763353000496</v>
      </c>
      <c r="V101" s="62">
        <f t="shared" si="11"/>
        <v>82.568537657639055</v>
      </c>
    </row>
    <row r="102" spans="3:22" x14ac:dyDescent="0.2">
      <c r="C102" s="87" t="s">
        <v>133</v>
      </c>
      <c r="D102" s="60">
        <f t="shared" ref="D102:V102" si="12">+IFERROR(IF(D63&gt;0,+((D63/D23)*100)," "),"")</f>
        <v>52.553481328482718</v>
      </c>
      <c r="E102" s="60">
        <f t="shared" si="12"/>
        <v>63.907002755798558</v>
      </c>
      <c r="F102" s="60">
        <f t="shared" si="12"/>
        <v>86.798313787478406</v>
      </c>
      <c r="G102" s="60">
        <f t="shared" si="12"/>
        <v>34.140608885384019</v>
      </c>
      <c r="H102" s="60">
        <f t="shared" si="12"/>
        <v>95.747806882061937</v>
      </c>
      <c r="I102" s="60">
        <f t="shared" si="12"/>
        <v>98.344466675607094</v>
      </c>
      <c r="J102" s="60">
        <f t="shared" si="12"/>
        <v>99.818478583333345</v>
      </c>
      <c r="K102" s="60">
        <f t="shared" si="12"/>
        <v>62.978497907043476</v>
      </c>
      <c r="L102" s="60">
        <f t="shared" si="12"/>
        <v>41.562018146718145</v>
      </c>
      <c r="M102" s="60">
        <f t="shared" si="12"/>
        <v>55.072898529411773</v>
      </c>
      <c r="N102" s="60">
        <f t="shared" si="12"/>
        <v>51.166891628692959</v>
      </c>
      <c r="O102" s="60">
        <f t="shared" si="12"/>
        <v>56.280372856519314</v>
      </c>
      <c r="P102" s="60">
        <f t="shared" si="12"/>
        <v>50.900885209197796</v>
      </c>
      <c r="Q102" s="60">
        <f t="shared" si="12"/>
        <v>25.789746666666669</v>
      </c>
      <c r="R102" s="60">
        <f t="shared" si="12"/>
        <v>91.270268277789526</v>
      </c>
      <c r="S102" s="60">
        <f t="shared" si="12"/>
        <v>48.851568399085238</v>
      </c>
      <c r="T102" s="60">
        <f t="shared" si="12"/>
        <v>91.890358572245518</v>
      </c>
      <c r="U102" s="60">
        <f t="shared" si="12"/>
        <v>99.355214242864776</v>
      </c>
      <c r="V102" s="60">
        <f t="shared" si="12"/>
        <v>92.956985993006995</v>
      </c>
    </row>
    <row r="103" spans="3:22" x14ac:dyDescent="0.2">
      <c r="C103" s="88" t="s">
        <v>134</v>
      </c>
      <c r="D103" s="62">
        <f t="shared" ref="D103:V103" si="13">+IFERROR(IF(D64&gt;0,+((D64/D24)*100)," "),"")</f>
        <v>70.761105361669266</v>
      </c>
      <c r="E103" s="62">
        <f t="shared" si="13"/>
        <v>89.605139799463146</v>
      </c>
      <c r="F103" s="62">
        <f t="shared" si="13"/>
        <v>95.067794039189181</v>
      </c>
      <c r="G103" s="62">
        <f t="shared" si="13"/>
        <v>90.786643520125409</v>
      </c>
      <c r="H103" s="62">
        <f t="shared" si="13"/>
        <v>96.880565578378892</v>
      </c>
      <c r="I103" s="62">
        <f t="shared" si="13"/>
        <v>89.071774588640011</v>
      </c>
      <c r="J103" s="62">
        <f t="shared" si="13"/>
        <v>97.645405326403719</v>
      </c>
      <c r="K103" s="62">
        <f t="shared" si="13"/>
        <v>88.723679789905589</v>
      </c>
      <c r="L103" s="62">
        <f t="shared" si="13"/>
        <v>91.748472105166883</v>
      </c>
      <c r="M103" s="62">
        <f t="shared" si="13"/>
        <v>89.380703681712063</v>
      </c>
      <c r="N103" s="62">
        <f t="shared" si="13"/>
        <v>92.708811367532292</v>
      </c>
      <c r="O103" s="62">
        <f t="shared" si="13"/>
        <v>93.048920860927467</v>
      </c>
      <c r="P103" s="62">
        <f t="shared" si="13"/>
        <v>89.154634552176375</v>
      </c>
      <c r="Q103" s="62">
        <f t="shared" si="13"/>
        <v>77.438825220393085</v>
      </c>
      <c r="R103" s="62">
        <f t="shared" si="13"/>
        <v>70.68613042965768</v>
      </c>
      <c r="S103" s="62">
        <f t="shared" si="13"/>
        <v>70.303390677212576</v>
      </c>
      <c r="T103" s="62">
        <f t="shared" si="13"/>
        <v>77.870855442690143</v>
      </c>
      <c r="U103" s="62">
        <f t="shared" si="13"/>
        <v>75.642941879647637</v>
      </c>
      <c r="V103" s="62">
        <f t="shared" si="13"/>
        <v>79.657261317199641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97.039165649265328</v>
      </c>
      <c r="E105" s="62">
        <f t="shared" si="15"/>
        <v>99.052863910195569</v>
      </c>
      <c r="F105" s="62">
        <f t="shared" si="15"/>
        <v>95.818569811133543</v>
      </c>
      <c r="G105" s="62">
        <f t="shared" si="15"/>
        <v>98.264930565323397</v>
      </c>
      <c r="H105" s="62">
        <f t="shared" si="15"/>
        <v>96.555676547897079</v>
      </c>
      <c r="I105" s="62">
        <f t="shared" si="15"/>
        <v>97.227393518070016</v>
      </c>
      <c r="J105" s="62">
        <f t="shared" si="15"/>
        <v>73.058920183896731</v>
      </c>
      <c r="K105" s="62">
        <f t="shared" si="15"/>
        <v>71.301830803332848</v>
      </c>
      <c r="L105" s="62">
        <f t="shared" si="15"/>
        <v>73.846862368899025</v>
      </c>
      <c r="M105" s="62">
        <f t="shared" si="15"/>
        <v>74.995063777339283</v>
      </c>
      <c r="N105" s="62">
        <f t="shared" si="15"/>
        <v>79.496297011285876</v>
      </c>
      <c r="O105" s="62">
        <f t="shared" si="15"/>
        <v>78.686593943293573</v>
      </c>
      <c r="P105" s="62">
        <f t="shared" si="15"/>
        <v>80.360733068738639</v>
      </c>
      <c r="Q105" s="62">
        <f t="shared" si="15"/>
        <v>82.454929339296996</v>
      </c>
      <c r="R105" s="62">
        <f t="shared" si="15"/>
        <v>84.161756440728027</v>
      </c>
      <c r="S105" s="62">
        <f t="shared" si="15"/>
        <v>86.413707228944006</v>
      </c>
      <c r="T105" s="62">
        <f t="shared" si="15"/>
        <v>88.281025454894149</v>
      </c>
      <c r="U105" s="62">
        <f t="shared" si="15"/>
        <v>98.435301502502952</v>
      </c>
      <c r="V105" s="62">
        <f t="shared" si="15"/>
        <v>87.784429126953484</v>
      </c>
    </row>
    <row r="106" spans="3:22" x14ac:dyDescent="0.2">
      <c r="C106" s="87" t="s">
        <v>137</v>
      </c>
      <c r="D106" s="60">
        <f t="shared" ref="D106:V106" si="16">+IFERROR(IF(D67&gt;0,+((D67/D27)*100)," "),"")</f>
        <v>86.87554521540126</v>
      </c>
      <c r="E106" s="60">
        <f t="shared" si="16"/>
        <v>84.99694457059303</v>
      </c>
      <c r="F106" s="60">
        <f t="shared" si="16"/>
        <v>99.095508597858256</v>
      </c>
      <c r="G106" s="60">
        <f t="shared" si="16"/>
        <v>91.561991483454918</v>
      </c>
      <c r="H106" s="60">
        <f t="shared" si="16"/>
        <v>94.038006173069576</v>
      </c>
      <c r="I106" s="60">
        <f t="shared" si="16"/>
        <v>96.116793414070429</v>
      </c>
      <c r="J106" s="60">
        <f t="shared" si="16"/>
        <v>96.700661405903332</v>
      </c>
      <c r="K106" s="60">
        <f t="shared" si="16"/>
        <v>91.518772696376132</v>
      </c>
      <c r="L106" s="60">
        <f t="shared" si="16"/>
        <v>90.664067553102925</v>
      </c>
      <c r="M106" s="60">
        <f t="shared" si="16"/>
        <v>94.832205712300123</v>
      </c>
      <c r="N106" s="60">
        <f t="shared" si="16"/>
        <v>94.105535938117981</v>
      </c>
      <c r="O106" s="60">
        <f t="shared" si="16"/>
        <v>94.908080494790838</v>
      </c>
      <c r="P106" s="60">
        <f t="shared" si="16"/>
        <v>94.35023870336029</v>
      </c>
      <c r="Q106" s="60">
        <f t="shared" si="16"/>
        <v>85.62671239681066</v>
      </c>
      <c r="R106" s="60">
        <f t="shared" si="16"/>
        <v>92.608809100658618</v>
      </c>
      <c r="S106" s="60">
        <f t="shared" si="16"/>
        <v>66.311393973366449</v>
      </c>
      <c r="T106" s="60">
        <f t="shared" si="16"/>
        <v>75.030463264975083</v>
      </c>
      <c r="U106" s="60">
        <f t="shared" si="16"/>
        <v>98.146348989220783</v>
      </c>
      <c r="V106" s="60">
        <f t="shared" si="16"/>
        <v>71.70756414794468</v>
      </c>
    </row>
    <row r="107" spans="3:22" x14ac:dyDescent="0.2">
      <c r="C107" s="88" t="s">
        <v>138</v>
      </c>
      <c r="D107" s="62">
        <f t="shared" ref="D107:V107" si="17">+IFERROR(IF(D68&gt;0,+((D68/D28)*100)," "),"")</f>
        <v>89.434185262638707</v>
      </c>
      <c r="E107" s="62">
        <f t="shared" si="17"/>
        <v>83.172710730885512</v>
      </c>
      <c r="F107" s="62">
        <f t="shared" si="17"/>
        <v>95.963166355515611</v>
      </c>
      <c r="G107" s="62">
        <f t="shared" si="17"/>
        <v>95.315400713689854</v>
      </c>
      <c r="H107" s="62">
        <f t="shared" si="17"/>
        <v>96.348414536175454</v>
      </c>
      <c r="I107" s="62">
        <f t="shared" si="17"/>
        <v>89.694963216815509</v>
      </c>
      <c r="J107" s="62">
        <f t="shared" si="17"/>
        <v>97.041889352640027</v>
      </c>
      <c r="K107" s="62">
        <f t="shared" si="17"/>
        <v>95.979571788382771</v>
      </c>
      <c r="L107" s="62">
        <f t="shared" si="17"/>
        <v>96.082339640871766</v>
      </c>
      <c r="M107" s="62">
        <f t="shared" si="17"/>
        <v>87.442322547568509</v>
      </c>
      <c r="N107" s="62">
        <f t="shared" si="17"/>
        <v>82.150101131908642</v>
      </c>
      <c r="O107" s="62">
        <f t="shared" si="17"/>
        <v>80.58175447009269</v>
      </c>
      <c r="P107" s="62">
        <f t="shared" si="17"/>
        <v>87.452105003671022</v>
      </c>
      <c r="Q107" s="62">
        <f t="shared" si="17"/>
        <v>95.671537990570016</v>
      </c>
      <c r="R107" s="62">
        <f t="shared" si="17"/>
        <v>81.256331602629075</v>
      </c>
      <c r="S107" s="62" t="str">
        <f t="shared" si="17"/>
        <v xml:space="preserve"> </v>
      </c>
      <c r="T107" s="62" t="str">
        <f t="shared" si="17"/>
        <v xml:space="preserve"> </v>
      </c>
      <c r="U107" s="62" t="str">
        <f t="shared" si="17"/>
        <v xml:space="preserve"> </v>
      </c>
      <c r="V107" s="62" t="str">
        <f t="shared" si="17"/>
        <v xml:space="preserve"> </v>
      </c>
    </row>
    <row r="108" spans="3:22" x14ac:dyDescent="0.2">
      <c r="C108" s="87" t="s">
        <v>139</v>
      </c>
      <c r="D108" s="60">
        <f t="shared" ref="D108:V108" si="18">+IFERROR(IF(D69&gt;0,+((D69/D29)*100)," "),"")</f>
        <v>95.860669548345882</v>
      </c>
      <c r="E108" s="60">
        <f t="shared" si="18"/>
        <v>97.000534876083009</v>
      </c>
      <c r="F108" s="60">
        <f t="shared" si="18"/>
        <v>81.928833824895804</v>
      </c>
      <c r="G108" s="60">
        <f t="shared" si="18"/>
        <v>82.237667841573654</v>
      </c>
      <c r="H108" s="60">
        <f t="shared" si="18"/>
        <v>86.121902492810719</v>
      </c>
      <c r="I108" s="60">
        <f t="shared" si="18"/>
        <v>88.240241181214728</v>
      </c>
      <c r="J108" s="60">
        <f t="shared" si="18"/>
        <v>96.287856063404348</v>
      </c>
      <c r="K108" s="60">
        <f t="shared" si="18"/>
        <v>89.131854647675482</v>
      </c>
      <c r="L108" s="60">
        <f t="shared" si="18"/>
        <v>84.797072636548549</v>
      </c>
      <c r="M108" s="60">
        <f t="shared" si="18"/>
        <v>88.614068881106206</v>
      </c>
      <c r="N108" s="60">
        <f t="shared" si="18"/>
        <v>73.685059920314288</v>
      </c>
      <c r="O108" s="60">
        <f t="shared" si="18"/>
        <v>87.482840393683503</v>
      </c>
      <c r="P108" s="60">
        <f t="shared" si="18"/>
        <v>83.658181574272888</v>
      </c>
      <c r="Q108" s="60">
        <f t="shared" si="18"/>
        <v>86.768921055713719</v>
      </c>
      <c r="R108" s="60">
        <f t="shared" si="18"/>
        <v>79.219010956520648</v>
      </c>
      <c r="S108" s="60">
        <f t="shared" si="18"/>
        <v>89.282955512552732</v>
      </c>
      <c r="T108" s="60">
        <f t="shared" si="18"/>
        <v>94.197013502778006</v>
      </c>
      <c r="U108" s="60">
        <f t="shared" si="18"/>
        <v>91.981238604540181</v>
      </c>
      <c r="V108" s="60">
        <f t="shared" si="18"/>
        <v>93.584870919881908</v>
      </c>
    </row>
    <row r="109" spans="3:22" x14ac:dyDescent="0.2">
      <c r="C109" s="88" t="s">
        <v>140</v>
      </c>
      <c r="D109" s="62">
        <f t="shared" ref="D109:V109" si="19">+IFERROR(IF(D70&gt;0,+((D70/D30)*100)," "),"")</f>
        <v>88.498434849535627</v>
      </c>
      <c r="E109" s="62">
        <f t="shared" si="19"/>
        <v>90.293112553940432</v>
      </c>
      <c r="F109" s="62">
        <f t="shared" si="19"/>
        <v>72.761376620320178</v>
      </c>
      <c r="G109" s="62">
        <f t="shared" si="19"/>
        <v>82.789081404318438</v>
      </c>
      <c r="H109" s="62">
        <f t="shared" si="19"/>
        <v>99.631699038192082</v>
      </c>
      <c r="I109" s="62">
        <f t="shared" si="19"/>
        <v>99.861786386086365</v>
      </c>
      <c r="J109" s="62">
        <f t="shared" si="19"/>
        <v>97.028413590453269</v>
      </c>
      <c r="K109" s="62">
        <f t="shared" si="19"/>
        <v>72.403022071167385</v>
      </c>
      <c r="L109" s="62">
        <f t="shared" si="19"/>
        <v>93.305457902104976</v>
      </c>
      <c r="M109" s="62">
        <f t="shared" si="19"/>
        <v>81.267729771450973</v>
      </c>
      <c r="N109" s="62">
        <f t="shared" si="19"/>
        <v>98.708181658161791</v>
      </c>
      <c r="O109" s="62">
        <f t="shared" si="19"/>
        <v>97.475070695077619</v>
      </c>
      <c r="P109" s="62">
        <f t="shared" si="19"/>
        <v>72.368824082953083</v>
      </c>
      <c r="Q109" s="62">
        <f t="shared" si="19"/>
        <v>73.311881317987371</v>
      </c>
      <c r="R109" s="62">
        <f t="shared" si="19"/>
        <v>91.836299421177529</v>
      </c>
      <c r="S109" s="62">
        <f t="shared" si="19"/>
        <v>93.194497658264311</v>
      </c>
      <c r="T109" s="62">
        <f t="shared" si="19"/>
        <v>93.002236359435969</v>
      </c>
      <c r="U109" s="62">
        <f t="shared" si="19"/>
        <v>96.286923751783704</v>
      </c>
      <c r="V109" s="62">
        <f t="shared" si="19"/>
        <v>88.387620494217614</v>
      </c>
    </row>
    <row r="110" spans="3:22" x14ac:dyDescent="0.2">
      <c r="C110" s="87" t="s">
        <v>141</v>
      </c>
      <c r="D110" s="60">
        <f t="shared" ref="D110:V110" si="20">+IFERROR(IF(D71&gt;0,+((D71/D31)*100)," "),"")</f>
        <v>99.384158631498522</v>
      </c>
      <c r="E110" s="60">
        <f t="shared" si="20"/>
        <v>99.979838429871705</v>
      </c>
      <c r="F110" s="60">
        <f t="shared" si="20"/>
        <v>99.937331130946106</v>
      </c>
      <c r="G110" s="60">
        <f t="shared" si="20"/>
        <v>99.980985053861062</v>
      </c>
      <c r="H110" s="60">
        <f t="shared" si="20"/>
        <v>98.736464000824313</v>
      </c>
      <c r="I110" s="60">
        <f t="shared" si="20"/>
        <v>99.308429731495096</v>
      </c>
      <c r="J110" s="60">
        <f t="shared" si="20"/>
        <v>98.970916384061042</v>
      </c>
      <c r="K110" s="60">
        <f t="shared" si="20"/>
        <v>95.490283625651188</v>
      </c>
      <c r="L110" s="60">
        <f t="shared" si="20"/>
        <v>98.684229599032676</v>
      </c>
      <c r="M110" s="60">
        <f t="shared" si="20"/>
        <v>96.024893067417125</v>
      </c>
      <c r="N110" s="60">
        <f t="shared" si="20"/>
        <v>86.425721292218682</v>
      </c>
      <c r="O110" s="60">
        <f t="shared" si="20"/>
        <v>95.025936697488376</v>
      </c>
      <c r="P110" s="60">
        <f t="shared" si="20"/>
        <v>87.323191225311135</v>
      </c>
      <c r="Q110" s="60">
        <f t="shared" si="20"/>
        <v>83.973758406137634</v>
      </c>
      <c r="R110" s="60">
        <f t="shared" si="20"/>
        <v>93.574082482720442</v>
      </c>
      <c r="S110" s="60">
        <f t="shared" si="20"/>
        <v>90.975160899010106</v>
      </c>
      <c r="T110" s="60">
        <f t="shared" si="20"/>
        <v>73.597280843719361</v>
      </c>
      <c r="U110" s="60">
        <f t="shared" si="20"/>
        <v>76.103408447285716</v>
      </c>
      <c r="V110" s="60">
        <f t="shared" si="20"/>
        <v>83.206973923246125</v>
      </c>
    </row>
    <row r="111" spans="3:22" x14ac:dyDescent="0.2">
      <c r="C111" s="88" t="s">
        <v>142</v>
      </c>
      <c r="D111" s="62">
        <f t="shared" ref="D111:V111" si="21">+IFERROR(IF(D72&gt;0,+((D72/D32)*100)," "),"")</f>
        <v>92.928536061629146</v>
      </c>
      <c r="E111" s="62">
        <f t="shared" si="21"/>
        <v>95.508636471998798</v>
      </c>
      <c r="F111" s="62">
        <f t="shared" si="21"/>
        <v>86.106758219467835</v>
      </c>
      <c r="G111" s="62">
        <f t="shared" si="21"/>
        <v>80.655378901069739</v>
      </c>
      <c r="H111" s="62">
        <f t="shared" si="21"/>
        <v>90.449046922005039</v>
      </c>
      <c r="I111" s="62">
        <f t="shared" si="21"/>
        <v>91.935069863208369</v>
      </c>
      <c r="J111" s="62">
        <f t="shared" si="21"/>
        <v>70.043486561629308</v>
      </c>
      <c r="K111" s="62">
        <f t="shared" si="21"/>
        <v>71.013939623945163</v>
      </c>
      <c r="L111" s="62">
        <f t="shared" si="21"/>
        <v>81.651906934826656</v>
      </c>
      <c r="M111" s="62">
        <f t="shared" si="21"/>
        <v>69.325401574791741</v>
      </c>
      <c r="N111" s="62">
        <f t="shared" si="21"/>
        <v>89.82113560110956</v>
      </c>
      <c r="O111" s="62">
        <f t="shared" si="21"/>
        <v>89.00869218658643</v>
      </c>
      <c r="P111" s="62">
        <f t="shared" si="21"/>
        <v>88.896920153833818</v>
      </c>
      <c r="Q111" s="62">
        <f t="shared" si="21"/>
        <v>58.697026326137667</v>
      </c>
      <c r="R111" s="62">
        <f t="shared" si="21"/>
        <v>88.568075798252352</v>
      </c>
      <c r="S111" s="62">
        <f t="shared" si="21"/>
        <v>90.516702620753989</v>
      </c>
      <c r="T111" s="62">
        <f t="shared" si="21"/>
        <v>95.601707942378013</v>
      </c>
      <c r="U111" s="62">
        <f t="shared" si="21"/>
        <v>92.10940935162121</v>
      </c>
      <c r="V111" s="62">
        <f t="shared" si="21"/>
        <v>94.557008653241368</v>
      </c>
    </row>
    <row r="112" spans="3:22" x14ac:dyDescent="0.2">
      <c r="C112" s="87" t="s">
        <v>143</v>
      </c>
      <c r="D112" s="60" t="str">
        <f t="shared" ref="D112:V112" si="22">+IFERROR(IF(D73&gt;0,+((D73/D33)*100)," "),"")</f>
        <v xml:space="preserve"> </v>
      </c>
      <c r="E112" s="60" t="str">
        <f t="shared" si="22"/>
        <v xml:space="preserve"> </v>
      </c>
      <c r="F112" s="60" t="str">
        <f t="shared" si="22"/>
        <v xml:space="preserve"> </v>
      </c>
      <c r="G112" s="60" t="str">
        <f t="shared" si="22"/>
        <v xml:space="preserve"> </v>
      </c>
      <c r="H112" s="60" t="str">
        <f t="shared" si="22"/>
        <v xml:space="preserve"> </v>
      </c>
      <c r="I112" s="60" t="str">
        <f t="shared" si="22"/>
        <v xml:space="preserve"> </v>
      </c>
      <c r="J112" s="60" t="str">
        <f t="shared" si="22"/>
        <v xml:space="preserve"> </v>
      </c>
      <c r="K112" s="60" t="str">
        <f t="shared" si="22"/>
        <v xml:space="preserve"> </v>
      </c>
      <c r="L112" s="60" t="str">
        <f t="shared" si="22"/>
        <v xml:space="preserve"> </v>
      </c>
      <c r="M112" s="60" t="str">
        <f t="shared" si="22"/>
        <v xml:space="preserve"> </v>
      </c>
      <c r="N112" s="60" t="str">
        <f t="shared" si="22"/>
        <v xml:space="preserve"> </v>
      </c>
      <c r="O112" s="60" t="str">
        <f t="shared" si="22"/>
        <v xml:space="preserve"> </v>
      </c>
      <c r="P112" s="60" t="str">
        <f t="shared" si="22"/>
        <v xml:space="preserve"> </v>
      </c>
      <c r="Q112" s="60" t="str">
        <f t="shared" si="22"/>
        <v xml:space="preserve"> </v>
      </c>
      <c r="R112" s="60" t="str">
        <f t="shared" si="22"/>
        <v xml:space="preserve"> </v>
      </c>
      <c r="S112" s="60" t="str">
        <f t="shared" si="22"/>
        <v xml:space="preserve"> </v>
      </c>
      <c r="T112" s="60" t="str">
        <f t="shared" si="22"/>
        <v xml:space="preserve"> </v>
      </c>
      <c r="U112" s="60" t="str">
        <f t="shared" si="22"/>
        <v xml:space="preserve"> </v>
      </c>
      <c r="V112" s="60" t="str">
        <f t="shared" si="22"/>
        <v xml:space="preserve"> </v>
      </c>
    </row>
    <row r="113" spans="3:22" x14ac:dyDescent="0.2">
      <c r="C113" s="88" t="s">
        <v>144</v>
      </c>
      <c r="D113" s="62" t="str">
        <f t="shared" ref="D113:V113" si="23">+IFERROR(IF(D74&gt;0,+((D74/D34)*100)," "),"")</f>
        <v xml:space="preserve"> </v>
      </c>
      <c r="E113" s="62" t="str">
        <f t="shared" si="23"/>
        <v xml:space="preserve"> </v>
      </c>
      <c r="F113" s="62" t="str">
        <f t="shared" si="23"/>
        <v xml:space="preserve"> </v>
      </c>
      <c r="G113" s="62" t="str">
        <f t="shared" si="23"/>
        <v xml:space="preserve"> </v>
      </c>
      <c r="H113" s="62" t="str">
        <f t="shared" si="23"/>
        <v xml:space="preserve"> </v>
      </c>
      <c r="I113" s="62" t="str">
        <f t="shared" si="23"/>
        <v xml:space="preserve"> </v>
      </c>
      <c r="J113" s="62" t="str">
        <f t="shared" si="23"/>
        <v xml:space="preserve"> </v>
      </c>
      <c r="K113" s="62" t="str">
        <f t="shared" si="23"/>
        <v xml:space="preserve"> </v>
      </c>
      <c r="L113" s="62" t="str">
        <f t="shared" si="23"/>
        <v xml:space="preserve"> </v>
      </c>
      <c r="M113" s="62" t="str">
        <f t="shared" si="23"/>
        <v xml:space="preserve"> </v>
      </c>
      <c r="N113" s="62" t="str">
        <f t="shared" si="23"/>
        <v xml:space="preserve"> </v>
      </c>
      <c r="O113" s="62" t="str">
        <f t="shared" si="23"/>
        <v xml:space="preserve"> </v>
      </c>
      <c r="P113" s="62" t="str">
        <f t="shared" si="23"/>
        <v xml:space="preserve"> </v>
      </c>
      <c r="Q113" s="62" t="str">
        <f t="shared" si="23"/>
        <v xml:space="preserve"> </v>
      </c>
      <c r="R113" s="62" t="str">
        <f t="shared" si="23"/>
        <v xml:space="preserve"> </v>
      </c>
      <c r="S113" s="62" t="str">
        <f t="shared" si="23"/>
        <v xml:space="preserve"> </v>
      </c>
      <c r="T113" s="62" t="str">
        <f t="shared" si="23"/>
        <v xml:space="preserve"> </v>
      </c>
      <c r="U113" s="62" t="str">
        <f t="shared" si="23"/>
        <v xml:space="preserve"> </v>
      </c>
      <c r="V113" s="62" t="str">
        <f t="shared" si="23"/>
        <v xml:space="preserve"> </v>
      </c>
    </row>
    <row r="114" spans="3:22" x14ac:dyDescent="0.2">
      <c r="C114" s="87" t="s">
        <v>145</v>
      </c>
      <c r="D114" s="60">
        <f t="shared" ref="D114:V114" si="24">+IFERROR(IF(D75&gt;0,+((D75/D35)*100)," "),"")</f>
        <v>94.892520562643938</v>
      </c>
      <c r="E114" s="60">
        <f t="shared" si="24"/>
        <v>95.682987580490192</v>
      </c>
      <c r="F114" s="60">
        <f t="shared" si="24"/>
        <v>97.665063946679226</v>
      </c>
      <c r="G114" s="60">
        <f t="shared" si="24"/>
        <v>93.20931677772883</v>
      </c>
      <c r="H114" s="60">
        <f t="shared" si="24"/>
        <v>97.959555951765665</v>
      </c>
      <c r="I114" s="60">
        <f t="shared" si="24"/>
        <v>97.601420644499512</v>
      </c>
      <c r="J114" s="60">
        <f t="shared" si="24"/>
        <v>68.239811975157167</v>
      </c>
      <c r="K114" s="60">
        <f t="shared" si="24"/>
        <v>82.300432707101791</v>
      </c>
      <c r="L114" s="60">
        <f t="shared" si="24"/>
        <v>70.611087189582051</v>
      </c>
      <c r="M114" s="60">
        <f t="shared" si="24"/>
        <v>89.04098529850522</v>
      </c>
      <c r="N114" s="60">
        <f t="shared" si="24"/>
        <v>92.258799357589353</v>
      </c>
      <c r="O114" s="60">
        <f t="shared" si="24"/>
        <v>95.389248478601317</v>
      </c>
      <c r="P114" s="60">
        <f t="shared" si="24"/>
        <v>91.122487943559136</v>
      </c>
      <c r="Q114" s="60">
        <f t="shared" si="24"/>
        <v>93.193480216763746</v>
      </c>
      <c r="R114" s="60">
        <f t="shared" si="24"/>
        <v>94.089426248987053</v>
      </c>
      <c r="S114" s="60">
        <f t="shared" si="24"/>
        <v>95.672003093702145</v>
      </c>
      <c r="T114" s="60">
        <f t="shared" si="24"/>
        <v>98.570248800759757</v>
      </c>
      <c r="U114" s="60">
        <f t="shared" si="24"/>
        <v>99.296020547344</v>
      </c>
      <c r="V114" s="60">
        <f t="shared" si="24"/>
        <v>95.161709606659471</v>
      </c>
    </row>
    <row r="115" spans="3:22" x14ac:dyDescent="0.2">
      <c r="C115" s="88" t="s">
        <v>146</v>
      </c>
      <c r="D115" s="62">
        <f t="shared" ref="D115:V115" si="25">+IFERROR(IF(D76&gt;0,+((D76/D36)*100)," "),"")</f>
        <v>97.923862303006999</v>
      </c>
      <c r="E115" s="62">
        <f t="shared" si="25"/>
        <v>96.188407083633578</v>
      </c>
      <c r="F115" s="62">
        <f t="shared" si="25"/>
        <v>97.683597114296589</v>
      </c>
      <c r="G115" s="62">
        <f t="shared" si="25"/>
        <v>99.068126436989829</v>
      </c>
      <c r="H115" s="62">
        <f t="shared" si="25"/>
        <v>78.902441472112287</v>
      </c>
      <c r="I115" s="62">
        <f t="shared" si="25"/>
        <v>91.957101485625685</v>
      </c>
      <c r="J115" s="62">
        <f t="shared" si="25"/>
        <v>94.247203172884213</v>
      </c>
      <c r="K115" s="62">
        <f t="shared" si="25"/>
        <v>91.90053734284858</v>
      </c>
      <c r="L115" s="62">
        <f t="shared" si="25"/>
        <v>84.078577707766996</v>
      </c>
      <c r="M115" s="62">
        <f t="shared" si="25"/>
        <v>96.8300969317946</v>
      </c>
      <c r="N115" s="62">
        <f t="shared" si="25"/>
        <v>98.567817425574788</v>
      </c>
      <c r="O115" s="62">
        <f t="shared" si="25"/>
        <v>95.088490778839059</v>
      </c>
      <c r="P115" s="62">
        <f t="shared" si="25"/>
        <v>96.617840848987527</v>
      </c>
      <c r="Q115" s="62">
        <f t="shared" si="25"/>
        <v>98.996036525857235</v>
      </c>
      <c r="R115" s="62">
        <f t="shared" si="25"/>
        <v>98.275214139702854</v>
      </c>
      <c r="S115" s="62">
        <f t="shared" si="25"/>
        <v>98.486807249002027</v>
      </c>
      <c r="T115" s="62">
        <f t="shared" si="25"/>
        <v>99.321291386679604</v>
      </c>
      <c r="U115" s="62">
        <f t="shared" si="25"/>
        <v>99.0889768503379</v>
      </c>
      <c r="V115" s="62">
        <f t="shared" si="25"/>
        <v>81.531240247823632</v>
      </c>
    </row>
    <row r="116" spans="3:22" x14ac:dyDescent="0.2">
      <c r="C116" s="90" t="s">
        <v>147</v>
      </c>
      <c r="D116" s="61">
        <f t="shared" ref="D116:V116" si="26">+IFERROR(IF(D77&gt;0,+((D77/D37)*100)," "),"")</f>
        <v>75.214940720877891</v>
      </c>
      <c r="E116" s="61">
        <f t="shared" si="26"/>
        <v>80.888727591940793</v>
      </c>
      <c r="F116" s="61">
        <f t="shared" si="26"/>
        <v>88.294012134174309</v>
      </c>
      <c r="G116" s="61">
        <f t="shared" si="26"/>
        <v>88.487148335900159</v>
      </c>
      <c r="H116" s="61">
        <f t="shared" si="26"/>
        <v>80.118923552643722</v>
      </c>
      <c r="I116" s="61">
        <f t="shared" si="26"/>
        <v>86.810833808911227</v>
      </c>
      <c r="J116" s="61">
        <f t="shared" si="26"/>
        <v>86.739682740643573</v>
      </c>
      <c r="K116" s="61">
        <f t="shared" si="26"/>
        <v>76.380222379002973</v>
      </c>
      <c r="L116" s="61">
        <f t="shared" si="26"/>
        <v>90.162573509440733</v>
      </c>
      <c r="M116" s="61">
        <f t="shared" si="26"/>
        <v>88.353093194460769</v>
      </c>
      <c r="N116" s="61">
        <f t="shared" si="26"/>
        <v>90.084892898453376</v>
      </c>
      <c r="O116" s="61">
        <f t="shared" si="26"/>
        <v>82.029861329038539</v>
      </c>
      <c r="P116" s="61">
        <f t="shared" si="26"/>
        <v>89.878405334073449</v>
      </c>
      <c r="Q116" s="61">
        <f t="shared" si="26"/>
        <v>76.167251485473301</v>
      </c>
      <c r="R116" s="61">
        <f t="shared" si="26"/>
        <v>84.273210641877171</v>
      </c>
      <c r="S116" s="61">
        <f t="shared" si="26"/>
        <v>90.673697703746967</v>
      </c>
      <c r="T116" s="61">
        <f t="shared" si="26"/>
        <v>93.001756377007638</v>
      </c>
      <c r="U116" s="61">
        <f t="shared" si="26"/>
        <v>93.700808864896189</v>
      </c>
      <c r="V116" s="61">
        <f t="shared" si="26"/>
        <v>88.324780204640106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 t="str">
        <f t="shared" si="27"/>
        <v xml:space="preserve"> </v>
      </c>
    </row>
    <row r="118" spans="3:22" x14ac:dyDescent="0.2">
      <c r="C118" s="87" t="s">
        <v>149</v>
      </c>
      <c r="D118" s="60">
        <f t="shared" ref="D118:V118" si="28">+IFERROR(IF(D79&gt;0,+((D79/D39)*100)," "),"")</f>
        <v>35.835064271284722</v>
      </c>
      <c r="E118" s="60">
        <f t="shared" si="28"/>
        <v>37.782526201254932</v>
      </c>
      <c r="F118" s="60">
        <f t="shared" si="28"/>
        <v>42.397718127975864</v>
      </c>
      <c r="G118" s="60">
        <f t="shared" si="28"/>
        <v>55.443161226733892</v>
      </c>
      <c r="H118" s="60">
        <f t="shared" si="28"/>
        <v>49.432046467514247</v>
      </c>
      <c r="I118" s="60">
        <f t="shared" si="28"/>
        <v>5.4056970227553052</v>
      </c>
      <c r="J118" s="60">
        <f t="shared" si="28"/>
        <v>46.307480950720169</v>
      </c>
      <c r="K118" s="60">
        <f t="shared" si="28"/>
        <v>48.013050373105898</v>
      </c>
      <c r="L118" s="60">
        <f t="shared" si="28"/>
        <v>57.58455340997061</v>
      </c>
      <c r="M118" s="60">
        <f t="shared" si="28"/>
        <v>61.593877241897886</v>
      </c>
      <c r="N118" s="60">
        <f t="shared" si="28"/>
        <v>68.230802074725489</v>
      </c>
      <c r="O118" s="60">
        <f t="shared" si="28"/>
        <v>69.72511404101806</v>
      </c>
      <c r="P118" s="60">
        <f t="shared" si="28"/>
        <v>98.466124291911825</v>
      </c>
      <c r="Q118" s="60">
        <f t="shared" si="28"/>
        <v>75.671647673583962</v>
      </c>
      <c r="R118" s="60">
        <f t="shared" si="28"/>
        <v>82.088228811233705</v>
      </c>
      <c r="S118" s="60">
        <f t="shared" si="28"/>
        <v>85.408456497728224</v>
      </c>
      <c r="T118" s="60">
        <f t="shared" si="28"/>
        <v>91.802553138924722</v>
      </c>
      <c r="U118" s="60">
        <f t="shared" si="28"/>
        <v>97.318252525089804</v>
      </c>
      <c r="V118" s="60">
        <f t="shared" si="28"/>
        <v>78.225138392240069</v>
      </c>
    </row>
    <row r="119" spans="3:22" x14ac:dyDescent="0.2">
      <c r="C119" s="88" t="s">
        <v>150</v>
      </c>
      <c r="D119" s="62">
        <f t="shared" ref="D119:V119" si="29">+IFERROR(IF(D80&gt;0,+((D80/D40)*100)," "),"")</f>
        <v>97.746225747107246</v>
      </c>
      <c r="E119" s="62">
        <f t="shared" si="29"/>
        <v>96.691052156540422</v>
      </c>
      <c r="F119" s="62">
        <f t="shared" si="29"/>
        <v>94.629653522501584</v>
      </c>
      <c r="G119" s="62">
        <f t="shared" si="29"/>
        <v>96.48211408318241</v>
      </c>
      <c r="H119" s="62">
        <f t="shared" si="29"/>
        <v>98.905015099090505</v>
      </c>
      <c r="I119" s="62">
        <f t="shared" si="29"/>
        <v>99.10502906075844</v>
      </c>
      <c r="J119" s="62">
        <f t="shared" si="29"/>
        <v>93.383097586227322</v>
      </c>
      <c r="K119" s="62">
        <f t="shared" si="29"/>
        <v>89.417742184231457</v>
      </c>
      <c r="L119" s="62">
        <f t="shared" si="29"/>
        <v>85.671093536894588</v>
      </c>
      <c r="M119" s="62">
        <f t="shared" si="29"/>
        <v>87.635957890785363</v>
      </c>
      <c r="N119" s="62">
        <f t="shared" si="29"/>
        <v>95.089404976341569</v>
      </c>
      <c r="O119" s="62">
        <f t="shared" si="29"/>
        <v>87.763854705517673</v>
      </c>
      <c r="P119" s="62">
        <f t="shared" si="29"/>
        <v>97.138434872147144</v>
      </c>
      <c r="Q119" s="62">
        <f t="shared" si="29"/>
        <v>90.282489799319833</v>
      </c>
      <c r="R119" s="62">
        <f t="shared" si="29"/>
        <v>95.647343913144098</v>
      </c>
      <c r="S119" s="62">
        <f t="shared" si="29"/>
        <v>97.331090257468617</v>
      </c>
      <c r="T119" s="62">
        <f t="shared" si="29"/>
        <v>95.321863166899718</v>
      </c>
      <c r="U119" s="62">
        <f t="shared" si="29"/>
        <v>90.386687010452235</v>
      </c>
      <c r="V119" s="62">
        <f t="shared" si="29"/>
        <v>96.0606750126517</v>
      </c>
    </row>
    <row r="120" spans="3:22" x14ac:dyDescent="0.2">
      <c r="C120" s="87" t="s">
        <v>151</v>
      </c>
      <c r="D120" s="60">
        <f t="shared" ref="D120:V120" si="30">+IFERROR(IF(D81&gt;0,+((D81/D41)*100)," "),"")</f>
        <v>89.023271258751151</v>
      </c>
      <c r="E120" s="60">
        <f t="shared" si="30"/>
        <v>76.815389848905767</v>
      </c>
      <c r="F120" s="60">
        <f t="shared" si="30"/>
        <v>55.820636479423214</v>
      </c>
      <c r="G120" s="60">
        <f t="shared" si="30"/>
        <v>76.720543223663583</v>
      </c>
      <c r="H120" s="60">
        <f t="shared" si="30"/>
        <v>85.766397139554712</v>
      </c>
      <c r="I120" s="60">
        <f t="shared" si="30"/>
        <v>96.840868531751426</v>
      </c>
      <c r="J120" s="60">
        <f t="shared" si="30"/>
        <v>99.50073840798531</v>
      </c>
      <c r="K120" s="60">
        <f t="shared" si="30"/>
        <v>56.292125523129734</v>
      </c>
      <c r="L120" s="60" t="str">
        <f t="shared" si="30"/>
        <v xml:space="preserve"> </v>
      </c>
      <c r="M120" s="60" t="str">
        <f t="shared" si="30"/>
        <v xml:space="preserve"> </v>
      </c>
      <c r="N120" s="60" t="str">
        <f t="shared" si="30"/>
        <v xml:space="preserve"> </v>
      </c>
      <c r="O120" s="60" t="str">
        <f t="shared" si="30"/>
        <v xml:space="preserve"> </v>
      </c>
      <c r="P120" s="60" t="str">
        <f t="shared" si="30"/>
        <v xml:space="preserve"> </v>
      </c>
      <c r="Q120" s="60" t="str">
        <f t="shared" si="30"/>
        <v xml:space="preserve"> </v>
      </c>
      <c r="R120" s="60" t="str">
        <f t="shared" si="30"/>
        <v xml:space="preserve"> </v>
      </c>
      <c r="S120" s="60" t="str">
        <f t="shared" si="30"/>
        <v xml:space="preserve"> </v>
      </c>
      <c r="T120" s="60" t="str">
        <f t="shared" si="30"/>
        <v xml:space="preserve"> </v>
      </c>
      <c r="U120" s="60" t="str">
        <f t="shared" si="30"/>
        <v xml:space="preserve"> </v>
      </c>
      <c r="V120" s="60" t="str">
        <f t="shared" si="30"/>
        <v xml:space="preserve"> </v>
      </c>
    </row>
    <row r="121" spans="3:22" x14ac:dyDescent="0.2">
      <c r="C121" s="91" t="s">
        <v>179</v>
      </c>
      <c r="D121" s="64">
        <f t="shared" ref="D121:V121" si="31">+IFERROR(IF(D82&gt;0,+((D82/D42)*100)," "),"")</f>
        <v>82.380586180502789</v>
      </c>
      <c r="E121" s="64">
        <f t="shared" si="31"/>
        <v>86.587801528149271</v>
      </c>
      <c r="F121" s="64">
        <f t="shared" si="31"/>
        <v>86.172835197286119</v>
      </c>
      <c r="G121" s="64">
        <f t="shared" si="31"/>
        <v>87.966307282714467</v>
      </c>
      <c r="H121" s="64">
        <f t="shared" si="31"/>
        <v>94.309815995592032</v>
      </c>
      <c r="I121" s="64">
        <f t="shared" si="31"/>
        <v>94.26917823720234</v>
      </c>
      <c r="J121" s="64">
        <f t="shared" si="31"/>
        <v>87.439510711713567</v>
      </c>
      <c r="K121" s="64">
        <f t="shared" si="31"/>
        <v>83.302500871920188</v>
      </c>
      <c r="L121" s="64">
        <f t="shared" si="31"/>
        <v>85.292611920028421</v>
      </c>
      <c r="M121" s="64">
        <f t="shared" si="31"/>
        <v>85.179849521501566</v>
      </c>
      <c r="N121" s="64">
        <f t="shared" si="31"/>
        <v>89.651115968334736</v>
      </c>
      <c r="O121" s="64">
        <f t="shared" si="31"/>
        <v>86.634214655221712</v>
      </c>
      <c r="P121" s="64">
        <f t="shared" si="31"/>
        <v>87.87652945524907</v>
      </c>
      <c r="Q121" s="64">
        <f t="shared" si="31"/>
        <v>82.883928191229202</v>
      </c>
      <c r="R121" s="64">
        <f t="shared" si="31"/>
        <v>87.249004529073787</v>
      </c>
      <c r="S121" s="64">
        <f t="shared" si="31"/>
        <v>88.664942684401566</v>
      </c>
      <c r="T121" s="64">
        <f t="shared" si="31"/>
        <v>93.094657814693264</v>
      </c>
      <c r="U121" s="64">
        <f t="shared" si="31"/>
        <v>94.835371863395778</v>
      </c>
      <c r="V121" s="64">
        <f t="shared" si="31"/>
        <v>91.748310481209998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64" t="s">
        <v>197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ht="15.75" customHeight="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3:22" x14ac:dyDescent="0.2">
      <c r="C129" s="181" t="s">
        <v>120</v>
      </c>
      <c r="D129" s="155">
        <v>2000</v>
      </c>
      <c r="E129" s="155">
        <v>2001</v>
      </c>
      <c r="F129" s="155">
        <v>2002</v>
      </c>
      <c r="G129" s="155">
        <v>2003</v>
      </c>
      <c r="H129" s="155">
        <v>2004</v>
      </c>
      <c r="I129" s="155">
        <v>2005</v>
      </c>
      <c r="J129" s="155">
        <v>2006</v>
      </c>
      <c r="K129" s="155">
        <v>2007</v>
      </c>
      <c r="L129" s="155">
        <v>2008</v>
      </c>
      <c r="M129" s="155">
        <v>2009</v>
      </c>
      <c r="N129" s="155">
        <v>2010</v>
      </c>
      <c r="O129" s="155">
        <v>2011</v>
      </c>
      <c r="P129" s="155">
        <v>2012</v>
      </c>
      <c r="Q129" s="155">
        <v>2013</v>
      </c>
      <c r="R129" s="155">
        <v>2014</v>
      </c>
      <c r="S129" s="155">
        <v>2015</v>
      </c>
      <c r="T129" s="155">
        <v>2016</v>
      </c>
      <c r="U129" s="155">
        <v>2017</v>
      </c>
      <c r="V129" s="155">
        <v>2018</v>
      </c>
    </row>
    <row r="130" spans="3:22" ht="12" customHeight="1" thickBot="1" x14ac:dyDescent="0.25">
      <c r="C130" s="162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</row>
    <row r="131" spans="3:22" x14ac:dyDescent="0.2">
      <c r="C131" s="87" t="s">
        <v>123</v>
      </c>
      <c r="D131" s="56">
        <f>13.0008627965*Deflactores!$A$5</f>
        <v>48.518122330588852</v>
      </c>
      <c r="E131" s="56">
        <f>6.2108111525*Deflactores!$B$5</f>
        <v>21.531433377593522</v>
      </c>
      <c r="F131" s="56">
        <f>10.232396557*Deflactores!$C$5</f>
        <v>33.15517488550487</v>
      </c>
      <c r="G131" s="56">
        <f>6.720237807*Deflactores!$D$5</f>
        <v>20.447688522279073</v>
      </c>
      <c r="H131" s="56">
        <f>3.565409289*Deflactores!$E$5</f>
        <v>10.283215373943632</v>
      </c>
      <c r="I131" s="56">
        <f>4.161543158*Deflactores!$F$5</f>
        <v>11.446800490410924</v>
      </c>
      <c r="J131" s="56">
        <f>9.243334006*Deflactores!$G$5</f>
        <v>24.335132837609649</v>
      </c>
      <c r="K131" s="56">
        <f>4.366631139*Deflactores!$H$5</f>
        <v>10.87675517123475</v>
      </c>
      <c r="L131" s="56">
        <f>6.861907301*Deflactores!$I$5</f>
        <v>15.873962401311143</v>
      </c>
      <c r="M131" s="56">
        <f>6.700588564*Deflactores!$J$5</f>
        <v>15.196570267083723</v>
      </c>
      <c r="N131" s="56">
        <f>6.301943622*Deflactores!$K$5</f>
        <v>13.853151026406767</v>
      </c>
      <c r="O131" s="56">
        <f>6.35911938220999*Deflactores!$L$5</f>
        <v>13.476606083377842</v>
      </c>
      <c r="P131" s="56">
        <f>6.72191644227999*Deflactores!$M$5</f>
        <v>13.906155962582588</v>
      </c>
      <c r="Q131" s="56">
        <f>13.4286374848699*Deflactores!$N$5</f>
        <v>27.252183646809002</v>
      </c>
      <c r="R131" s="56">
        <f>15.257690275*Deflactores!$O$5</f>
        <v>29.870806402646252</v>
      </c>
      <c r="S131" s="56">
        <f>12.29004669063*Deflactores!$P$5</f>
        <v>22.535253226435746</v>
      </c>
      <c r="T131" s="56">
        <f>10.40732299559*Deflactores!$Q$5</f>
        <v>18.045443785813216</v>
      </c>
      <c r="U131" s="56">
        <f>8.49586499069*Deflactores!$R$5</f>
        <v>14.152303302889077</v>
      </c>
      <c r="V131" s="56">
        <f>8.67340538489*Deflactores!$S$5</f>
        <v>14.002760052464627</v>
      </c>
    </row>
    <row r="132" spans="3:22" x14ac:dyDescent="0.2">
      <c r="C132" s="88" t="s">
        <v>124</v>
      </c>
      <c r="D132" s="57">
        <f>0*Deflactores!$A$5</f>
        <v>0</v>
      </c>
      <c r="E132" s="57">
        <f>0*Deflactores!$B$5</f>
        <v>0</v>
      </c>
      <c r="F132" s="57">
        <f>0*Deflactores!$C$5</f>
        <v>0</v>
      </c>
      <c r="G132" s="57">
        <f>0*Deflactores!$D$5</f>
        <v>0</v>
      </c>
      <c r="H132" s="57">
        <f>0*Deflactores!$E$5</f>
        <v>0</v>
      </c>
      <c r="I132" s="57">
        <f>0*Deflactores!$F$5</f>
        <v>0</v>
      </c>
      <c r="J132" s="57">
        <f>0*Deflactores!$G$5</f>
        <v>0</v>
      </c>
      <c r="K132" s="57">
        <f>0*Deflactores!$H$5</f>
        <v>0</v>
      </c>
      <c r="L132" s="57">
        <f>0*Deflactores!$I$5</f>
        <v>0</v>
      </c>
      <c r="M132" s="57">
        <f>0*Deflactores!$J$5</f>
        <v>0</v>
      </c>
      <c r="N132" s="57">
        <f>0*Deflactores!$K$5</f>
        <v>0</v>
      </c>
      <c r="O132" s="57">
        <f>0*Deflactores!$L$5</f>
        <v>0</v>
      </c>
      <c r="P132" s="57">
        <f>6.03270861587*Deflactores!$M$5</f>
        <v>12.480337655112075</v>
      </c>
      <c r="Q132" s="57">
        <f>18.2636217670899*Deflactores!$N$5</f>
        <v>37.064339179114747</v>
      </c>
      <c r="R132" s="57">
        <f>19.03676991407*Deflactores!$O$5</f>
        <v>37.269315236175593</v>
      </c>
      <c r="S132" s="57">
        <f>20.5824654609899*Deflactores!$P$5</f>
        <v>37.740383162368481</v>
      </c>
      <c r="T132" s="57">
        <f>24.71670342217*Deflactores!$Q$5</f>
        <v>42.856734855292181</v>
      </c>
      <c r="U132" s="57">
        <f>23.93643085685*Deflactores!$R$5</f>
        <v>39.873000553327046</v>
      </c>
      <c r="V132" s="57">
        <f>29.580885968*Deflactores!$S$5</f>
        <v>47.756795626182424</v>
      </c>
    </row>
    <row r="133" spans="3:22" x14ac:dyDescent="0.2">
      <c r="C133" s="87" t="s">
        <v>125</v>
      </c>
      <c r="D133" s="56">
        <f>1.142020384*Deflactores!$A$5</f>
        <v>4.2619236555480606</v>
      </c>
      <c r="E133" s="56">
        <f>1.450197159*Deflactores!$B$5</f>
        <v>5.0274952412319225</v>
      </c>
      <c r="F133" s="56">
        <f>1.580813496*Deflactores!$C$5</f>
        <v>5.1221771585260845</v>
      </c>
      <c r="G133" s="56">
        <f>1.37947261233999*Deflactores!$D$5</f>
        <v>4.1973256173704838</v>
      </c>
      <c r="H133" s="56">
        <f>1.24617780736*Deflactores!$E$5</f>
        <v>3.5941777643446637</v>
      </c>
      <c r="I133" s="56">
        <f>1.3048335992*Deflactores!$F$5</f>
        <v>3.5890940730758634</v>
      </c>
      <c r="J133" s="56">
        <f>1.620271431*Deflactores!$G$5</f>
        <v>4.2657249517083908</v>
      </c>
      <c r="K133" s="56">
        <f>1.484490528*Deflactores!$H$5</f>
        <v>3.6976881062527061</v>
      </c>
      <c r="L133" s="56">
        <f>2.40729585875*Deflactores!$I$5</f>
        <v>5.5689070508225331</v>
      </c>
      <c r="M133" s="56">
        <f>2.35587657498*Deflactores!$J$5</f>
        <v>5.3429998828174741</v>
      </c>
      <c r="N133" s="56">
        <f>0*Deflactores!$K$5</f>
        <v>0</v>
      </c>
      <c r="O133" s="56">
        <f>0*Deflactores!$L$5</f>
        <v>0</v>
      </c>
      <c r="P133" s="56">
        <f>0*Deflactores!$M$5</f>
        <v>0</v>
      </c>
      <c r="Q133" s="56">
        <f>0*Deflactores!$N$5</f>
        <v>0</v>
      </c>
      <c r="R133" s="56">
        <f>0*Deflactores!$O$5</f>
        <v>0</v>
      </c>
      <c r="S133" s="56">
        <f>0*Deflactores!$P$5</f>
        <v>0</v>
      </c>
      <c r="T133" s="56">
        <f>0*Deflactores!$Q$5</f>
        <v>0</v>
      </c>
      <c r="U133" s="56">
        <f>0*Deflactores!$R$5</f>
        <v>0</v>
      </c>
      <c r="V133" s="56">
        <f>0*Deflactores!$S$5</f>
        <v>0</v>
      </c>
    </row>
    <row r="134" spans="3:22" x14ac:dyDescent="0.2">
      <c r="C134" s="88" t="s">
        <v>126</v>
      </c>
      <c r="D134" s="57">
        <f>34.78256845738*Deflactores!$A$5</f>
        <v>129.80560888940107</v>
      </c>
      <c r="E134" s="57">
        <f>33.863014091*Deflactores!$B$5</f>
        <v>117.39517012546568</v>
      </c>
      <c r="F134" s="57">
        <f>35.82978882*Deflactores!$C$5</f>
        <v>116.09625446202369</v>
      </c>
      <c r="G134" s="57">
        <f>35.938030937*Deflactores!$D$5</f>
        <v>109.34875875052573</v>
      </c>
      <c r="H134" s="57">
        <f>37.021865181*Deflactores!$E$5</f>
        <v>106.77702960383117</v>
      </c>
      <c r="I134" s="57">
        <f>43.693344752*Deflactores!$F$5</f>
        <v>120.18354277389119</v>
      </c>
      <c r="J134" s="57">
        <f>46.712220501*Deflactores!$G$5</f>
        <v>122.98031103210874</v>
      </c>
      <c r="K134" s="57">
        <f>52.678314629*Deflactores!$H$5</f>
        <v>131.21537240356929</v>
      </c>
      <c r="L134" s="57">
        <f>77.9895869442*Deflactores!$I$5</f>
        <v>180.41686028979149</v>
      </c>
      <c r="M134" s="57">
        <f>84.50183509925*Deflactores!$J$5</f>
        <v>191.64556404530114</v>
      </c>
      <c r="N134" s="57">
        <f>93.12798555105*Deflactores!$K$5</f>
        <v>204.71716759254167</v>
      </c>
      <c r="O134" s="57">
        <f>88.03175220133*Deflactores!$L$5</f>
        <v>186.56187687964976</v>
      </c>
      <c r="P134" s="57">
        <f>121.50110127926*Deflactores!$M$5</f>
        <v>251.35886149781368</v>
      </c>
      <c r="Q134" s="57">
        <f>151.213907731959*Deflactores!$N$5</f>
        <v>306.87470624670772</v>
      </c>
      <c r="R134" s="57">
        <f>163.95893337882*Deflactores!$O$5</f>
        <v>320.99128168618608</v>
      </c>
      <c r="S134" s="57">
        <f>168.73622050411*Deflactores!$P$5</f>
        <v>309.397804032012</v>
      </c>
      <c r="T134" s="57">
        <f>177.91869879972*Deflactores!$Q$5</f>
        <v>308.49641920365588</v>
      </c>
      <c r="U134" s="57">
        <f>182.69927446507*Deflactores!$R$5</f>
        <v>304.33811604596309</v>
      </c>
      <c r="V134" s="57">
        <f>190.35190609966*Deflactores!$S$5</f>
        <v>307.3132118655862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0*Deflactores!$D$5</f>
        <v>0</v>
      </c>
      <c r="H135" s="56">
        <f>0*Deflactores!$E$5</f>
        <v>0</v>
      </c>
      <c r="I135" s="56">
        <f>0*Deflactores!$F$5</f>
        <v>0</v>
      </c>
      <c r="J135" s="56">
        <f>0*Deflactores!$G$5</f>
        <v>0</v>
      </c>
      <c r="K135" s="56">
        <f>0*Deflactores!$H$5</f>
        <v>0</v>
      </c>
      <c r="L135" s="56">
        <f>0*Deflactores!$I$5</f>
        <v>0</v>
      </c>
      <c r="M135" s="56">
        <f>0*Deflactores!$J$5</f>
        <v>0</v>
      </c>
      <c r="N135" s="56">
        <f>0*Deflactores!$K$5</f>
        <v>0</v>
      </c>
      <c r="O135" s="56">
        <f>0*Deflactores!$L$5</f>
        <v>0</v>
      </c>
      <c r="P135" s="56">
        <f>0*Deflactores!$M$5</f>
        <v>0</v>
      </c>
      <c r="Q135" s="56">
        <f>0*Deflactores!$N$5</f>
        <v>0</v>
      </c>
      <c r="R135" s="56">
        <f>0*Deflactores!$O$5</f>
        <v>0</v>
      </c>
      <c r="S135" s="56">
        <f>0*Deflactores!$P$5</f>
        <v>0</v>
      </c>
      <c r="T135" s="56">
        <f>0*Deflactores!$Q$5</f>
        <v>0</v>
      </c>
      <c r="U135" s="56">
        <f>0*Deflactores!$R$5</f>
        <v>0</v>
      </c>
      <c r="V135" s="56">
        <f>0*Deflactores!$S$5</f>
        <v>0</v>
      </c>
    </row>
    <row r="136" spans="3:22" x14ac:dyDescent="0.2">
      <c r="C136" s="88" t="s">
        <v>128</v>
      </c>
      <c r="D136" s="57">
        <f>0.548046022*Deflactores!$A$5</f>
        <v>2.04526148413373</v>
      </c>
      <c r="E136" s="57">
        <f>0.56435017131*Deflactores!$B$5</f>
        <v>1.9564703895888993</v>
      </c>
      <c r="F136" s="57">
        <f>0.454821245*Deflactores!$C$5</f>
        <v>1.4737190682178969</v>
      </c>
      <c r="G136" s="57">
        <f>0.348353344*Deflactores!$D$5</f>
        <v>1.0599358056030075</v>
      </c>
      <c r="H136" s="57">
        <f>0.3700221456*Deflactores!$E$5</f>
        <v>1.067203540438616</v>
      </c>
      <c r="I136" s="57">
        <f>0.456210892*Deflactores!$F$5</f>
        <v>1.254860243906764</v>
      </c>
      <c r="J136" s="57">
        <f>0.633191742*Deflactores!$G$5</f>
        <v>1.6670181065885261</v>
      </c>
      <c r="K136" s="57">
        <f>1.476623301*Deflactores!$H$5</f>
        <v>3.6780917860617763</v>
      </c>
      <c r="L136" s="57">
        <f>1.653544256*Deflactores!$I$5</f>
        <v>3.8252191697230868</v>
      </c>
      <c r="M136" s="57">
        <f>1.904305053*Deflactores!$J$5</f>
        <v>4.3188602421220228</v>
      </c>
      <c r="N136" s="57">
        <f>1.84380936*Deflactores!$K$5</f>
        <v>4.0531256799590594</v>
      </c>
      <c r="O136" s="57">
        <f>1.973905398*Deflactores!$L$5</f>
        <v>4.1832121549909171</v>
      </c>
      <c r="P136" s="57">
        <f>2.16432807751*Deflactores!$M$5</f>
        <v>4.4775153125589746</v>
      </c>
      <c r="Q136" s="57">
        <f>2.61248560814*Deflactores!$N$5</f>
        <v>5.301799058012663</v>
      </c>
      <c r="R136" s="57">
        <f>2.9797408368*Deflactores!$O$5</f>
        <v>5.8335999788874959</v>
      </c>
      <c r="S136" s="57">
        <f>2.47292278584*Deflactores!$P$5</f>
        <v>4.5343962143621974</v>
      </c>
      <c r="T136" s="57">
        <f>3.16605114786*Deflactores!$Q$5</f>
        <v>5.4896728040367817</v>
      </c>
      <c r="U136" s="57">
        <f>3.85653374331*Deflactores!$R$5</f>
        <v>6.4241646133687693</v>
      </c>
      <c r="V136" s="57">
        <f>3.04639749769999*Deflactores!$S$5</f>
        <v>4.9182496714654169</v>
      </c>
    </row>
    <row r="137" spans="3:22" x14ac:dyDescent="0.2">
      <c r="C137" s="87" t="s">
        <v>129</v>
      </c>
      <c r="D137" s="56">
        <f>549.44089330236*Deflactores!$A$5</f>
        <v>2050.4670260691123</v>
      </c>
      <c r="E137" s="56">
        <f>628.47252468291*Deflactores!$B$5</f>
        <v>2178.7676299594391</v>
      </c>
      <c r="F137" s="56">
        <f>683.69258506765*Deflactores!$C$5</f>
        <v>2215.3116427386381</v>
      </c>
      <c r="G137" s="56">
        <f>805.06685792243*Deflactores!$D$5</f>
        <v>2449.5794379866575</v>
      </c>
      <c r="H137" s="56">
        <f>833.2368543326*Deflactores!$E$5</f>
        <v>2403.1894618787542</v>
      </c>
      <c r="I137" s="56">
        <f>960.39803717015*Deflactores!$F$5</f>
        <v>2641.6846601087109</v>
      </c>
      <c r="J137" s="56">
        <f>811.938553248719*Deflactores!$G$5</f>
        <v>2137.6088472469478</v>
      </c>
      <c r="K137" s="56">
        <f>1045.50041570477*Deflactores!$H$5</f>
        <v>2604.2163148337631</v>
      </c>
      <c r="L137" s="56">
        <f>1077.31250016008*Deflactores!$I$5</f>
        <v>2492.1960282837713</v>
      </c>
      <c r="M137" s="56">
        <f>1291.28479881298*Deflactores!$J$5</f>
        <v>2928.563661617251</v>
      </c>
      <c r="N137" s="56">
        <f>1526.55347206616*Deflactores!$K$5</f>
        <v>3355.7227844108666</v>
      </c>
      <c r="O137" s="56">
        <f>1569.82954681771*Deflactores!$L$5</f>
        <v>3326.8717174417129</v>
      </c>
      <c r="P137" s="56">
        <f>1623.59101085546*Deflactores!$M$5</f>
        <v>3358.8501151830746</v>
      </c>
      <c r="Q137" s="56">
        <f>1714.53009180139*Deflactores!$N$5</f>
        <v>3479.4809959235754</v>
      </c>
      <c r="R137" s="56">
        <f>1735.79029411972*Deflactores!$O$5</f>
        <v>3398.2506458529197</v>
      </c>
      <c r="S137" s="56">
        <f>1829.70342732472*Deflactores!$P$5</f>
        <v>3354.9774953642832</v>
      </c>
      <c r="T137" s="56">
        <f>1985.9772176538*Deflactores!$Q$5</f>
        <v>3443.5214758169136</v>
      </c>
      <c r="U137" s="56">
        <f>2032.23225224483*Deflactores!$R$5</f>
        <v>3385.2665087309001</v>
      </c>
      <c r="V137" s="56">
        <f>1847.80597133876*Deflactores!$S$5</f>
        <v>2983.1862448449519</v>
      </c>
    </row>
    <row r="138" spans="3:22" x14ac:dyDescent="0.2">
      <c r="C138" s="88" t="s">
        <v>130</v>
      </c>
      <c r="D138" s="57">
        <f>1.086122563*Deflactores!$A$5</f>
        <v>4.0533177068704473</v>
      </c>
      <c r="E138" s="57">
        <f>0.94531819185*Deflactores!$B$5</f>
        <v>3.277197642735032</v>
      </c>
      <c r="F138" s="57">
        <f>2.30047678542*Deflactores!$C$5</f>
        <v>7.4540416524871551</v>
      </c>
      <c r="G138" s="57">
        <f>1.09919273606*Deflactores!$D$5</f>
        <v>3.344517164183531</v>
      </c>
      <c r="H138" s="57">
        <f>1.50317809371*Deflactores!$E$5</f>
        <v>4.3354080359591372</v>
      </c>
      <c r="I138" s="57">
        <f>1.82544255088*Deflactores!$F$5</f>
        <v>5.0210885465554878</v>
      </c>
      <c r="J138" s="57">
        <f>3.06298045*Deflactores!$G$5</f>
        <v>8.0639773572357676</v>
      </c>
      <c r="K138" s="57">
        <f>3.1610623455*Deflactores!$H$5</f>
        <v>7.8738276988714011</v>
      </c>
      <c r="L138" s="57">
        <f>3.61707288817*Deflactores!$I$5</f>
        <v>8.3675393022643938</v>
      </c>
      <c r="M138" s="57">
        <f>3.6520750171*Deflactores!$J$5</f>
        <v>8.2827074200912154</v>
      </c>
      <c r="N138" s="57">
        <f>3.07543908342*Deflactores!$K$5</f>
        <v>6.7605368519006506</v>
      </c>
      <c r="O138" s="57">
        <f>2.21670079597*Deflactores!$L$5</f>
        <v>4.6977579184267197</v>
      </c>
      <c r="P138" s="57">
        <f>0*Deflactores!$M$5</f>
        <v>0</v>
      </c>
      <c r="Q138" s="57">
        <f>0*Deflactores!$N$5</f>
        <v>0</v>
      </c>
      <c r="R138" s="57">
        <f>0*Deflactores!$O$5</f>
        <v>0</v>
      </c>
      <c r="S138" s="57">
        <f>0*Deflactores!$P$5</f>
        <v>0</v>
      </c>
      <c r="T138" s="57">
        <f>0*Deflactores!$Q$5</f>
        <v>0</v>
      </c>
      <c r="U138" s="57">
        <f>0*Deflactores!$R$5</f>
        <v>0</v>
      </c>
      <c r="V138" s="57">
        <f>0*Deflactores!$S$5</f>
        <v>0</v>
      </c>
    </row>
    <row r="139" spans="3:22" x14ac:dyDescent="0.2">
      <c r="C139" s="87" t="s">
        <v>131</v>
      </c>
      <c r="D139" s="56">
        <f>50.93921756575*Deflactores!$A$5</f>
        <v>190.10085930180665</v>
      </c>
      <c r="E139" s="56">
        <f>52.92865061608*Deflactores!$B$5</f>
        <v>183.49128423383516</v>
      </c>
      <c r="F139" s="56">
        <f>60.51754341359*Deflactores!$C$5</f>
        <v>196.08991152185951</v>
      </c>
      <c r="G139" s="56">
        <f>61.47385354166*Deflactores!$D$5</f>
        <v>187.04668578465169</v>
      </c>
      <c r="H139" s="56">
        <f>72.64292566264*Deflactores!$E$5</f>
        <v>209.51391255050493</v>
      </c>
      <c r="I139" s="56">
        <f>46.1072116235499*Deflactores!$F$5</f>
        <v>126.82315972365828</v>
      </c>
      <c r="J139" s="56">
        <f>66.95660012156*Deflactores!$G$5</f>
        <v>176.2781434983529</v>
      </c>
      <c r="K139" s="56">
        <f>42.3024342707*Deflactores!$H$5</f>
        <v>105.37029716117141</v>
      </c>
      <c r="L139" s="56">
        <f>27.64685814579*Deflactores!$I$5</f>
        <v>63.956734981933728</v>
      </c>
      <c r="M139" s="56">
        <f>30.17318342239*Deflactores!$J$5</f>
        <v>68.431138202317982</v>
      </c>
      <c r="N139" s="56">
        <f>7.37278000978*Deflactores!$K$5</f>
        <v>16.207100711500956</v>
      </c>
      <c r="O139" s="56">
        <f>5.95808503909*Deflactores!$L$5</f>
        <v>12.626711382036975</v>
      </c>
      <c r="P139" s="56">
        <f>9.31478348293*Deflactores!$M$5</f>
        <v>19.270223452432106</v>
      </c>
      <c r="Q139" s="56">
        <f>9.30215857733*Deflactores!$N$5</f>
        <v>18.877874553301542</v>
      </c>
      <c r="R139" s="56">
        <f>11.61456271141*Deflactores!$O$5</f>
        <v>22.738458308619865</v>
      </c>
      <c r="S139" s="56">
        <f>10.4426586876399*Deflactores!$P$5</f>
        <v>19.147848971364745</v>
      </c>
      <c r="T139" s="56">
        <f>12.05952430535*Deflactores!$Q$5</f>
        <v>20.910225235447736</v>
      </c>
      <c r="U139" s="56">
        <f>11.71691488562*Deflactores!$R$5</f>
        <v>19.5178870447143</v>
      </c>
      <c r="V139" s="56">
        <f>11.8743464992399*Deflactores!$S$5</f>
        <v>19.170512322454812</v>
      </c>
    </row>
    <row r="140" spans="3:22" x14ac:dyDescent="0.2">
      <c r="C140" s="88" t="s">
        <v>132</v>
      </c>
      <c r="D140" s="57">
        <f>19.6415490109699*Deflactores!$A$5</f>
        <v>73.300602628699863</v>
      </c>
      <c r="E140" s="57">
        <f>21.56018409126*Deflactores!$B$5</f>
        <v>74.744128580170411</v>
      </c>
      <c r="F140" s="57">
        <f>23.5931752716799*Deflactores!$C$5</f>
        <v>76.446983644490118</v>
      </c>
      <c r="G140" s="57">
        <f>24.07535957402*Deflactores!$D$5</f>
        <v>73.254171618547645</v>
      </c>
      <c r="H140" s="57">
        <f>23.77465908421*Deflactores!$E$5</f>
        <v>68.569950877529351</v>
      </c>
      <c r="I140" s="57">
        <f>23.92921742028*Deflactores!$F$5</f>
        <v>65.820049751268428</v>
      </c>
      <c r="J140" s="57">
        <f>30.75024060682*Deflactores!$G$5</f>
        <v>80.956848413103103</v>
      </c>
      <c r="K140" s="57">
        <f>33.59838010153*Deflactores!$H$5</f>
        <v>83.689540719511442</v>
      </c>
      <c r="L140" s="57">
        <f>33.87985430917*Deflactores!$I$5</f>
        <v>78.375808630828942</v>
      </c>
      <c r="M140" s="57">
        <f>31.19692915285*Deflactores!$J$5</f>
        <v>70.752937814391927</v>
      </c>
      <c r="N140" s="57">
        <f>37.06830293718*Deflactores!$K$5</f>
        <v>81.484829075380162</v>
      </c>
      <c r="O140" s="57">
        <f>34.49242288753*Deflactores!$L$5</f>
        <v>73.098296820303034</v>
      </c>
      <c r="P140" s="57">
        <f>35.0820067259799*Deflactores!$M$5</f>
        <v>72.576899936348113</v>
      </c>
      <c r="Q140" s="57">
        <f>37.4991955384799*Deflactores!$N$5</f>
        <v>76.101165481134871</v>
      </c>
      <c r="R140" s="57">
        <f>41.6387507901499*Deflactores!$O$5</f>
        <v>81.518437016549115</v>
      </c>
      <c r="S140" s="57">
        <f>41.96898184225*Deflactores!$P$5</f>
        <v>76.955088721660985</v>
      </c>
      <c r="T140" s="57">
        <f>45.2600572990799*Deflactores!$Q$5</f>
        <v>78.477224169876905</v>
      </c>
      <c r="U140" s="57">
        <f>46.8351143898*Deflactores!$R$5</f>
        <v>78.017334879532058</v>
      </c>
      <c r="V140" s="57">
        <f>51.45172034783*Deflactores!$S$5</f>
        <v>83.066115596568821</v>
      </c>
    </row>
    <row r="141" spans="3:22" x14ac:dyDescent="0.2">
      <c r="C141" s="87" t="s">
        <v>133</v>
      </c>
      <c r="D141" s="56">
        <f>0.11853800175*Deflactores!$A$5</f>
        <v>0.44237381470392595</v>
      </c>
      <c r="E141" s="56">
        <f>0.119989148*Deflactores!$B$5</f>
        <v>0.41597438446607304</v>
      </c>
      <c r="F141" s="56">
        <f>0.242199602199999*Deflactores!$C$5</f>
        <v>0.78477902252989051</v>
      </c>
      <c r="G141" s="56">
        <f>0.04953657048*Deflactores!$D$5</f>
        <v>0.150725077404536</v>
      </c>
      <c r="H141" s="56">
        <f>0.24597413263*Deflactores!$E$5</f>
        <v>0.70942906612628887</v>
      </c>
      <c r="I141" s="56">
        <f>0.1816645484*Deflactores!$F$5</f>
        <v>0.49968912078152689</v>
      </c>
      <c r="J141" s="56">
        <f>0.1834553816*Deflactores!$G$5</f>
        <v>0.48298709947216517</v>
      </c>
      <c r="K141" s="56">
        <f>0.54330925028*Deflactores!$H$5</f>
        <v>1.3533182697258885</v>
      </c>
      <c r="L141" s="56">
        <f>0.105111591*Deflactores!$I$5</f>
        <v>0.24315942642256846</v>
      </c>
      <c r="M141" s="56">
        <f>0.15829475675*Deflactores!$J$5</f>
        <v>0.35900389508862557</v>
      </c>
      <c r="N141" s="56">
        <f>0.30036242628*Deflactores!$K$5</f>
        <v>0.66026710226174234</v>
      </c>
      <c r="O141" s="56">
        <f>0.554878806*Deflactores!$L$5</f>
        <v>1.1759306034412329</v>
      </c>
      <c r="P141" s="56">
        <f>0.78852863678*Deflactores!$M$5</f>
        <v>1.6312910608430577</v>
      </c>
      <c r="Q141" s="56">
        <f>0.17378052012*Deflactores!$N$5</f>
        <v>0.35267156879349693</v>
      </c>
      <c r="R141" s="56">
        <f>0.204217786*Deflactores!$O$5</f>
        <v>0.39980821734061861</v>
      </c>
      <c r="S141" s="56">
        <f>1.24114537564*Deflactores!$P$5</f>
        <v>2.2757867431204502</v>
      </c>
      <c r="T141" s="56">
        <f>1.00797869602*Deflactores!$Q$5</f>
        <v>1.7477523186350421</v>
      </c>
      <c r="U141" s="56">
        <f>1.15886890333*Deflactores!$R$5</f>
        <v>1.930429005896974</v>
      </c>
      <c r="V141" s="56">
        <f>4.29314120341*Deflactores!$S$5</f>
        <v>6.9310522770476828</v>
      </c>
    </row>
    <row r="142" spans="3:22" x14ac:dyDescent="0.2">
      <c r="C142" s="88" t="s">
        <v>134</v>
      </c>
      <c r="D142" s="57">
        <f>86.2606444680999*Deflactores!$A$5</f>
        <v>321.91744241354615</v>
      </c>
      <c r="E142" s="57">
        <f>96.34249405995*Deflactores!$B$5</f>
        <v>333.99695166194527</v>
      </c>
      <c r="F142" s="57">
        <f>102.66718447449*Deflactores!$C$5</f>
        <v>332.66385223561917</v>
      </c>
      <c r="G142" s="57">
        <f>91.96977400453*Deflactores!$D$5</f>
        <v>279.83671803253316</v>
      </c>
      <c r="H142" s="57">
        <f>102.569899620489*Deflactores!$E$5</f>
        <v>295.82813169174625</v>
      </c>
      <c r="I142" s="57">
        <f>96.0105563433799*Deflactores!$F$5</f>
        <v>264.08801776411298</v>
      </c>
      <c r="J142" s="57">
        <f>108.33358076991*Deflactores!$G$5</f>
        <v>285.21224885938352</v>
      </c>
      <c r="K142" s="57">
        <f>125.92866533774*Deflactores!$H$5</f>
        <v>313.67322274732533</v>
      </c>
      <c r="L142" s="57">
        <f>131.72339922581*Deflactores!$I$5</f>
        <v>304.72173332605115</v>
      </c>
      <c r="M142" s="57">
        <f>140.526915085829*Deflactores!$J$5</f>
        <v>318.70739698774736</v>
      </c>
      <c r="N142" s="57">
        <f>147.46797014061*Deflactores!$K$5</f>
        <v>324.16920627213983</v>
      </c>
      <c r="O142" s="57">
        <f>157.218552466519*Deflactores!$L$5</f>
        <v>333.18646391787183</v>
      </c>
      <c r="P142" s="57">
        <f>150.51532185305*Deflactores!$M$5</f>
        <v>311.38285612739321</v>
      </c>
      <c r="Q142" s="57">
        <f>154.89390792146*Deflactores!$N$5</f>
        <v>314.34292788107439</v>
      </c>
      <c r="R142" s="57">
        <f>141.55918205986*Deflactores!$O$5</f>
        <v>277.13807565981892</v>
      </c>
      <c r="S142" s="57">
        <f>143.50531526554*Deflactores!$P$5</f>
        <v>263.13395711620888</v>
      </c>
      <c r="T142" s="57">
        <f>145.33957904277*Deflactores!$Q$5</f>
        <v>252.00689981289258</v>
      </c>
      <c r="U142" s="57">
        <f>154.2196955167*Deflactores!$R$5</f>
        <v>256.89719747468376</v>
      </c>
      <c r="V142" s="57">
        <f>172.10899203511*Deflactores!$S$5</f>
        <v>277.8609797874397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117.74627788809*Deflactores!$A$5</f>
        <v>439.41916809427659</v>
      </c>
      <c r="E144" s="57">
        <f>126.68671888513*Deflactores!$B$5</f>
        <v>439.19330028302545</v>
      </c>
      <c r="F144" s="57">
        <f>132.464164451749*Deflactores!$C$5</f>
        <v>429.21250305291659</v>
      </c>
      <c r="G144" s="57">
        <f>129.62224547488*Deflactores!$D$5</f>
        <v>394.40201033777851</v>
      </c>
      <c r="H144" s="57">
        <f>131.87221947001*Deflactores!$E$5</f>
        <v>380.34074764819394</v>
      </c>
      <c r="I144" s="57">
        <f>133.82089467806*Deflactores!$F$5</f>
        <v>368.08967843655023</v>
      </c>
      <c r="J144" s="57">
        <f>140.10611820687*Deflactores!$G$5</f>
        <v>368.8605210752807</v>
      </c>
      <c r="K144" s="57">
        <f>151.77268476194*Deflactores!$H$5</f>
        <v>378.04757976755974</v>
      </c>
      <c r="L144" s="57">
        <f>190.52418564332*Deflactores!$I$5</f>
        <v>440.74826819676474</v>
      </c>
      <c r="M144" s="57">
        <f>222.33527634359*Deflactores!$J$5</f>
        <v>504.24430891931468</v>
      </c>
      <c r="N144" s="57">
        <f>242.70484489649*Deflactores!$K$5</f>
        <v>533.52220725273025</v>
      </c>
      <c r="O144" s="57">
        <f>241.67272588769*Deflactores!$L$5</f>
        <v>512.16653315174381</v>
      </c>
      <c r="P144" s="57">
        <f>256.893890142239*Deflactores!$M$5</f>
        <v>531.45654707674669</v>
      </c>
      <c r="Q144" s="57">
        <f>288.45957145233*Deflactores!$N$5</f>
        <v>585.40214707232315</v>
      </c>
      <c r="R144" s="57">
        <f>309.24451232807*Deflactores!$O$5</f>
        <v>605.42472630789666</v>
      </c>
      <c r="S144" s="57">
        <f>318.565119857*Deflactores!$P$5</f>
        <v>584.12679998690464</v>
      </c>
      <c r="T144" s="57">
        <f>353.752269937759*Deflactores!$Q$5</f>
        <v>613.37739820034858</v>
      </c>
      <c r="U144" s="57">
        <f>392.8975795678*Deflactores!$R$5</f>
        <v>654.48376582110757</v>
      </c>
      <c r="V144" s="57">
        <f>551.254785161279*Deflactores!$S$5</f>
        <v>889.97206308767772</v>
      </c>
    </row>
    <row r="145" spans="3:22" x14ac:dyDescent="0.2">
      <c r="C145" s="87" t="s">
        <v>137</v>
      </c>
      <c r="D145" s="56">
        <f>4.5078332671*Deflactores!$A$5</f>
        <v>16.822853169247797</v>
      </c>
      <c r="E145" s="56">
        <f>4.47122043335*Deflactores!$B$5</f>
        <v>15.500678174453697</v>
      </c>
      <c r="F145" s="56">
        <f>4.74438806344*Deflactores!$C$5</f>
        <v>15.372842040650299</v>
      </c>
      <c r="G145" s="56">
        <f>4.36456790811*Deflactores!$D$5</f>
        <v>13.280084378324801</v>
      </c>
      <c r="H145" s="56">
        <f>4.84394266447999*Deflactores!$E$5</f>
        <v>13.970711814646341</v>
      </c>
      <c r="I145" s="56">
        <f>4.83842261689*Deflactores!$F$5</f>
        <v>13.308634869582615</v>
      </c>
      <c r="J145" s="56">
        <f>5.15602589249*Deflactores!$G$5</f>
        <v>13.574385056999205</v>
      </c>
      <c r="K145" s="56">
        <f>5.56480890334999*Deflactores!$H$5</f>
        <v>13.861272475216778</v>
      </c>
      <c r="L145" s="56">
        <f>5.81771033*Deflactores!$I$5</f>
        <v>13.458374033511218</v>
      </c>
      <c r="M145" s="56">
        <f>6.36064189028999*Deflactores!$J$5</f>
        <v>14.425589708472671</v>
      </c>
      <c r="N145" s="56">
        <f>6.51829769768999*Deflactores!$K$5</f>
        <v>14.328748058923679</v>
      </c>
      <c r="O145" s="56">
        <f>6.77842556307*Deflactores!$L$5</f>
        <v>14.365223498484792</v>
      </c>
      <c r="P145" s="56">
        <f>6.42902805603*Deflactores!$M$5</f>
        <v>13.300234777189216</v>
      </c>
      <c r="Q145" s="56">
        <f>5.0010172017*Deflactores!$N$5</f>
        <v>10.149104058780066</v>
      </c>
      <c r="R145" s="56">
        <f>6.66539946355*Deflactores!$O$5</f>
        <v>13.049213438172526</v>
      </c>
      <c r="S145" s="56">
        <f>4.34024714596*Deflactores!$P$5</f>
        <v>7.9583561366038928</v>
      </c>
      <c r="T145" s="56">
        <f>3.90054584611*Deflactores!$Q$5</f>
        <v>6.7632263195627802</v>
      </c>
      <c r="U145" s="56">
        <f>3.75367659487*Deflactores!$R$5</f>
        <v>6.2528264902714366</v>
      </c>
      <c r="V145" s="56">
        <f>3.38910064195999*Deflactores!$S$5</f>
        <v>5.4715260012744622</v>
      </c>
    </row>
    <row r="146" spans="3:22" x14ac:dyDescent="0.2">
      <c r="C146" s="88" t="s">
        <v>138</v>
      </c>
      <c r="D146" s="57">
        <f>9.35723963612*Deflactores!$A$5</f>
        <v>34.920428316813428</v>
      </c>
      <c r="E146" s="57">
        <f>10.66577344772*Deflactores!$B$5</f>
        <v>36.975748379927758</v>
      </c>
      <c r="F146" s="57">
        <f>11.81337163959*Deflactores!$C$5</f>
        <v>38.277875619482785</v>
      </c>
      <c r="G146" s="57">
        <f>10.09069647933*Deflactores!$D$5</f>
        <v>30.702993630266612</v>
      </c>
      <c r="H146" s="57">
        <f>23.46113309673*Deflactores!$E$5</f>
        <v>67.665691368100227</v>
      </c>
      <c r="I146" s="57">
        <f>12.4002738851599*Deflactores!$F$5</f>
        <v>34.108371774785304</v>
      </c>
      <c r="J146" s="57">
        <f>18.25726310012*Deflactores!$G$5</f>
        <v>48.066306216372936</v>
      </c>
      <c r="K146" s="57">
        <f>27.66227771337*Deflactores!$H$5</f>
        <v>68.903420643844981</v>
      </c>
      <c r="L146" s="57">
        <f>40.8275358499099*Deflactores!$I$5</f>
        <v>94.448196483972367</v>
      </c>
      <c r="M146" s="57">
        <f>36.7539459267199*Deflactores!$J$5</f>
        <v>83.355949486110632</v>
      </c>
      <c r="N146" s="57">
        <f>36.28214472793*Deflactores!$K$5</f>
        <v>79.756668835201211</v>
      </c>
      <c r="O146" s="57">
        <f>25.02982180841*Deflactores!$L$5</f>
        <v>53.044616490884863</v>
      </c>
      <c r="P146" s="57">
        <f>15.71966475119*Deflactores!$M$5</f>
        <v>32.520503875143937</v>
      </c>
      <c r="Q146" s="57">
        <f>18.67323709319*Deflactores!$N$5</f>
        <v>37.895615777653113</v>
      </c>
      <c r="R146" s="57">
        <f>43.65698847451*Deflactores!$O$5</f>
        <v>85.469650211827172</v>
      </c>
      <c r="S146" s="57">
        <f>0*Deflactores!$P$5</f>
        <v>0</v>
      </c>
      <c r="T146" s="57">
        <f>0*Deflactores!$Q$5</f>
        <v>0</v>
      </c>
      <c r="U146" s="57">
        <f>0*Deflactores!$R$5</f>
        <v>0</v>
      </c>
      <c r="V146" s="57">
        <f>0*Deflactores!$S$5</f>
        <v>0</v>
      </c>
    </row>
    <row r="147" spans="3:22" x14ac:dyDescent="0.2">
      <c r="C147" s="87" t="s">
        <v>139</v>
      </c>
      <c r="D147" s="56">
        <f>102.55123962816*Deflactores!$A$5</f>
        <v>382.71256818217421</v>
      </c>
      <c r="E147" s="56">
        <f>106.30411177096*Deflactores!$B$5</f>
        <v>368.53155637156215</v>
      </c>
      <c r="F147" s="56">
        <f>93.476578061*Deflactores!$C$5</f>
        <v>302.88430242579022</v>
      </c>
      <c r="G147" s="56">
        <f>92.74585122647*Deflactores!$D$5</f>
        <v>282.19809061475564</v>
      </c>
      <c r="H147" s="56">
        <f>100.63998468576*Deflactores!$E$5</f>
        <v>290.26194578752575</v>
      </c>
      <c r="I147" s="56">
        <f>108.69621889717*Deflactores!$F$5</f>
        <v>298.98138371726066</v>
      </c>
      <c r="J147" s="56">
        <f>141.85244263827*Deflactores!$G$5</f>
        <v>373.45810858949324</v>
      </c>
      <c r="K147" s="56">
        <f>141.88206475798*Deflactores!$H$5</f>
        <v>353.41122994767863</v>
      </c>
      <c r="L147" s="56">
        <f>159.04615517641*Deflactores!$I$5</f>
        <v>367.9287079520152</v>
      </c>
      <c r="M147" s="56">
        <f>324.29228340972*Deflactores!$J$5</f>
        <v>735.47725320519169</v>
      </c>
      <c r="N147" s="56">
        <f>418.53571975256*Deflactores!$K$5</f>
        <v>920.03973431898021</v>
      </c>
      <c r="O147" s="56">
        <f>523.9446689753*Deflactores!$L$5</f>
        <v>1110.3732276232256</v>
      </c>
      <c r="P147" s="56">
        <f>471.96886133333*Deflactores!$M$5</f>
        <v>976.39901530189536</v>
      </c>
      <c r="Q147" s="56">
        <f>621.56921692252*Deflactores!$N$5</f>
        <v>1261.4175092492555</v>
      </c>
      <c r="R147" s="56">
        <f>511.59819548789*Deflactores!$O$5</f>
        <v>1001.5834885835585</v>
      </c>
      <c r="S147" s="56">
        <f>446.14124979185*Deflactores!$P$5</f>
        <v>818.05271305299573</v>
      </c>
      <c r="T147" s="56">
        <f>446.547472256379*Deflactores!$Q$5</f>
        <v>774.27666189605463</v>
      </c>
      <c r="U147" s="56">
        <f>413.99995671323*Deflactores!$R$5</f>
        <v>689.63583592831219</v>
      </c>
      <c r="V147" s="56">
        <f>412.781097241419*Deflactores!$S$5</f>
        <v>666.41352529586209</v>
      </c>
    </row>
    <row r="148" spans="3:22" x14ac:dyDescent="0.2">
      <c r="C148" s="88" t="s">
        <v>140</v>
      </c>
      <c r="D148" s="57">
        <f>12.60497172547*Deflactores!$A$5</f>
        <v>47.040690277464471</v>
      </c>
      <c r="E148" s="57">
        <f>4.06406607692*Deflactores!$B$5</f>
        <v>14.089169003652271</v>
      </c>
      <c r="F148" s="57">
        <f>6.30790246083*Deflactores!$C$5</f>
        <v>20.438966383339828</v>
      </c>
      <c r="G148" s="57">
        <f>6.17293251281*Deflactores!$D$5</f>
        <v>18.782400997701529</v>
      </c>
      <c r="H148" s="57">
        <f>2044.14721301285*Deflactores!$E$5</f>
        <v>5895.6502167394683</v>
      </c>
      <c r="I148" s="57">
        <f>2030.74588164562*Deflactores!$F$5</f>
        <v>5585.7988422478948</v>
      </c>
      <c r="J148" s="57">
        <f>66.63353946593*Deflactores!$G$5</f>
        <v>175.42761446150772</v>
      </c>
      <c r="K148" s="57">
        <f>54.46943074883*Deflactores!$H$5</f>
        <v>135.67682813420021</v>
      </c>
      <c r="L148" s="57">
        <f>64.96474105786*Deflactores!$I$5</f>
        <v>150.28589162274139</v>
      </c>
      <c r="M148" s="57">
        <f>60.37656446647*Deflactores!$J$5</f>
        <v>136.93076296749948</v>
      </c>
      <c r="N148" s="57">
        <f>898.20775496612*Deflactores!$K$5</f>
        <v>1974.471437541436</v>
      </c>
      <c r="O148" s="57">
        <f>660.34152773478*Deflactores!$L$5</f>
        <v>1399.4331785425329</v>
      </c>
      <c r="P148" s="57">
        <f>102.87831623141*Deflactores!$M$5</f>
        <v>212.83244487886307</v>
      </c>
      <c r="Q148" s="57">
        <f>193.299225188439*Deflactores!$N$5</f>
        <v>392.2829840001645</v>
      </c>
      <c r="R148" s="57">
        <f>335.45308861681*Deflactores!$O$5</f>
        <v>656.73467521233124</v>
      </c>
      <c r="S148" s="57">
        <f>614.148972476199*Deflactores!$P$5</f>
        <v>1126.1147302278482</v>
      </c>
      <c r="T148" s="57">
        <f>406.40124746328*Deflactores!$Q$5</f>
        <v>704.66640352092111</v>
      </c>
      <c r="U148" s="57">
        <f>511.162602779489*Deflactores!$R$5</f>
        <v>851.48812976158331</v>
      </c>
      <c r="V148" s="57">
        <f>413.49769092247*Deflactores!$S$5</f>
        <v>667.57042837205756</v>
      </c>
    </row>
    <row r="149" spans="3:22" x14ac:dyDescent="0.2">
      <c r="C149" s="87" t="s">
        <v>141</v>
      </c>
      <c r="D149" s="56">
        <f>3.68286305779999*Deflactores!$A$5</f>
        <v>13.744133998033647</v>
      </c>
      <c r="E149" s="56">
        <f>4.65984997451*Deflactores!$B$5</f>
        <v>16.154612789241934</v>
      </c>
      <c r="F149" s="56">
        <f>8.73294708119*Deflactores!$C$5</f>
        <v>28.296634725775682</v>
      </c>
      <c r="G149" s="56">
        <f>7.00293782235*Deflactores!$D$5</f>
        <v>21.307860740157896</v>
      </c>
      <c r="H149" s="56">
        <f>11.5302862065499*Deflactores!$E$5</f>
        <v>33.255204879555166</v>
      </c>
      <c r="I149" s="56">
        <f>7.84926038442999*Deflactores!$F$5</f>
        <v>21.590288555612823</v>
      </c>
      <c r="J149" s="56">
        <f>19.31458441802*Deflactores!$G$5</f>
        <v>50.849939773964955</v>
      </c>
      <c r="K149" s="56">
        <f>17.38573732418*Deflactores!$H$5</f>
        <v>43.305789366447293</v>
      </c>
      <c r="L149" s="56">
        <f>21.63227983905*Deflactores!$I$5</f>
        <v>50.042937299616078</v>
      </c>
      <c r="M149" s="56">
        <f>23.8207994123799*Deflactores!$J$5</f>
        <v>54.024276916987823</v>
      </c>
      <c r="N149" s="56">
        <f>22.64513221534*Deflactores!$K$5</f>
        <v>49.779314987349196</v>
      </c>
      <c r="O149" s="56">
        <f>18.67731597018*Deflactores!$L$5</f>
        <v>39.582026204612951</v>
      </c>
      <c r="P149" s="56">
        <f>15.22244569346*Deflactores!$M$5</f>
        <v>31.491867797362456</v>
      </c>
      <c r="Q149" s="56">
        <f>17.64322537876*Deflactores!$N$5</f>
        <v>35.805301817533362</v>
      </c>
      <c r="R149" s="56">
        <f>19.1866576131199*Deflactores!$O$5</f>
        <v>37.562758500507272</v>
      </c>
      <c r="S149" s="56">
        <f>25.75848466228*Deflactores!$P$5</f>
        <v>47.231226146300784</v>
      </c>
      <c r="T149" s="56">
        <f>30.56911467293*Deflactores!$Q$5</f>
        <v>53.004335567002705</v>
      </c>
      <c r="U149" s="56">
        <f>18.02254502016*Deflactores!$R$5</f>
        <v>30.021725120959399</v>
      </c>
      <c r="V149" s="56">
        <f>17.11967456132*Deflactores!$S$5</f>
        <v>27.638820557847918</v>
      </c>
    </row>
    <row r="150" spans="3:22" x14ac:dyDescent="0.2">
      <c r="C150" s="88" t="s">
        <v>142</v>
      </c>
      <c r="D150" s="57">
        <f>17.22165053223*Deflactores!$A$5</f>
        <v>64.269745811203379</v>
      </c>
      <c r="E150" s="57">
        <f>18.94254193214*Deflactores!$B$5</f>
        <v>65.669373870749652</v>
      </c>
      <c r="F150" s="57">
        <f>18.99309764326*Deflactores!$C$5</f>
        <v>61.541738582147069</v>
      </c>
      <c r="G150" s="57">
        <f>16.74985254325*Deflactores!$D$5</f>
        <v>50.964828542484931</v>
      </c>
      <c r="H150" s="57">
        <f>24.92397690263*Deflactores!$E$5</f>
        <v>71.884768813407547</v>
      </c>
      <c r="I150" s="57">
        <f>20.24847018144*Deflactores!$F$5</f>
        <v>55.695733434221985</v>
      </c>
      <c r="J150" s="57">
        <f>28.14798078324*Deflactores!$G$5</f>
        <v>74.105820586597247</v>
      </c>
      <c r="K150" s="57">
        <f>31.95433530678*Deflactores!$H$5</f>
        <v>79.5944220447672</v>
      </c>
      <c r="L150" s="57">
        <f>32.62324038455*Deflactores!$I$5</f>
        <v>75.468826458470687</v>
      </c>
      <c r="M150" s="57">
        <f>30.19427197852*Deflactores!$J$5</f>
        <v>68.478965900138832</v>
      </c>
      <c r="N150" s="57">
        <f>49.96133893636*Deflactores!$K$5</f>
        <v>109.82674794974419</v>
      </c>
      <c r="O150" s="57">
        <f>42.20770327055*Deflactores!$L$5</f>
        <v>89.448956132605218</v>
      </c>
      <c r="P150" s="57">
        <f>47.9008944943399*Deflactores!$M$5</f>
        <v>99.096338864867775</v>
      </c>
      <c r="Q150" s="57">
        <f>45.4857780928399*Deflactores!$N$5</f>
        <v>92.309199596811069</v>
      </c>
      <c r="R150" s="57">
        <f>91.76871503878*Deflactores!$O$5</f>
        <v>179.66058239067311</v>
      </c>
      <c r="S150" s="57">
        <f>97.18413576413*Deflactores!$P$5</f>
        <v>178.19859957950371</v>
      </c>
      <c r="T150" s="57">
        <f>94.22100748016*Deflactores!$Q$5</f>
        <v>163.3714928081296</v>
      </c>
      <c r="U150" s="57">
        <f>97.94357677056*Deflactores!$R$5</f>
        <v>163.15315821822995</v>
      </c>
      <c r="V150" s="57">
        <f>88.34259957086*Deflactores!$S$5</f>
        <v>142.62451359148662</v>
      </c>
    </row>
    <row r="151" spans="3:22" x14ac:dyDescent="0.2">
      <c r="C151" s="87" t="s">
        <v>143</v>
      </c>
      <c r="D151" s="56">
        <f>0*Deflactores!$A$5</f>
        <v>0</v>
      </c>
      <c r="E151" s="56">
        <f>0*Deflactores!$B$5</f>
        <v>0</v>
      </c>
      <c r="F151" s="56">
        <f>0*Deflactores!$C$5</f>
        <v>0</v>
      </c>
      <c r="G151" s="56">
        <f>0*Deflactores!$D$5</f>
        <v>0</v>
      </c>
      <c r="H151" s="56">
        <f>0*Deflactores!$E$5</f>
        <v>0</v>
      </c>
      <c r="I151" s="56">
        <f>0*Deflactores!$F$5</f>
        <v>0</v>
      </c>
      <c r="J151" s="56">
        <f>0*Deflactores!$G$5</f>
        <v>0</v>
      </c>
      <c r="K151" s="56">
        <f>0*Deflactores!$H$5</f>
        <v>0</v>
      </c>
      <c r="L151" s="56">
        <f>0*Deflactores!$I$5</f>
        <v>0</v>
      </c>
      <c r="M151" s="56">
        <f>0*Deflactores!$J$5</f>
        <v>0</v>
      </c>
      <c r="N151" s="56">
        <f>0*Deflactores!$K$5</f>
        <v>0</v>
      </c>
      <c r="O151" s="56">
        <f>0*Deflactores!$L$5</f>
        <v>0</v>
      </c>
      <c r="P151" s="56">
        <f>0*Deflactores!$M$5</f>
        <v>0</v>
      </c>
      <c r="Q151" s="56">
        <f>0*Deflactores!$N$5</f>
        <v>0</v>
      </c>
      <c r="R151" s="56">
        <f>0*Deflactores!$O$5</f>
        <v>0</v>
      </c>
      <c r="S151" s="56">
        <f>0*Deflactores!$P$5</f>
        <v>0</v>
      </c>
      <c r="T151" s="56">
        <f>0*Deflactores!$Q$5</f>
        <v>0</v>
      </c>
      <c r="U151" s="56">
        <f>0*Deflactores!$R$5</f>
        <v>0</v>
      </c>
      <c r="V151" s="56">
        <f>0*Deflactores!$S$5</f>
        <v>0</v>
      </c>
    </row>
    <row r="152" spans="3:22" x14ac:dyDescent="0.2">
      <c r="C152" s="88" t="s">
        <v>144</v>
      </c>
      <c r="D152" s="57">
        <f>0*Deflactores!$A$5</f>
        <v>0</v>
      </c>
      <c r="E152" s="57">
        <f>0*Deflactores!$B$5</f>
        <v>0</v>
      </c>
      <c r="F152" s="57">
        <f>0*Deflactores!$C$5</f>
        <v>0</v>
      </c>
      <c r="G152" s="57">
        <f>0*Deflactores!$D$5</f>
        <v>0</v>
      </c>
      <c r="H152" s="57">
        <f>0*Deflactores!$E$5</f>
        <v>0</v>
      </c>
      <c r="I152" s="57">
        <f>0*Deflactores!$F$5</f>
        <v>0</v>
      </c>
      <c r="J152" s="57">
        <f>0*Deflactores!$G$5</f>
        <v>0</v>
      </c>
      <c r="K152" s="57">
        <f>0*Deflactores!$H$5</f>
        <v>0</v>
      </c>
      <c r="L152" s="57">
        <f>0*Deflactores!$I$5</f>
        <v>0</v>
      </c>
      <c r="M152" s="57">
        <f>0*Deflactores!$J$5</f>
        <v>0</v>
      </c>
      <c r="N152" s="57">
        <f>0*Deflactores!$K$5</f>
        <v>0</v>
      </c>
      <c r="O152" s="57">
        <f>0*Deflactores!$L$5</f>
        <v>0</v>
      </c>
      <c r="P152" s="57">
        <f>0*Deflactores!$M$5</f>
        <v>0</v>
      </c>
      <c r="Q152" s="57">
        <f>0*Deflactores!$N$5</f>
        <v>0</v>
      </c>
      <c r="R152" s="57">
        <f>0*Deflactores!$O$5</f>
        <v>0</v>
      </c>
      <c r="S152" s="57">
        <f>0*Deflactores!$P$5</f>
        <v>0</v>
      </c>
      <c r="T152" s="57">
        <f>0*Deflactores!$Q$5</f>
        <v>0</v>
      </c>
      <c r="U152" s="57">
        <f>0*Deflactores!$R$5</f>
        <v>0</v>
      </c>
      <c r="V152" s="57">
        <f>0*Deflactores!$S$5</f>
        <v>0</v>
      </c>
    </row>
    <row r="153" spans="3:22" x14ac:dyDescent="0.2">
      <c r="C153" s="87" t="s">
        <v>145</v>
      </c>
      <c r="D153" s="56">
        <f>13.00652892102*Deflactores!$A$5</f>
        <v>48.539267828922675</v>
      </c>
      <c r="E153" s="56">
        <f>9.27698911604*Deflactores!$B$5</f>
        <v>32.161157084332302</v>
      </c>
      <c r="F153" s="56">
        <f>25.427017716*Deflactores!$C$5</f>
        <v>82.389029245948009</v>
      </c>
      <c r="G153" s="56">
        <f>10.968440966*Deflactores!$D$5</f>
        <v>33.373709515779005</v>
      </c>
      <c r="H153" s="56">
        <f>8.2390841915*Deflactores!$E$5</f>
        <v>23.762847504391726</v>
      </c>
      <c r="I153" s="56">
        <f>9.336895824*Deflactores!$F$5</f>
        <v>25.682200001127303</v>
      </c>
      <c r="J153" s="56">
        <f>10.031553347*Deflactores!$G$5</f>
        <v>26.410295582562622</v>
      </c>
      <c r="K153" s="56">
        <f>13.46616842401*Deflactores!$H$5</f>
        <v>33.542612687022498</v>
      </c>
      <c r="L153" s="56">
        <f>13.075460292*Deflactores!$I$5</f>
        <v>30.248057274804161</v>
      </c>
      <c r="M153" s="56">
        <f>16.38129422342*Deflactores!$J$5</f>
        <v>37.151883950828221</v>
      </c>
      <c r="N153" s="56">
        <f>18.210493336*Deflactores!$K$5</f>
        <v>40.030938005903664</v>
      </c>
      <c r="O153" s="56">
        <f>19.6997337326*Deflactores!$L$5</f>
        <v>41.748791853852012</v>
      </c>
      <c r="P153" s="56">
        <f>19.57989425293*Deflactores!$M$5</f>
        <v>40.506463528690453</v>
      </c>
      <c r="Q153" s="56">
        <f>23.92098267468*Deflactores!$N$5</f>
        <v>48.545432371453394</v>
      </c>
      <c r="R153" s="56">
        <f>31.6759424825*Deflactores!$O$5</f>
        <v>62.013707740971661</v>
      </c>
      <c r="S153" s="56">
        <f>37.67632410975*Deflactores!$P$5</f>
        <v>69.08399339945548</v>
      </c>
      <c r="T153" s="56">
        <f>39.03914198448*Deflactores!$Q$5</f>
        <v>67.690667660245595</v>
      </c>
      <c r="U153" s="56">
        <f>45.24820019225*Deflactores!$R$5</f>
        <v>75.373873494022874</v>
      </c>
      <c r="V153" s="56">
        <f>45.17899147719*Deflactores!$S$5</f>
        <v>72.939122408546254</v>
      </c>
    </row>
    <row r="154" spans="3:22" x14ac:dyDescent="0.2">
      <c r="C154" s="88" t="s">
        <v>146</v>
      </c>
      <c r="D154" s="57">
        <f>49.5838456009899*Deflactores!$A$5</f>
        <v>185.04272555953037</v>
      </c>
      <c r="E154" s="57">
        <f>48.36097547662*Deflactores!$B$5</f>
        <v>167.65622009471937</v>
      </c>
      <c r="F154" s="57">
        <f>48.76536937633*Deflactores!$C$5</f>
        <v>158.01032935167007</v>
      </c>
      <c r="G154" s="57">
        <f>32.39578010862*Deflactores!$D$5</f>
        <v>98.570741113850261</v>
      </c>
      <c r="H154" s="57">
        <f>37.06276060604*Deflactores!$E$5</f>
        <v>106.89497860474746</v>
      </c>
      <c r="I154" s="57">
        <f>37.8432745915799*Deflactores!$F$5</f>
        <v>104.0922556145823</v>
      </c>
      <c r="J154" s="57">
        <f>40.95944962869*Deflactores!$G$5</f>
        <v>107.83486207709721</v>
      </c>
      <c r="K154" s="57">
        <f>46.4481464477399*Deflactores!$H$5</f>
        <v>115.69676965786049</v>
      </c>
      <c r="L154" s="57">
        <f>45.83616691122*Deflactores!$I$5</f>
        <v>106.03489062915398</v>
      </c>
      <c r="M154" s="57">
        <f>68.023351037*Deflactores!$J$5</f>
        <v>154.27325882835282</v>
      </c>
      <c r="N154" s="57">
        <f>96.5582501318499*Deflactores!$K$5</f>
        <v>212.25769415841944</v>
      </c>
      <c r="O154" s="57">
        <f>103.434896049781*Deflactores!$L$5</f>
        <v>219.20509201913936</v>
      </c>
      <c r="P154" s="57">
        <f>170.0919545743*Deflactores!$M$5</f>
        <v>351.88257226958922</v>
      </c>
      <c r="Q154" s="57">
        <f>174.815352800301*Deflactores!$N$5</f>
        <v>354.77166646007385</v>
      </c>
      <c r="R154" s="57">
        <f>165.668589327782*Deflactores!$O$5</f>
        <v>324.33836770943913</v>
      </c>
      <c r="S154" s="57">
        <f>196.203212143144*Deflactores!$P$5</f>
        <v>359.76177965676976</v>
      </c>
      <c r="T154" s="57">
        <f>282.72132708883*Deflactores!$Q$5</f>
        <v>490.21557389867144</v>
      </c>
      <c r="U154" s="57">
        <f>254.26872161178*Deflactores!$R$5</f>
        <v>423.55758626474153</v>
      </c>
      <c r="V154" s="57">
        <f>206.59059805675*Deflactores!$S$5</f>
        <v>333.52973201546297</v>
      </c>
    </row>
    <row r="155" spans="3:22" x14ac:dyDescent="0.2">
      <c r="C155" s="90" t="s">
        <v>147</v>
      </c>
      <c r="D155" s="58">
        <f>113.564679373899*Deflactores!$A$5</f>
        <v>423.81379547981078</v>
      </c>
      <c r="E155" s="58">
        <f>107.63989642728*Deflactores!$B$5</f>
        <v>373.16241015670556</v>
      </c>
      <c r="F155" s="58">
        <f>141.59585363107*Deflactores!$C$5</f>
        <v>458.80114829881842</v>
      </c>
      <c r="G155" s="58">
        <f>125.13348178635*Deflactores!$D$5</f>
        <v>380.74403507125265</v>
      </c>
      <c r="H155" s="58">
        <f>109.646382982789*Deflactores!$E$5</f>
        <v>316.237850915053</v>
      </c>
      <c r="I155" s="58">
        <f>110.95551011417*Deflactores!$F$5</f>
        <v>305.19582264744963</v>
      </c>
      <c r="J155" s="58">
        <f>120.74079162872*Deflactores!$G$5</f>
        <v>317.87699127779939</v>
      </c>
      <c r="K155" s="58">
        <f>139.62695357622*Deflactores!$H$5</f>
        <v>347.79401809095771</v>
      </c>
      <c r="L155" s="58">
        <f>151.69963781615*Deflactores!$I$5</f>
        <v>350.93367504908576</v>
      </c>
      <c r="M155" s="58">
        <f>200.241019922999*Deflactores!$J$5</f>
        <v>454.13573756210798</v>
      </c>
      <c r="N155" s="58">
        <f>232.143702938469*Deflactores!$K$5</f>
        <v>510.30633873162247</v>
      </c>
      <c r="O155" s="58">
        <f>259.006015962149*Deflactores!$L$5</f>
        <v>548.90022352967549</v>
      </c>
      <c r="P155" s="58">
        <f>375.723908165439*Deflactores!$M$5</f>
        <v>777.28952906285167</v>
      </c>
      <c r="Q155" s="58">
        <f>365.26569431637*Deflactores!$N$5</f>
        <v>741.27310329171144</v>
      </c>
      <c r="R155" s="58">
        <f>384.196076185609*Deflactores!$O$5</f>
        <v>752.16146124034867</v>
      </c>
      <c r="S155" s="58">
        <f>440.061145386899*Deflactores!$P$5</f>
        <v>806.90412299001412</v>
      </c>
      <c r="T155" s="58">
        <f>468.27988305298*Deflactores!$Q$5</f>
        <v>811.95887830525442</v>
      </c>
      <c r="U155" s="58">
        <f>516.67739303392*Deflactores!$R$5</f>
        <v>860.67459687447297</v>
      </c>
      <c r="V155" s="58">
        <f>453.65427874095*Deflactores!$S$5</f>
        <v>732.40114235292276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0*Deflactores!$S$5</f>
        <v>0</v>
      </c>
    </row>
    <row r="157" spans="3:22" x14ac:dyDescent="0.2">
      <c r="C157" s="87" t="s">
        <v>149</v>
      </c>
      <c r="D157" s="56">
        <f>69.74150272766*Deflactores!$A$5</f>
        <v>260.26940010247989</v>
      </c>
      <c r="E157" s="56">
        <f>68.54247504151*Deflactores!$B$5</f>
        <v>237.62077104817257</v>
      </c>
      <c r="F157" s="56">
        <f>75.5738525470999*Deflactores!$C$5</f>
        <v>244.87560504643713</v>
      </c>
      <c r="G157" s="56">
        <f>103.76577780613*Deflactores!$D$5</f>
        <v>315.72845556769818</v>
      </c>
      <c r="H157" s="56">
        <f>84.7999092439299*Deflactores!$E$5</f>
        <v>244.5766137246984</v>
      </c>
      <c r="I157" s="56">
        <f>4.99242209502*Deflactores!$F$5</f>
        <v>13.732228050009633</v>
      </c>
      <c r="J157" s="56">
        <f>93.93236958229*Deflactores!$G$5</f>
        <v>247.29785703434322</v>
      </c>
      <c r="K157" s="56">
        <f>100.27310952088*Deflactores!$H$5</f>
        <v>249.76830600048996</v>
      </c>
      <c r="L157" s="56">
        <f>152.68230219825*Deflactores!$I$5</f>
        <v>353.20691727902522</v>
      </c>
      <c r="M157" s="56">
        <f>184.718313219889*Deflactores!$J$5</f>
        <v>418.93108338941187</v>
      </c>
      <c r="N157" s="56">
        <f>258.06001506735*Deflactores!$K$5</f>
        <v>567.27647485209536</v>
      </c>
      <c r="O157" s="56">
        <f>285.8359323766*Deflactores!$L$5</f>
        <v>605.75970249763463</v>
      </c>
      <c r="P157" s="56">
        <f>485.57987456694*Deflactores!$M$5</f>
        <v>1004.5571863325303</v>
      </c>
      <c r="Q157" s="56">
        <f>288.31607343336*Deflactores!$N$5</f>
        <v>585.11093105205816</v>
      </c>
      <c r="R157" s="56">
        <f>354.72007051411*Deflactores!$O$5</f>
        <v>694.45468891326061</v>
      </c>
      <c r="S157" s="56">
        <f>374.24055469931*Deflactores!$P$5</f>
        <v>686.21429031515038</v>
      </c>
      <c r="T157" s="56">
        <f>113.86016685395*Deflactores!$Q$5</f>
        <v>197.42418307540839</v>
      </c>
      <c r="U157" s="56">
        <f>126.10859003357*Deflactores!$R$5</f>
        <v>210.07007729178014</v>
      </c>
      <c r="V157" s="56">
        <f>223.636854998239*Deflactores!$S$5</f>
        <v>361.05002366009904</v>
      </c>
    </row>
    <row r="158" spans="3:22" x14ac:dyDescent="0.2">
      <c r="C158" s="88" t="s">
        <v>150</v>
      </c>
      <c r="D158" s="57">
        <f>138.1014029793*Deflactores!$A$5</f>
        <v>515.38277640922911</v>
      </c>
      <c r="E158" s="57">
        <f>146.797651983049*Deflactores!$B$5</f>
        <v>508.91321375757758</v>
      </c>
      <c r="F158" s="57">
        <f>166.10434492459*Deflactores!$C$5</f>
        <v>538.21395354830213</v>
      </c>
      <c r="G158" s="57">
        <f>178.357939662009*Deflactores!$D$5</f>
        <v>542.69025894967172</v>
      </c>
      <c r="H158" s="57">
        <f>190.155387893039*Deflactores!$E$5</f>
        <v>548.43880455821443</v>
      </c>
      <c r="I158" s="57">
        <f>202.22967489844*Deflactores!$F$5</f>
        <v>556.25585363762434</v>
      </c>
      <c r="J158" s="57">
        <f>206.54492000981*Deflactores!$G$5</f>
        <v>543.77544532195122</v>
      </c>
      <c r="K158" s="57">
        <f>198.84377995393*Deflactores!$H$5</f>
        <v>495.29604013611947</v>
      </c>
      <c r="L158" s="57">
        <f>203.05706540428*Deflactores!$I$5</f>
        <v>469.7411492397132</v>
      </c>
      <c r="M158" s="57">
        <f>219.50525574687*Deflactores!$J$5</f>
        <v>497.82597619457317</v>
      </c>
      <c r="N158" s="57">
        <f>317.8784348814*Deflactores!$K$5</f>
        <v>698.77139983875327</v>
      </c>
      <c r="O158" s="57">
        <f>211.198828465619*Deflactores!$L$5</f>
        <v>447.58452317542071</v>
      </c>
      <c r="P158" s="57">
        <f>310.049219576547*Deflactores!$M$5</f>
        <v>641.42314777808201</v>
      </c>
      <c r="Q158" s="57">
        <f>322.541509147539*Deflactores!$N$5</f>
        <v>654.56830232488903</v>
      </c>
      <c r="R158" s="57">
        <f>361.78055088874*Deflactores!$O$5</f>
        <v>708.27737364332256</v>
      </c>
      <c r="S158" s="57">
        <f>389.547685867189*Deflactores!$P$5</f>
        <v>714.28172453420939</v>
      </c>
      <c r="T158" s="57">
        <f>480.95370920935*Deflactores!$Q$5</f>
        <v>833.9342525252008</v>
      </c>
      <c r="U158" s="57">
        <f>657.367360899749*Deflactores!$R$5</f>
        <v>1095.0341469724108</v>
      </c>
      <c r="V158" s="57">
        <f>664.92201046888*Deflactores!$S$5</f>
        <v>1073.4818624318436</v>
      </c>
    </row>
    <row r="159" spans="3:22" x14ac:dyDescent="0.2">
      <c r="C159" s="87" t="s">
        <v>151</v>
      </c>
      <c r="D159" s="56">
        <f>23.412490534*Deflactores!$A$5</f>
        <v>87.373438022757426</v>
      </c>
      <c r="E159" s="56">
        <f>16.78039614854*Deflactores!$B$5</f>
        <v>58.173718834854867</v>
      </c>
      <c r="F159" s="56">
        <f>5.84070218009*Deflactores!$C$5</f>
        <v>18.925136565642344</v>
      </c>
      <c r="G159" s="56">
        <f>6.86572750265999*Deflactores!$D$5</f>
        <v>20.89037047275378</v>
      </c>
      <c r="H159" s="56">
        <f>11.78665927104*Deflactores!$E$5</f>
        <v>33.994626142175214</v>
      </c>
      <c r="I159" s="56">
        <f>7.23139535564*Deflactores!$F$5</f>
        <v>19.890780117026779</v>
      </c>
      <c r="J159" s="56">
        <f>10.67626502224*Deflactores!$G$5</f>
        <v>28.107642475873977</v>
      </c>
      <c r="K159" s="56">
        <f>13.86999891267*Deflactores!$H$5</f>
        <v>34.548506067071266</v>
      </c>
      <c r="L159" s="56">
        <f>0*Deflactores!$I$5</f>
        <v>0</v>
      </c>
      <c r="M159" s="56">
        <f>0*Deflactores!$J$5</f>
        <v>0</v>
      </c>
      <c r="N159" s="56">
        <f>0*Deflactores!$K$5</f>
        <v>0</v>
      </c>
      <c r="O159" s="56">
        <f>0*Deflactores!$L$5</f>
        <v>0</v>
      </c>
      <c r="P159" s="56">
        <f>0*Deflactores!$M$5</f>
        <v>0</v>
      </c>
      <c r="Q159" s="56">
        <f>0*Deflactores!$N$5</f>
        <v>0</v>
      </c>
      <c r="R159" s="56">
        <f>0*Deflactores!$O$5</f>
        <v>0</v>
      </c>
      <c r="S159" s="56">
        <f>0*Deflactores!$P$5</f>
        <v>0</v>
      </c>
      <c r="T159" s="56">
        <f>0*Deflactores!$Q$5</f>
        <v>0</v>
      </c>
      <c r="U159" s="56">
        <f>0*Deflactores!$R$5</f>
        <v>0</v>
      </c>
      <c r="V159" s="56">
        <f>0*Deflactores!$S$5</f>
        <v>0</v>
      </c>
    </row>
    <row r="160" spans="3:22" x14ac:dyDescent="0.2">
      <c r="C160" s="79" t="s">
        <v>179</v>
      </c>
      <c r="D160" s="44">
        <f t="shared" ref="D160:V160" si="32">+SUM(D131:D159)</f>
        <v>5344.2635295463551</v>
      </c>
      <c r="E160" s="44">
        <f t="shared" si="32"/>
        <v>5254.4056654454471</v>
      </c>
      <c r="F160" s="44">
        <f t="shared" si="32"/>
        <v>5381.8386012768178</v>
      </c>
      <c r="G160" s="44">
        <f t="shared" si="32"/>
        <v>5331.9018042922316</v>
      </c>
      <c r="H160" s="44">
        <f t="shared" si="32"/>
        <v>11130.802928883357</v>
      </c>
      <c r="I160" s="44">
        <f t="shared" si="32"/>
        <v>10642.8330357001</v>
      </c>
      <c r="J160" s="44">
        <f t="shared" si="32"/>
        <v>5217.4970289323555</v>
      </c>
      <c r="K160" s="44">
        <f t="shared" si="32"/>
        <v>5615.0912239167246</v>
      </c>
      <c r="L160" s="44">
        <f t="shared" si="32"/>
        <v>5656.0918443817945</v>
      </c>
      <c r="M160" s="44">
        <f t="shared" si="32"/>
        <v>6770.8558874032033</v>
      </c>
      <c r="N160" s="44">
        <f t="shared" si="32"/>
        <v>9717.9958732541163</v>
      </c>
      <c r="O160" s="44">
        <f t="shared" si="32"/>
        <v>9037.4906679216238</v>
      </c>
      <c r="P160" s="44">
        <f t="shared" si="32"/>
        <v>8758.6901077319726</v>
      </c>
      <c r="Q160" s="44">
        <f t="shared" si="32"/>
        <v>9065.179960611229</v>
      </c>
      <c r="R160" s="44">
        <f t="shared" si="32"/>
        <v>9294.7411222514529</v>
      </c>
      <c r="S160" s="44">
        <f t="shared" si="32"/>
        <v>9488.6263495775747</v>
      </c>
      <c r="T160" s="44">
        <f t="shared" si="32"/>
        <v>8888.2349217793635</v>
      </c>
      <c r="U160" s="44">
        <f t="shared" si="32"/>
        <v>9166.1626638891667</v>
      </c>
      <c r="V160" s="44">
        <f t="shared" si="32"/>
        <v>8717.2986818192439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8" customHeight="1" x14ac:dyDescent="0.2">
      <c r="D165" s="164" t="s">
        <v>198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t="0.75" customHeight="1" x14ac:dyDescent="0.2">
      <c r="H166" s="27"/>
      <c r="I166" s="27"/>
      <c r="J166" s="27"/>
      <c r="L166" s="179"/>
      <c r="M166" s="160"/>
      <c r="N166" s="160"/>
      <c r="O166" s="160"/>
      <c r="P166" s="160"/>
      <c r="Q166" s="160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x14ac:dyDescent="0.2">
      <c r="C168" s="181" t="s">
        <v>120</v>
      </c>
      <c r="D168" s="155">
        <v>2000</v>
      </c>
      <c r="E168" s="155">
        <v>2001</v>
      </c>
      <c r="F168" s="155">
        <v>2002</v>
      </c>
      <c r="G168" s="155">
        <v>2003</v>
      </c>
      <c r="H168" s="155">
        <v>2004</v>
      </c>
      <c r="I168" s="155">
        <v>2005</v>
      </c>
      <c r="J168" s="155">
        <v>2006</v>
      </c>
      <c r="K168" s="155">
        <v>2007</v>
      </c>
      <c r="L168" s="155">
        <v>2008</v>
      </c>
      <c r="M168" s="155">
        <v>2009</v>
      </c>
      <c r="N168" s="155">
        <v>2010</v>
      </c>
      <c r="O168" s="155">
        <v>2011</v>
      </c>
      <c r="P168" s="155">
        <v>2012</v>
      </c>
      <c r="Q168" s="155">
        <v>2013</v>
      </c>
      <c r="R168" s="155">
        <v>2014</v>
      </c>
      <c r="S168" s="155">
        <v>2015</v>
      </c>
      <c r="T168" s="155">
        <v>2016</v>
      </c>
      <c r="U168" s="155">
        <v>2017</v>
      </c>
      <c r="V168" s="155">
        <v>2018</v>
      </c>
    </row>
    <row r="169" spans="2:22" ht="12" customHeight="1" thickBot="1" x14ac:dyDescent="0.25">
      <c r="C169" s="162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</row>
    <row r="170" spans="2:22" x14ac:dyDescent="0.2">
      <c r="C170" s="87" t="s">
        <v>123</v>
      </c>
      <c r="D170" s="60">
        <f t="shared" ref="D170:V170" si="33">+IFERROR(IF(D131&gt;0,+((D131/D13)*100)," "),"")</f>
        <v>94.203305657212383</v>
      </c>
      <c r="E170" s="60">
        <f t="shared" si="33"/>
        <v>87.409341575834986</v>
      </c>
      <c r="F170" s="60">
        <f t="shared" si="33"/>
        <v>90.396252384824336</v>
      </c>
      <c r="G170" s="60">
        <f t="shared" si="33"/>
        <v>60.098731988457168</v>
      </c>
      <c r="H170" s="60">
        <f t="shared" si="33"/>
        <v>63.763280804859555</v>
      </c>
      <c r="I170" s="60">
        <f t="shared" si="33"/>
        <v>73.407474872554729</v>
      </c>
      <c r="J170" s="60">
        <f t="shared" si="33"/>
        <v>75.99051535640541</v>
      </c>
      <c r="K170" s="60">
        <f t="shared" si="33"/>
        <v>83.477626010820302</v>
      </c>
      <c r="L170" s="60">
        <f t="shared" si="33"/>
        <v>90.55037346265506</v>
      </c>
      <c r="M170" s="60">
        <f t="shared" si="33"/>
        <v>85.333900868546394</v>
      </c>
      <c r="N170" s="60">
        <f t="shared" si="33"/>
        <v>81.398375402022694</v>
      </c>
      <c r="O170" s="60">
        <f t="shared" si="33"/>
        <v>80.088656090099491</v>
      </c>
      <c r="P170" s="60">
        <f t="shared" si="33"/>
        <v>79.316126982426212</v>
      </c>
      <c r="Q170" s="60">
        <f t="shared" si="33"/>
        <v>82.79016928127389</v>
      </c>
      <c r="R170" s="60">
        <f t="shared" si="33"/>
        <v>91.73366176671027</v>
      </c>
      <c r="S170" s="60">
        <f t="shared" si="33"/>
        <v>80.557838916379353</v>
      </c>
      <c r="T170" s="60">
        <f t="shared" si="33"/>
        <v>75.453111795723288</v>
      </c>
      <c r="U170" s="60">
        <f t="shared" si="33"/>
        <v>87.065236844982792</v>
      </c>
      <c r="V170" s="60">
        <f t="shared" si="33"/>
        <v>85.917834421892024</v>
      </c>
    </row>
    <row r="171" spans="2:22" x14ac:dyDescent="0.2">
      <c r="C171" s="88" t="s">
        <v>124</v>
      </c>
      <c r="D171" s="62" t="str">
        <f t="shared" ref="D171:V171" si="34">+IFERROR(IF(D132&gt;0,+((D132/D14)*100)," "),"")</f>
        <v xml:space="preserve"> </v>
      </c>
      <c r="E171" s="62" t="str">
        <f t="shared" si="34"/>
        <v xml:space="preserve"> </v>
      </c>
      <c r="F171" s="62" t="str">
        <f t="shared" si="34"/>
        <v xml:space="preserve"> </v>
      </c>
      <c r="G171" s="62" t="str">
        <f t="shared" si="34"/>
        <v xml:space="preserve"> </v>
      </c>
      <c r="H171" s="62" t="str">
        <f t="shared" si="34"/>
        <v xml:space="preserve"> </v>
      </c>
      <c r="I171" s="62" t="str">
        <f t="shared" si="34"/>
        <v xml:space="preserve"> </v>
      </c>
      <c r="J171" s="62" t="str">
        <f t="shared" si="34"/>
        <v xml:space="preserve"> </v>
      </c>
      <c r="K171" s="62" t="str">
        <f t="shared" si="34"/>
        <v xml:space="preserve"> </v>
      </c>
      <c r="L171" s="62" t="str">
        <f t="shared" si="34"/>
        <v xml:space="preserve"> </v>
      </c>
      <c r="M171" s="62" t="str">
        <f t="shared" si="34"/>
        <v xml:space="preserve"> </v>
      </c>
      <c r="N171" s="62" t="str">
        <f t="shared" si="34"/>
        <v xml:space="preserve"> </v>
      </c>
      <c r="O171" s="62" t="str">
        <f t="shared" si="34"/>
        <v xml:space="preserve"> </v>
      </c>
      <c r="P171" s="62">
        <f t="shared" si="34"/>
        <v>81.655503734028159</v>
      </c>
      <c r="Q171" s="62">
        <f t="shared" si="34"/>
        <v>86.512798688685805</v>
      </c>
      <c r="R171" s="62">
        <f t="shared" si="34"/>
        <v>69.257743218310907</v>
      </c>
      <c r="S171" s="62">
        <f t="shared" si="34"/>
        <v>69.04436223361445</v>
      </c>
      <c r="T171" s="62">
        <f t="shared" si="34"/>
        <v>91.865283484474773</v>
      </c>
      <c r="U171" s="62">
        <f t="shared" si="34"/>
        <v>96.830276751977124</v>
      </c>
      <c r="V171" s="62">
        <f t="shared" si="34"/>
        <v>96.887130587526869</v>
      </c>
    </row>
    <row r="172" spans="2:22" x14ac:dyDescent="0.2">
      <c r="C172" s="87" t="s">
        <v>125</v>
      </c>
      <c r="D172" s="60">
        <f t="shared" ref="D172:V172" si="35">+IFERROR(IF(D133&gt;0,+((D133/D15)*100)," "),"")</f>
        <v>75.324683760368529</v>
      </c>
      <c r="E172" s="60">
        <f t="shared" si="35"/>
        <v>62.923747174609957</v>
      </c>
      <c r="F172" s="60">
        <f t="shared" si="35"/>
        <v>91.02823143421837</v>
      </c>
      <c r="G172" s="60">
        <f t="shared" si="35"/>
        <v>78.603556540860183</v>
      </c>
      <c r="H172" s="60">
        <f t="shared" si="35"/>
        <v>65.714335023288442</v>
      </c>
      <c r="I172" s="60">
        <f t="shared" si="35"/>
        <v>68.263603967310274</v>
      </c>
      <c r="J172" s="60">
        <f t="shared" si="35"/>
        <v>69.501788101752467</v>
      </c>
      <c r="K172" s="60">
        <f t="shared" si="35"/>
        <v>52.900895375835454</v>
      </c>
      <c r="L172" s="60">
        <f t="shared" si="35"/>
        <v>87.429165130285824</v>
      </c>
      <c r="M172" s="60">
        <f t="shared" si="35"/>
        <v>75.904769115356302</v>
      </c>
      <c r="N172" s="60" t="str">
        <f t="shared" si="35"/>
        <v xml:space="preserve"> </v>
      </c>
      <c r="O172" s="60" t="str">
        <f t="shared" si="35"/>
        <v xml:space="preserve"> </v>
      </c>
      <c r="P172" s="60" t="str">
        <f t="shared" si="35"/>
        <v xml:space="preserve"> </v>
      </c>
      <c r="Q172" s="60" t="str">
        <f t="shared" si="35"/>
        <v xml:space="preserve"> </v>
      </c>
      <c r="R172" s="60" t="str">
        <f t="shared" si="35"/>
        <v xml:space="preserve"> </v>
      </c>
      <c r="S172" s="60" t="str">
        <f t="shared" si="35"/>
        <v xml:space="preserve"> </v>
      </c>
      <c r="T172" s="60" t="str">
        <f t="shared" si="35"/>
        <v xml:space="preserve"> </v>
      </c>
      <c r="U172" s="60" t="str">
        <f t="shared" si="35"/>
        <v xml:space="preserve"> </v>
      </c>
      <c r="V172" s="60" t="str">
        <f t="shared" si="35"/>
        <v xml:space="preserve"> </v>
      </c>
    </row>
    <row r="173" spans="2:22" x14ac:dyDescent="0.2">
      <c r="C173" s="88" t="s">
        <v>126</v>
      </c>
      <c r="D173" s="62">
        <f t="shared" ref="D173:V173" si="36">+IFERROR(IF(D134&gt;0,+((D134/D16)*100)," "),"")</f>
        <v>94.668065270509004</v>
      </c>
      <c r="E173" s="62">
        <f t="shared" si="36"/>
        <v>88.531880669124305</v>
      </c>
      <c r="F173" s="62">
        <f t="shared" si="36"/>
        <v>86.050696046880248</v>
      </c>
      <c r="G173" s="62">
        <f t="shared" si="36"/>
        <v>87.603284201444126</v>
      </c>
      <c r="H173" s="62">
        <f t="shared" si="36"/>
        <v>90.231869063142085</v>
      </c>
      <c r="I173" s="62">
        <f t="shared" si="36"/>
        <v>91.198608961367242</v>
      </c>
      <c r="J173" s="62">
        <f t="shared" si="36"/>
        <v>90.657044074579375</v>
      </c>
      <c r="K173" s="62">
        <f t="shared" si="36"/>
        <v>93.812670563365074</v>
      </c>
      <c r="L173" s="62">
        <f t="shared" si="36"/>
        <v>91.901076400451956</v>
      </c>
      <c r="M173" s="62">
        <f t="shared" si="36"/>
        <v>93.214706974900977</v>
      </c>
      <c r="N173" s="62">
        <f t="shared" si="36"/>
        <v>90.520453371238119</v>
      </c>
      <c r="O173" s="62">
        <f t="shared" si="36"/>
        <v>83.646262314445906</v>
      </c>
      <c r="P173" s="62">
        <f t="shared" si="36"/>
        <v>89.943828019232413</v>
      </c>
      <c r="Q173" s="62">
        <f t="shared" si="36"/>
        <v>94.749005695940042</v>
      </c>
      <c r="R173" s="62">
        <f t="shared" si="36"/>
        <v>94.837476255362418</v>
      </c>
      <c r="S173" s="62">
        <f t="shared" si="36"/>
        <v>95.126462229871194</v>
      </c>
      <c r="T173" s="62">
        <f t="shared" si="36"/>
        <v>95.041783041710872</v>
      </c>
      <c r="U173" s="62">
        <f t="shared" si="36"/>
        <v>96.127623215770114</v>
      </c>
      <c r="V173" s="62">
        <f t="shared" si="36"/>
        <v>94.365382508075484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 t="str">
        <f t="shared" si="37"/>
        <v xml:space="preserve"> </v>
      </c>
      <c r="H174" s="60" t="str">
        <f t="shared" si="37"/>
        <v xml:space="preserve"> </v>
      </c>
      <c r="I174" s="60" t="str">
        <f t="shared" si="37"/>
        <v xml:space="preserve"> </v>
      </c>
      <c r="J174" s="60" t="str">
        <f t="shared" si="37"/>
        <v xml:space="preserve"> </v>
      </c>
      <c r="K174" s="60" t="str">
        <f t="shared" si="37"/>
        <v xml:space="preserve"> </v>
      </c>
      <c r="L174" s="60" t="str">
        <f t="shared" si="37"/>
        <v xml:space="preserve"> </v>
      </c>
      <c r="M174" s="60" t="str">
        <f t="shared" si="37"/>
        <v xml:space="preserve"> </v>
      </c>
      <c r="N174" s="60" t="str">
        <f t="shared" si="37"/>
        <v xml:space="preserve"> </v>
      </c>
      <c r="O174" s="60" t="str">
        <f t="shared" si="37"/>
        <v xml:space="preserve"> </v>
      </c>
      <c r="P174" s="60" t="str">
        <f t="shared" si="37"/>
        <v xml:space="preserve"> </v>
      </c>
      <c r="Q174" s="60" t="str">
        <f t="shared" si="37"/>
        <v xml:space="preserve"> </v>
      </c>
      <c r="R174" s="60" t="str">
        <f t="shared" si="37"/>
        <v xml:space="preserve"> </v>
      </c>
      <c r="S174" s="60" t="str">
        <f t="shared" si="37"/>
        <v xml:space="preserve"> </v>
      </c>
      <c r="T174" s="60" t="str">
        <f t="shared" si="37"/>
        <v xml:space="preserve"> </v>
      </c>
      <c r="U174" s="60" t="str">
        <f t="shared" si="37"/>
        <v xml:space="preserve"> </v>
      </c>
      <c r="V174" s="60" t="str">
        <f t="shared" si="37"/>
        <v xml:space="preserve"> </v>
      </c>
    </row>
    <row r="175" spans="2:22" x14ac:dyDescent="0.2">
      <c r="C175" s="88" t="s">
        <v>128</v>
      </c>
      <c r="D175" s="62">
        <f t="shared" ref="D175:V175" si="38">+IFERROR(IF(D136&gt;0,+((D136/D18)*100)," "),"")</f>
        <v>86.486610677927331</v>
      </c>
      <c r="E175" s="62">
        <f t="shared" si="38"/>
        <v>86.442029575526036</v>
      </c>
      <c r="F175" s="62">
        <f t="shared" si="38"/>
        <v>73.94069859056232</v>
      </c>
      <c r="G175" s="62">
        <f t="shared" si="38"/>
        <v>51.131402757993612</v>
      </c>
      <c r="H175" s="62">
        <f t="shared" si="38"/>
        <v>57.002604427146728</v>
      </c>
      <c r="I175" s="62">
        <f t="shared" si="38"/>
        <v>73.367197721102627</v>
      </c>
      <c r="J175" s="62">
        <f t="shared" si="38"/>
        <v>25.081779153813077</v>
      </c>
      <c r="K175" s="62">
        <f t="shared" si="38"/>
        <v>55.972734466912065</v>
      </c>
      <c r="L175" s="62">
        <f t="shared" si="38"/>
        <v>80.363334885286733</v>
      </c>
      <c r="M175" s="62">
        <f t="shared" si="38"/>
        <v>66.638238148139635</v>
      </c>
      <c r="N175" s="62">
        <f t="shared" si="38"/>
        <v>73.629018315971123</v>
      </c>
      <c r="O175" s="62">
        <f t="shared" si="38"/>
        <v>80.679805520109198</v>
      </c>
      <c r="P175" s="62">
        <f t="shared" si="38"/>
        <v>86.078489929404711</v>
      </c>
      <c r="Q175" s="62">
        <f t="shared" si="38"/>
        <v>81.273243930186084</v>
      </c>
      <c r="R175" s="62">
        <f t="shared" si="38"/>
        <v>88.648805310002402</v>
      </c>
      <c r="S175" s="62">
        <f t="shared" si="38"/>
        <v>94.380542988507514</v>
      </c>
      <c r="T175" s="62">
        <f t="shared" si="38"/>
        <v>95.053869508473426</v>
      </c>
      <c r="U175" s="62">
        <f t="shared" si="38"/>
        <v>96.394561897619397</v>
      </c>
      <c r="V175" s="62">
        <f t="shared" si="38"/>
        <v>94.086752851289916</v>
      </c>
    </row>
    <row r="176" spans="2:22" x14ac:dyDescent="0.2">
      <c r="C176" s="87" t="s">
        <v>129</v>
      </c>
      <c r="D176" s="60">
        <f t="shared" ref="D176:V176" si="39">+IFERROR(IF(D137&gt;0,+((D137/D19)*100)," "),"")</f>
        <v>81.154689079684914</v>
      </c>
      <c r="E176" s="60">
        <f t="shared" si="39"/>
        <v>78.624395890017183</v>
      </c>
      <c r="F176" s="60">
        <f t="shared" si="39"/>
        <v>77.026667428147221</v>
      </c>
      <c r="G176" s="60">
        <f t="shared" si="39"/>
        <v>80.064320850105602</v>
      </c>
      <c r="H176" s="60">
        <f t="shared" si="39"/>
        <v>84.228291993802898</v>
      </c>
      <c r="I176" s="60">
        <f t="shared" si="39"/>
        <v>82.295411545238323</v>
      </c>
      <c r="J176" s="60">
        <f t="shared" si="39"/>
        <v>74.440623459015882</v>
      </c>
      <c r="K176" s="60">
        <f t="shared" si="39"/>
        <v>91.25531996038309</v>
      </c>
      <c r="L176" s="60">
        <f t="shared" si="39"/>
        <v>90.291455297485655</v>
      </c>
      <c r="M176" s="60">
        <f t="shared" si="39"/>
        <v>87.139033738833788</v>
      </c>
      <c r="N176" s="60">
        <f t="shared" si="39"/>
        <v>89.244732536924431</v>
      </c>
      <c r="O176" s="60">
        <f t="shared" si="39"/>
        <v>83.864040791280374</v>
      </c>
      <c r="P176" s="60">
        <f t="shared" si="39"/>
        <v>80.740352363969663</v>
      </c>
      <c r="Q176" s="60">
        <f t="shared" si="39"/>
        <v>82.765142762937018</v>
      </c>
      <c r="R176" s="60">
        <f t="shared" si="39"/>
        <v>90.049681305862876</v>
      </c>
      <c r="S176" s="60">
        <f t="shared" si="39"/>
        <v>86.205952876775569</v>
      </c>
      <c r="T176" s="60">
        <f t="shared" si="39"/>
        <v>91.265936849573791</v>
      </c>
      <c r="U176" s="60">
        <f t="shared" si="39"/>
        <v>95.657474643655021</v>
      </c>
      <c r="V176" s="60">
        <f t="shared" si="39"/>
        <v>92.296578508607652</v>
      </c>
    </row>
    <row r="177" spans="3:22" x14ac:dyDescent="0.2">
      <c r="C177" s="88" t="s">
        <v>130</v>
      </c>
      <c r="D177" s="62">
        <f t="shared" ref="D177:V177" si="40">+IFERROR(IF(D138&gt;0,+((D138/D20)*100)," "),"")</f>
        <v>97.200525772236361</v>
      </c>
      <c r="E177" s="62">
        <f t="shared" si="40"/>
        <v>87.598080704885504</v>
      </c>
      <c r="F177" s="62">
        <f t="shared" si="40"/>
        <v>83.676368729444476</v>
      </c>
      <c r="G177" s="62">
        <f t="shared" si="40"/>
        <v>74.809992529024044</v>
      </c>
      <c r="H177" s="62">
        <f t="shared" si="40"/>
        <v>82.499226096641763</v>
      </c>
      <c r="I177" s="62">
        <f t="shared" si="40"/>
        <v>91.770902444672259</v>
      </c>
      <c r="J177" s="62">
        <f t="shared" si="40"/>
        <v>91.665108978330025</v>
      </c>
      <c r="K177" s="62">
        <f t="shared" si="40"/>
        <v>90.526682488182999</v>
      </c>
      <c r="L177" s="62">
        <f t="shared" si="40"/>
        <v>93.287936826224168</v>
      </c>
      <c r="M177" s="62">
        <f t="shared" si="40"/>
        <v>93.882147894250522</v>
      </c>
      <c r="N177" s="62">
        <f t="shared" si="40"/>
        <v>82.512764042288566</v>
      </c>
      <c r="O177" s="62">
        <f t="shared" si="40"/>
        <v>72.738491304911079</v>
      </c>
      <c r="P177" s="62" t="str">
        <f t="shared" si="40"/>
        <v xml:space="preserve"> </v>
      </c>
      <c r="Q177" s="62" t="str">
        <f t="shared" si="40"/>
        <v xml:space="preserve"> </v>
      </c>
      <c r="R177" s="62" t="str">
        <f t="shared" si="40"/>
        <v xml:space="preserve"> </v>
      </c>
      <c r="S177" s="62" t="str">
        <f t="shared" si="40"/>
        <v xml:space="preserve"> </v>
      </c>
      <c r="T177" s="62" t="str">
        <f t="shared" si="40"/>
        <v xml:space="preserve"> </v>
      </c>
      <c r="U177" s="62" t="str">
        <f t="shared" si="40"/>
        <v xml:space="preserve"> </v>
      </c>
      <c r="V177" s="62" t="str">
        <f t="shared" si="40"/>
        <v xml:space="preserve"> </v>
      </c>
    </row>
    <row r="178" spans="3:22" x14ac:dyDescent="0.2">
      <c r="C178" s="87" t="s">
        <v>131</v>
      </c>
      <c r="D178" s="60">
        <f t="shared" ref="D178:V178" si="41">+IFERROR(IF(D139&gt;0,+((D139/D21)*100)," "),"")</f>
        <v>88.633663731860196</v>
      </c>
      <c r="E178" s="60">
        <f t="shared" si="41"/>
        <v>88.976111910444033</v>
      </c>
      <c r="F178" s="60">
        <f t="shared" si="41"/>
        <v>87.777041799163555</v>
      </c>
      <c r="G178" s="60">
        <f t="shared" si="41"/>
        <v>81.5362135330233</v>
      </c>
      <c r="H178" s="60">
        <f t="shared" si="41"/>
        <v>86.186849580817494</v>
      </c>
      <c r="I178" s="60">
        <f t="shared" si="41"/>
        <v>85.581867209394275</v>
      </c>
      <c r="J178" s="60">
        <f t="shared" si="41"/>
        <v>80.275749426568794</v>
      </c>
      <c r="K178" s="60">
        <f t="shared" si="41"/>
        <v>82.879755749979367</v>
      </c>
      <c r="L178" s="60">
        <f t="shared" si="41"/>
        <v>87.39489655271548</v>
      </c>
      <c r="M178" s="60">
        <f t="shared" si="41"/>
        <v>91.525025238694312</v>
      </c>
      <c r="N178" s="60">
        <f t="shared" si="41"/>
        <v>84.996792039467181</v>
      </c>
      <c r="O178" s="60">
        <f t="shared" si="41"/>
        <v>84.31830379585891</v>
      </c>
      <c r="P178" s="60">
        <f t="shared" si="41"/>
        <v>84.306944754014694</v>
      </c>
      <c r="Q178" s="60">
        <f t="shared" si="41"/>
        <v>80.574409463301151</v>
      </c>
      <c r="R178" s="60">
        <f t="shared" si="41"/>
        <v>86.911939456538235</v>
      </c>
      <c r="S178" s="60">
        <f t="shared" si="41"/>
        <v>89.883841577368372</v>
      </c>
      <c r="T178" s="60">
        <f t="shared" si="41"/>
        <v>89.645086504696323</v>
      </c>
      <c r="U178" s="60">
        <f t="shared" si="41"/>
        <v>81.772081910050659</v>
      </c>
      <c r="V178" s="60">
        <f t="shared" si="41"/>
        <v>85.005499317620917</v>
      </c>
    </row>
    <row r="179" spans="3:22" x14ac:dyDescent="0.2">
      <c r="C179" s="88" t="s">
        <v>132</v>
      </c>
      <c r="D179" s="62">
        <f t="shared" ref="D179:V179" si="42">+IFERROR(IF(D140&gt;0,+((D140/D22)*100)," "),"")</f>
        <v>82.700245697915449</v>
      </c>
      <c r="E179" s="62">
        <f t="shared" si="42"/>
        <v>85.878764035387761</v>
      </c>
      <c r="F179" s="62">
        <f t="shared" si="42"/>
        <v>82.023438765859652</v>
      </c>
      <c r="G179" s="62">
        <f t="shared" si="42"/>
        <v>83.581779249913765</v>
      </c>
      <c r="H179" s="62">
        <f t="shared" si="42"/>
        <v>79.135962973524428</v>
      </c>
      <c r="I179" s="62">
        <f t="shared" si="42"/>
        <v>90.545285173169248</v>
      </c>
      <c r="J179" s="62">
        <f t="shared" si="42"/>
        <v>67.830213605752036</v>
      </c>
      <c r="K179" s="62">
        <f t="shared" si="42"/>
        <v>49.861190144457645</v>
      </c>
      <c r="L179" s="62">
        <f t="shared" si="42"/>
        <v>55.579974208303909</v>
      </c>
      <c r="M179" s="62">
        <f t="shared" si="42"/>
        <v>36.407446374079917</v>
      </c>
      <c r="N179" s="62">
        <f t="shared" si="42"/>
        <v>64.950215030676844</v>
      </c>
      <c r="O179" s="62">
        <f t="shared" si="42"/>
        <v>59.822921134369643</v>
      </c>
      <c r="P179" s="62">
        <f t="shared" si="42"/>
        <v>64.04677762722801</v>
      </c>
      <c r="Q179" s="62">
        <f t="shared" si="42"/>
        <v>45.186885566854407</v>
      </c>
      <c r="R179" s="62">
        <f t="shared" si="42"/>
        <v>51.657495209659366</v>
      </c>
      <c r="S179" s="62">
        <f t="shared" si="42"/>
        <v>53.374083639495304</v>
      </c>
      <c r="T179" s="62">
        <f t="shared" si="42"/>
        <v>75.741958527950032</v>
      </c>
      <c r="U179" s="62">
        <f t="shared" si="42"/>
        <v>78.98964254109579</v>
      </c>
      <c r="V179" s="62">
        <f t="shared" si="42"/>
        <v>80.562742376818193</v>
      </c>
    </row>
    <row r="180" spans="3:22" x14ac:dyDescent="0.2">
      <c r="C180" s="87" t="s">
        <v>133</v>
      </c>
      <c r="D180" s="60">
        <f t="shared" ref="D180:V180" si="43">+IFERROR(IF(D141&gt;0,+((D141/D23)*100)," "),"")</f>
        <v>52.553481328482718</v>
      </c>
      <c r="E180" s="60">
        <f t="shared" si="43"/>
        <v>35.800962077352047</v>
      </c>
      <c r="F180" s="60">
        <f t="shared" si="43"/>
        <v>80.564981052894552</v>
      </c>
      <c r="G180" s="60">
        <f t="shared" si="43"/>
        <v>22.884744871018395</v>
      </c>
      <c r="H180" s="60">
        <f t="shared" si="43"/>
        <v>82.266256528480497</v>
      </c>
      <c r="I180" s="60">
        <f t="shared" si="43"/>
        <v>79.006401645894471</v>
      </c>
      <c r="J180" s="60">
        <f t="shared" si="43"/>
        <v>76.439742333333342</v>
      </c>
      <c r="K180" s="60">
        <f t="shared" si="43"/>
        <v>59.532722900832823</v>
      </c>
      <c r="L180" s="60">
        <f t="shared" si="43"/>
        <v>40.583625868725868</v>
      </c>
      <c r="M180" s="60">
        <f t="shared" si="43"/>
        <v>54.7732722318339</v>
      </c>
      <c r="N180" s="60">
        <f t="shared" si="43"/>
        <v>43.61122390683515</v>
      </c>
      <c r="O180" s="60">
        <f t="shared" si="43"/>
        <v>45.948161493617363</v>
      </c>
      <c r="P180" s="60">
        <f t="shared" si="43"/>
        <v>46.018539860796125</v>
      </c>
      <c r="Q180" s="60">
        <f t="shared" si="43"/>
        <v>24.64971916595745</v>
      </c>
      <c r="R180" s="60">
        <f t="shared" si="43"/>
        <v>28.212994530581909</v>
      </c>
      <c r="S180" s="60">
        <f t="shared" si="43"/>
        <v>40.410764799998041</v>
      </c>
      <c r="T180" s="60">
        <f t="shared" si="43"/>
        <v>79.361719941941345</v>
      </c>
      <c r="U180" s="60">
        <f t="shared" si="43"/>
        <v>98.589181608563351</v>
      </c>
      <c r="V180" s="60">
        <f t="shared" si="43"/>
        <v>83.394351270590533</v>
      </c>
    </row>
    <row r="181" spans="3:22" x14ac:dyDescent="0.2">
      <c r="C181" s="88" t="s">
        <v>134</v>
      </c>
      <c r="D181" s="62">
        <f t="shared" ref="D181:V181" si="44">+IFERROR(IF(D142&gt;0,+((D142/D24)*100)," "),"")</f>
        <v>69.539217196123872</v>
      </c>
      <c r="E181" s="62">
        <f t="shared" si="44"/>
        <v>87.430343989454286</v>
      </c>
      <c r="F181" s="62">
        <f t="shared" si="44"/>
        <v>91.531934728129798</v>
      </c>
      <c r="G181" s="62">
        <f t="shared" si="44"/>
        <v>87.448037937160251</v>
      </c>
      <c r="H181" s="62">
        <f t="shared" si="44"/>
        <v>93.10952946901962</v>
      </c>
      <c r="I181" s="62">
        <f t="shared" si="44"/>
        <v>85.577177122669994</v>
      </c>
      <c r="J181" s="62">
        <f t="shared" si="44"/>
        <v>93.71133721057592</v>
      </c>
      <c r="K181" s="62">
        <f t="shared" si="44"/>
        <v>85.355032065392876</v>
      </c>
      <c r="L181" s="62">
        <f t="shared" si="44"/>
        <v>89.190581415117705</v>
      </c>
      <c r="M181" s="62">
        <f t="shared" si="44"/>
        <v>87.631118826380842</v>
      </c>
      <c r="N181" s="62">
        <f t="shared" si="44"/>
        <v>89.742982126052041</v>
      </c>
      <c r="O181" s="62">
        <f t="shared" si="44"/>
        <v>91.011279820962756</v>
      </c>
      <c r="P181" s="62">
        <f t="shared" si="44"/>
        <v>89.110009913951487</v>
      </c>
      <c r="Q181" s="62">
        <f t="shared" si="44"/>
        <v>77.329899534824449</v>
      </c>
      <c r="R181" s="62">
        <f t="shared" si="44"/>
        <v>70.058340415353939</v>
      </c>
      <c r="S181" s="62">
        <f t="shared" si="44"/>
        <v>70.194514888531828</v>
      </c>
      <c r="T181" s="62">
        <f t="shared" si="44"/>
        <v>74.565812784805175</v>
      </c>
      <c r="U181" s="62">
        <f t="shared" si="44"/>
        <v>74.982259439623704</v>
      </c>
      <c r="V181" s="62">
        <f t="shared" si="44"/>
        <v>78.289874294686754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97.037854220530605</v>
      </c>
      <c r="E183" s="62">
        <f t="shared" si="46"/>
        <v>97.824086774439962</v>
      </c>
      <c r="F183" s="62">
        <f t="shared" si="46"/>
        <v>90.24270278844763</v>
      </c>
      <c r="G183" s="62">
        <f t="shared" si="46"/>
        <v>95.542566696989823</v>
      </c>
      <c r="H183" s="62">
        <f t="shared" si="46"/>
        <v>93.200143405806841</v>
      </c>
      <c r="I183" s="62">
        <f t="shared" si="46"/>
        <v>90.9375256819838</v>
      </c>
      <c r="J183" s="62">
        <f t="shared" si="46"/>
        <v>68.728594145725424</v>
      </c>
      <c r="K183" s="62">
        <f t="shared" si="46"/>
        <v>71.293028782126456</v>
      </c>
      <c r="L183" s="62">
        <f t="shared" si="46"/>
        <v>73.846862368899025</v>
      </c>
      <c r="M183" s="62">
        <f t="shared" si="46"/>
        <v>74.888716735878631</v>
      </c>
      <c r="N183" s="62">
        <f t="shared" si="46"/>
        <v>79.357516874486507</v>
      </c>
      <c r="O183" s="62">
        <f t="shared" si="46"/>
        <v>77.70738110322084</v>
      </c>
      <c r="P183" s="62">
        <f t="shared" si="46"/>
        <v>79.463092810170522</v>
      </c>
      <c r="Q183" s="62">
        <f t="shared" si="46"/>
        <v>82.057896378774458</v>
      </c>
      <c r="R183" s="62">
        <f t="shared" si="46"/>
        <v>83.840785179696098</v>
      </c>
      <c r="S183" s="62">
        <f t="shared" si="46"/>
        <v>86.105034111546985</v>
      </c>
      <c r="T183" s="62">
        <f t="shared" si="46"/>
        <v>87.170885768167764</v>
      </c>
      <c r="U183" s="62">
        <f t="shared" si="46"/>
        <v>98.084854631914936</v>
      </c>
      <c r="V183" s="62">
        <f t="shared" si="46"/>
        <v>86.011186362054985</v>
      </c>
    </row>
    <row r="184" spans="3:22" x14ac:dyDescent="0.2">
      <c r="C184" s="87" t="s">
        <v>137</v>
      </c>
      <c r="D184" s="60">
        <f t="shared" ref="D184:V184" si="47">+IFERROR(IF(D145&gt;0,+((D145/D27)*100)," "),"")</f>
        <v>86.87554521540126</v>
      </c>
      <c r="E184" s="60">
        <f t="shared" si="47"/>
        <v>82.334578961811829</v>
      </c>
      <c r="F184" s="60">
        <f t="shared" si="47"/>
        <v>95.695327727908875</v>
      </c>
      <c r="G184" s="60">
        <f t="shared" si="47"/>
        <v>82.693251904126484</v>
      </c>
      <c r="H184" s="60">
        <f t="shared" si="47"/>
        <v>86.313251197012065</v>
      </c>
      <c r="I184" s="60">
        <f t="shared" si="47"/>
        <v>88.396711690252999</v>
      </c>
      <c r="J184" s="60">
        <f t="shared" si="47"/>
        <v>89.71341444040894</v>
      </c>
      <c r="K184" s="60">
        <f t="shared" si="47"/>
        <v>91.384986723336681</v>
      </c>
      <c r="L184" s="60">
        <f t="shared" si="47"/>
        <v>89.677071399944509</v>
      </c>
      <c r="M184" s="60">
        <f t="shared" si="47"/>
        <v>94.043992035011442</v>
      </c>
      <c r="N184" s="60">
        <f t="shared" si="47"/>
        <v>93.935721613090465</v>
      </c>
      <c r="O184" s="60">
        <f t="shared" si="47"/>
        <v>94.828048364163095</v>
      </c>
      <c r="P184" s="60">
        <f t="shared" si="47"/>
        <v>78.825228593866527</v>
      </c>
      <c r="Q184" s="60">
        <f t="shared" si="47"/>
        <v>85.016612296001639</v>
      </c>
      <c r="R184" s="60">
        <f t="shared" si="47"/>
        <v>91.457182540477504</v>
      </c>
      <c r="S184" s="60">
        <f t="shared" si="47"/>
        <v>65.481753774424661</v>
      </c>
      <c r="T184" s="60">
        <f t="shared" si="47"/>
        <v>72.807397827661092</v>
      </c>
      <c r="U184" s="60">
        <f t="shared" si="47"/>
        <v>97.814567146127146</v>
      </c>
      <c r="V184" s="60">
        <f t="shared" si="47"/>
        <v>68.672082259126597</v>
      </c>
    </row>
    <row r="185" spans="3:22" x14ac:dyDescent="0.2">
      <c r="C185" s="88" t="s">
        <v>138</v>
      </c>
      <c r="D185" s="62">
        <f t="shared" ref="D185:V185" si="48">+IFERROR(IF(D146&gt;0,+((D146/D28)*100)," "),"")</f>
        <v>87.238691209572011</v>
      </c>
      <c r="E185" s="62">
        <f t="shared" si="48"/>
        <v>80.243868355129024</v>
      </c>
      <c r="F185" s="62">
        <f t="shared" si="48"/>
        <v>85.942827554463719</v>
      </c>
      <c r="G185" s="62">
        <f t="shared" si="48"/>
        <v>75.051353295441842</v>
      </c>
      <c r="H185" s="62">
        <f t="shared" si="48"/>
        <v>73.095855651848481</v>
      </c>
      <c r="I185" s="62">
        <f t="shared" si="48"/>
        <v>76.160337593620639</v>
      </c>
      <c r="J185" s="62">
        <f t="shared" si="48"/>
        <v>81.46060639834684</v>
      </c>
      <c r="K185" s="62">
        <f t="shared" si="48"/>
        <v>90.982363219872369</v>
      </c>
      <c r="L185" s="62">
        <f t="shared" si="48"/>
        <v>91.285714588954491</v>
      </c>
      <c r="M185" s="62">
        <f t="shared" si="48"/>
        <v>78.715505004204985</v>
      </c>
      <c r="N185" s="62">
        <f t="shared" si="48"/>
        <v>74.778672907328271</v>
      </c>
      <c r="O185" s="62">
        <f t="shared" si="48"/>
        <v>73.638883255913896</v>
      </c>
      <c r="P185" s="62">
        <f t="shared" si="48"/>
        <v>77.257006916123984</v>
      </c>
      <c r="Q185" s="62">
        <f t="shared" si="48"/>
        <v>91.704225207306735</v>
      </c>
      <c r="R185" s="62">
        <f t="shared" si="48"/>
        <v>81.171713396320442</v>
      </c>
      <c r="S185" s="62" t="str">
        <f t="shared" si="48"/>
        <v xml:space="preserve"> </v>
      </c>
      <c r="T185" s="62" t="str">
        <f t="shared" si="48"/>
        <v xml:space="preserve"> </v>
      </c>
      <c r="U185" s="62" t="str">
        <f t="shared" si="48"/>
        <v xml:space="preserve"> </v>
      </c>
      <c r="V185" s="62" t="str">
        <f t="shared" si="48"/>
        <v xml:space="preserve"> </v>
      </c>
    </row>
    <row r="186" spans="3:22" x14ac:dyDescent="0.2">
      <c r="C186" s="87" t="s">
        <v>139</v>
      </c>
      <c r="D186" s="60">
        <f t="shared" ref="D186:V186" si="49">+IFERROR(IF(D147&gt;0,+((D147/D29)*100)," "),"")</f>
        <v>95.860669548345882</v>
      </c>
      <c r="E186" s="60">
        <f t="shared" si="49"/>
        <v>59.032494130378609</v>
      </c>
      <c r="F186" s="60">
        <f t="shared" si="49"/>
        <v>78.716534671624373</v>
      </c>
      <c r="G186" s="60">
        <f t="shared" si="49"/>
        <v>68.377329557105739</v>
      </c>
      <c r="H186" s="60">
        <f t="shared" si="49"/>
        <v>79.753775457775305</v>
      </c>
      <c r="I186" s="60">
        <f t="shared" si="49"/>
        <v>81.864154253100878</v>
      </c>
      <c r="J186" s="60">
        <f t="shared" si="49"/>
        <v>69.542911783283913</v>
      </c>
      <c r="K186" s="60">
        <f t="shared" si="49"/>
        <v>82.430634047600336</v>
      </c>
      <c r="L186" s="60">
        <f t="shared" si="49"/>
        <v>82.998169989034352</v>
      </c>
      <c r="M186" s="60">
        <f t="shared" si="49"/>
        <v>71.052714427230384</v>
      </c>
      <c r="N186" s="60">
        <f t="shared" si="49"/>
        <v>72.180630135477159</v>
      </c>
      <c r="O186" s="60">
        <f t="shared" si="49"/>
        <v>84.947973838641758</v>
      </c>
      <c r="P186" s="60">
        <f t="shared" si="49"/>
        <v>80.568111704929962</v>
      </c>
      <c r="Q186" s="60">
        <f t="shared" si="49"/>
        <v>85.988005636451675</v>
      </c>
      <c r="R186" s="60">
        <f t="shared" si="49"/>
        <v>78.804333448924851</v>
      </c>
      <c r="S186" s="60">
        <f t="shared" si="49"/>
        <v>88.672835279064003</v>
      </c>
      <c r="T186" s="60">
        <f t="shared" si="49"/>
        <v>93.080715206550408</v>
      </c>
      <c r="U186" s="60">
        <f t="shared" si="49"/>
        <v>90.316861971707127</v>
      </c>
      <c r="V186" s="60">
        <f t="shared" si="49"/>
        <v>88.742951979466838</v>
      </c>
    </row>
    <row r="187" spans="3:22" x14ac:dyDescent="0.2">
      <c r="C187" s="88" t="s">
        <v>140</v>
      </c>
      <c r="D187" s="62">
        <f t="shared" ref="D187:V187" si="50">+IFERROR(IF(D148&gt;0,+((D148/D30)*100)," "),"")</f>
        <v>88.288982856926097</v>
      </c>
      <c r="E187" s="62">
        <f t="shared" si="50"/>
        <v>88.928183936562164</v>
      </c>
      <c r="F187" s="62">
        <f t="shared" si="50"/>
        <v>67.18282749734469</v>
      </c>
      <c r="G187" s="62">
        <f t="shared" si="50"/>
        <v>62.840176632057108</v>
      </c>
      <c r="H187" s="62">
        <f t="shared" si="50"/>
        <v>89.659752235787167</v>
      </c>
      <c r="I187" s="62">
        <f t="shared" si="50"/>
        <v>99.501460033190668</v>
      </c>
      <c r="J187" s="62">
        <f t="shared" si="50"/>
        <v>51.547991449355926</v>
      </c>
      <c r="K187" s="62">
        <f t="shared" si="50"/>
        <v>67.827470451009191</v>
      </c>
      <c r="L187" s="62">
        <f t="shared" si="50"/>
        <v>87.778447285917153</v>
      </c>
      <c r="M187" s="62">
        <f t="shared" si="50"/>
        <v>77.622797647874833</v>
      </c>
      <c r="N187" s="62">
        <f t="shared" si="50"/>
        <v>97.782837242954926</v>
      </c>
      <c r="O187" s="62">
        <f t="shared" si="50"/>
        <v>96.345622485881719</v>
      </c>
      <c r="P187" s="62">
        <f t="shared" si="50"/>
        <v>67.284423671074805</v>
      </c>
      <c r="Q187" s="62">
        <f t="shared" si="50"/>
        <v>72.475768058540069</v>
      </c>
      <c r="R187" s="62">
        <f t="shared" si="50"/>
        <v>90.591209250647736</v>
      </c>
      <c r="S187" s="62">
        <f t="shared" si="50"/>
        <v>92.179234562347261</v>
      </c>
      <c r="T187" s="62">
        <f t="shared" si="50"/>
        <v>91.467859428074945</v>
      </c>
      <c r="U187" s="62">
        <f t="shared" si="50"/>
        <v>94.622613334495384</v>
      </c>
      <c r="V187" s="62">
        <f t="shared" si="50"/>
        <v>86.942099638719398</v>
      </c>
    </row>
    <row r="188" spans="3:22" x14ac:dyDescent="0.2">
      <c r="C188" s="87" t="s">
        <v>141</v>
      </c>
      <c r="D188" s="60">
        <f t="shared" ref="D188:V188" si="51">+IFERROR(IF(D149&gt;0,+((D149/D31)*100)," "),"")</f>
        <v>40.099885857587793</v>
      </c>
      <c r="E188" s="60">
        <f t="shared" si="51"/>
        <v>55.590019595145314</v>
      </c>
      <c r="F188" s="60">
        <f t="shared" si="51"/>
        <v>80.521333040894561</v>
      </c>
      <c r="G188" s="60">
        <f t="shared" si="51"/>
        <v>58.697548511446954</v>
      </c>
      <c r="H188" s="60">
        <f t="shared" si="51"/>
        <v>80.762605960055865</v>
      </c>
      <c r="I188" s="60">
        <f t="shared" si="51"/>
        <v>53.898699668523797</v>
      </c>
      <c r="J188" s="60">
        <f t="shared" si="51"/>
        <v>77.526295531689428</v>
      </c>
      <c r="K188" s="60">
        <f t="shared" si="51"/>
        <v>86.261634031100883</v>
      </c>
      <c r="L188" s="60">
        <f t="shared" si="51"/>
        <v>84.375847722326242</v>
      </c>
      <c r="M188" s="60">
        <f t="shared" si="51"/>
        <v>85.488334302877035</v>
      </c>
      <c r="N188" s="60">
        <f t="shared" si="51"/>
        <v>73.586673965631803</v>
      </c>
      <c r="O188" s="60">
        <f t="shared" si="51"/>
        <v>73.440555121961779</v>
      </c>
      <c r="P188" s="60">
        <f t="shared" si="51"/>
        <v>58.112348724273488</v>
      </c>
      <c r="Q188" s="60">
        <f t="shared" si="51"/>
        <v>65.391295277269194</v>
      </c>
      <c r="R188" s="60">
        <f t="shared" si="51"/>
        <v>64.376116001610185</v>
      </c>
      <c r="S188" s="60">
        <f t="shared" si="51"/>
        <v>82.172875174356491</v>
      </c>
      <c r="T188" s="60">
        <f t="shared" si="51"/>
        <v>71.820213538898727</v>
      </c>
      <c r="U188" s="60">
        <f t="shared" si="51"/>
        <v>74.166999276867912</v>
      </c>
      <c r="V188" s="60">
        <f t="shared" si="51"/>
        <v>78.447851172249457</v>
      </c>
    </row>
    <row r="189" spans="3:22" x14ac:dyDescent="0.2">
      <c r="C189" s="88" t="s">
        <v>142</v>
      </c>
      <c r="D189" s="62">
        <f t="shared" ref="D189:V189" si="52">+IFERROR(IF(D150&gt;0,+((D150/D32)*100)," "),"")</f>
        <v>92.443807728755758</v>
      </c>
      <c r="E189" s="62">
        <f t="shared" si="52"/>
        <v>93.62824491087278</v>
      </c>
      <c r="F189" s="62">
        <f t="shared" si="52"/>
        <v>83.37345224571088</v>
      </c>
      <c r="G189" s="62">
        <f t="shared" si="52"/>
        <v>71.242306652141068</v>
      </c>
      <c r="H189" s="62">
        <f t="shared" si="52"/>
        <v>79.59974849931551</v>
      </c>
      <c r="I189" s="62">
        <f t="shared" si="52"/>
        <v>79.462433310077458</v>
      </c>
      <c r="J189" s="62">
        <f t="shared" si="52"/>
        <v>65.097447363205703</v>
      </c>
      <c r="K189" s="62">
        <f t="shared" si="52"/>
        <v>70.71803926247037</v>
      </c>
      <c r="L189" s="62">
        <f t="shared" si="52"/>
        <v>79.754017662112958</v>
      </c>
      <c r="M189" s="62">
        <f t="shared" si="52"/>
        <v>67.584782606817839</v>
      </c>
      <c r="N189" s="62">
        <f t="shared" si="52"/>
        <v>89.329107989425466</v>
      </c>
      <c r="O189" s="62">
        <f t="shared" si="52"/>
        <v>87.602161938040354</v>
      </c>
      <c r="P189" s="62">
        <f t="shared" si="52"/>
        <v>87.697493876163151</v>
      </c>
      <c r="Q189" s="62">
        <f t="shared" si="52"/>
        <v>57.427795037954589</v>
      </c>
      <c r="R189" s="62">
        <f t="shared" si="52"/>
        <v>87.256672503617921</v>
      </c>
      <c r="S189" s="62">
        <f t="shared" si="52"/>
        <v>90.371145477710854</v>
      </c>
      <c r="T189" s="62">
        <f t="shared" si="52"/>
        <v>93.680311238032559</v>
      </c>
      <c r="U189" s="62">
        <f t="shared" si="52"/>
        <v>91.067228749846777</v>
      </c>
      <c r="V189" s="62">
        <f t="shared" si="52"/>
        <v>93.126444492237297</v>
      </c>
    </row>
    <row r="190" spans="3:22" x14ac:dyDescent="0.2">
      <c r="C190" s="87" t="s">
        <v>143</v>
      </c>
      <c r="D190" s="60" t="str">
        <f t="shared" ref="D190:V190" si="53">+IFERROR(IF(D151&gt;0,+((D151/D33)*100)," "),"")</f>
        <v xml:space="preserve"> </v>
      </c>
      <c r="E190" s="60" t="str">
        <f t="shared" si="53"/>
        <v xml:space="preserve"> </v>
      </c>
      <c r="F190" s="60" t="str">
        <f t="shared" si="53"/>
        <v xml:space="preserve"> </v>
      </c>
      <c r="G190" s="60" t="str">
        <f t="shared" si="53"/>
        <v xml:space="preserve"> </v>
      </c>
      <c r="H190" s="60" t="str">
        <f t="shared" si="53"/>
        <v xml:space="preserve"> </v>
      </c>
      <c r="I190" s="60" t="str">
        <f t="shared" si="53"/>
        <v xml:space="preserve"> </v>
      </c>
      <c r="J190" s="60" t="str">
        <f t="shared" si="53"/>
        <v xml:space="preserve"> </v>
      </c>
      <c r="K190" s="60" t="str">
        <f t="shared" si="53"/>
        <v xml:space="preserve"> </v>
      </c>
      <c r="L190" s="60" t="str">
        <f t="shared" si="53"/>
        <v xml:space="preserve"> </v>
      </c>
      <c r="M190" s="60" t="str">
        <f t="shared" si="53"/>
        <v xml:space="preserve"> </v>
      </c>
      <c r="N190" s="60" t="str">
        <f t="shared" si="53"/>
        <v xml:space="preserve"> </v>
      </c>
      <c r="O190" s="60" t="str">
        <f t="shared" si="53"/>
        <v xml:space="preserve"> </v>
      </c>
      <c r="P190" s="60" t="str">
        <f t="shared" si="53"/>
        <v xml:space="preserve"> </v>
      </c>
      <c r="Q190" s="60" t="str">
        <f t="shared" si="53"/>
        <v xml:space="preserve"> </v>
      </c>
      <c r="R190" s="60" t="str">
        <f t="shared" si="53"/>
        <v xml:space="preserve"> </v>
      </c>
      <c r="S190" s="60" t="str">
        <f t="shared" si="53"/>
        <v xml:space="preserve"> </v>
      </c>
      <c r="T190" s="60" t="str">
        <f t="shared" si="53"/>
        <v xml:space="preserve"> </v>
      </c>
      <c r="U190" s="60" t="str">
        <f t="shared" si="53"/>
        <v xml:space="preserve"> </v>
      </c>
      <c r="V190" s="60" t="str">
        <f t="shared" si="53"/>
        <v xml:space="preserve"> </v>
      </c>
    </row>
    <row r="191" spans="3:22" x14ac:dyDescent="0.2">
      <c r="C191" s="88" t="s">
        <v>144</v>
      </c>
      <c r="D191" s="62" t="str">
        <f t="shared" ref="D191:V191" si="54">+IFERROR(IF(D152&gt;0,+((D152/D34)*100)," "),"")</f>
        <v xml:space="preserve"> </v>
      </c>
      <c r="E191" s="62" t="str">
        <f t="shared" si="54"/>
        <v xml:space="preserve"> </v>
      </c>
      <c r="F191" s="62" t="str">
        <f t="shared" si="54"/>
        <v xml:space="preserve"> </v>
      </c>
      <c r="G191" s="62" t="str">
        <f t="shared" si="54"/>
        <v xml:space="preserve"> </v>
      </c>
      <c r="H191" s="62" t="str">
        <f t="shared" si="54"/>
        <v xml:space="preserve"> </v>
      </c>
      <c r="I191" s="62" t="str">
        <f t="shared" si="54"/>
        <v xml:space="preserve"> </v>
      </c>
      <c r="J191" s="62" t="str">
        <f t="shared" si="54"/>
        <v xml:space="preserve"> </v>
      </c>
      <c r="K191" s="62" t="str">
        <f t="shared" si="54"/>
        <v xml:space="preserve"> </v>
      </c>
      <c r="L191" s="62" t="str">
        <f t="shared" si="54"/>
        <v xml:space="preserve"> </v>
      </c>
      <c r="M191" s="62" t="str">
        <f t="shared" si="54"/>
        <v xml:space="preserve"> </v>
      </c>
      <c r="N191" s="62" t="str">
        <f t="shared" si="54"/>
        <v xml:space="preserve"> </v>
      </c>
      <c r="O191" s="62" t="str">
        <f t="shared" si="54"/>
        <v xml:space="preserve"> </v>
      </c>
      <c r="P191" s="62" t="str">
        <f t="shared" si="54"/>
        <v xml:space="preserve"> </v>
      </c>
      <c r="Q191" s="62" t="str">
        <f t="shared" si="54"/>
        <v xml:space="preserve"> </v>
      </c>
      <c r="R191" s="62" t="str">
        <f t="shared" si="54"/>
        <v xml:space="preserve"> </v>
      </c>
      <c r="S191" s="62" t="str">
        <f t="shared" si="54"/>
        <v xml:space="preserve"> </v>
      </c>
      <c r="T191" s="62" t="str">
        <f t="shared" si="54"/>
        <v xml:space="preserve"> </v>
      </c>
      <c r="U191" s="62" t="str">
        <f t="shared" si="54"/>
        <v xml:space="preserve"> </v>
      </c>
      <c r="V191" s="62" t="str">
        <f t="shared" si="54"/>
        <v xml:space="preserve"> </v>
      </c>
    </row>
    <row r="192" spans="3:22" x14ac:dyDescent="0.2">
      <c r="C192" s="87" t="s">
        <v>145</v>
      </c>
      <c r="D192" s="60">
        <f t="shared" ref="D192:V192" si="55">+IFERROR(IF(D153&gt;0,+((D153/D35)*100)," "),"")</f>
        <v>92.12461878413383</v>
      </c>
      <c r="E192" s="60">
        <f t="shared" si="55"/>
        <v>63.579667464103629</v>
      </c>
      <c r="F192" s="60">
        <f t="shared" si="55"/>
        <v>85.993807713900239</v>
      </c>
      <c r="G192" s="60">
        <f t="shared" si="55"/>
        <v>72.178244943405261</v>
      </c>
      <c r="H192" s="60">
        <f t="shared" si="55"/>
        <v>52.846357117043887</v>
      </c>
      <c r="I192" s="60">
        <f t="shared" si="55"/>
        <v>80.132751988233807</v>
      </c>
      <c r="J192" s="60">
        <f t="shared" si="55"/>
        <v>61.132587686446158</v>
      </c>
      <c r="K192" s="60">
        <f t="shared" si="55"/>
        <v>76.804955378376803</v>
      </c>
      <c r="L192" s="60">
        <f t="shared" si="55"/>
        <v>65.997679648697755</v>
      </c>
      <c r="M192" s="60">
        <f t="shared" si="55"/>
        <v>75.37238217415667</v>
      </c>
      <c r="N192" s="60">
        <f t="shared" si="55"/>
        <v>82.556231098293338</v>
      </c>
      <c r="O192" s="60">
        <f t="shared" si="55"/>
        <v>83.304709233819779</v>
      </c>
      <c r="P192" s="60">
        <f t="shared" si="55"/>
        <v>84.744258421839888</v>
      </c>
      <c r="Q192" s="60">
        <f t="shared" si="55"/>
        <v>92.495607840135236</v>
      </c>
      <c r="R192" s="60">
        <f t="shared" si="55"/>
        <v>90.3839025352394</v>
      </c>
      <c r="S192" s="60">
        <f t="shared" si="55"/>
        <v>94.814110492812304</v>
      </c>
      <c r="T192" s="60">
        <f t="shared" si="55"/>
        <v>97.039745421370796</v>
      </c>
      <c r="U192" s="60">
        <f t="shared" si="55"/>
        <v>98.651303876001478</v>
      </c>
      <c r="V192" s="60">
        <f t="shared" si="55"/>
        <v>92.723799544562866</v>
      </c>
    </row>
    <row r="193" spans="3:22" x14ac:dyDescent="0.2">
      <c r="C193" s="88" t="s">
        <v>146</v>
      </c>
      <c r="D193" s="62">
        <f t="shared" ref="D193:V193" si="56">+IFERROR(IF(D154&gt;0,+((D154/D36)*100)," "),"")</f>
        <v>97.923862303006999</v>
      </c>
      <c r="E193" s="62">
        <f t="shared" si="56"/>
        <v>91.169109024689178</v>
      </c>
      <c r="F193" s="62">
        <f t="shared" si="56"/>
        <v>93.915798977601995</v>
      </c>
      <c r="G193" s="62">
        <f t="shared" si="56"/>
        <v>88.072171165338759</v>
      </c>
      <c r="H193" s="62">
        <f t="shared" si="56"/>
        <v>77.940366185840077</v>
      </c>
      <c r="I193" s="62">
        <f t="shared" si="56"/>
        <v>87.506191241143512</v>
      </c>
      <c r="J193" s="62">
        <f t="shared" si="56"/>
        <v>75.207501673732295</v>
      </c>
      <c r="K193" s="62">
        <f t="shared" si="56"/>
        <v>87.371608358884643</v>
      </c>
      <c r="L193" s="62">
        <f t="shared" si="56"/>
        <v>80.911150770026481</v>
      </c>
      <c r="M193" s="62">
        <f t="shared" si="56"/>
        <v>95.200452595935275</v>
      </c>
      <c r="N193" s="62">
        <f t="shared" si="56"/>
        <v>87.358211960983851</v>
      </c>
      <c r="O193" s="62">
        <f t="shared" si="56"/>
        <v>94.59516689388154</v>
      </c>
      <c r="P193" s="62">
        <f t="shared" si="56"/>
        <v>96.240345771850784</v>
      </c>
      <c r="Q193" s="62">
        <f t="shared" si="56"/>
        <v>98.965344112306184</v>
      </c>
      <c r="R193" s="62">
        <f t="shared" si="56"/>
        <v>98.173804329700147</v>
      </c>
      <c r="S193" s="62">
        <f t="shared" si="56"/>
        <v>98.4868072485894</v>
      </c>
      <c r="T193" s="62">
        <f t="shared" si="56"/>
        <v>99.283313588958436</v>
      </c>
      <c r="U193" s="62">
        <f t="shared" si="56"/>
        <v>96.107367377184289</v>
      </c>
      <c r="V193" s="62">
        <f t="shared" si="56"/>
        <v>81.452249326490133</v>
      </c>
    </row>
    <row r="194" spans="3:22" x14ac:dyDescent="0.2">
      <c r="C194" s="90" t="s">
        <v>147</v>
      </c>
      <c r="D194" s="61">
        <f t="shared" ref="D194:V194" si="57">+IFERROR(IF(D155&gt;0,+((D155/D37)*100)," "),"")</f>
        <v>75.210329888654755</v>
      </c>
      <c r="E194" s="61">
        <f t="shared" si="57"/>
        <v>76.573388901826945</v>
      </c>
      <c r="F194" s="61">
        <f t="shared" si="57"/>
        <v>82.094218386816209</v>
      </c>
      <c r="G194" s="61">
        <f t="shared" si="57"/>
        <v>83.920210090033734</v>
      </c>
      <c r="H194" s="61">
        <f t="shared" si="57"/>
        <v>74.417416370224061</v>
      </c>
      <c r="I194" s="61">
        <f t="shared" si="57"/>
        <v>80.381820195783163</v>
      </c>
      <c r="J194" s="61">
        <f t="shared" si="57"/>
        <v>71.914542655422011</v>
      </c>
      <c r="K194" s="61">
        <f t="shared" si="57"/>
        <v>73.296781350794291</v>
      </c>
      <c r="L194" s="61">
        <f t="shared" si="57"/>
        <v>86.358198526998521</v>
      </c>
      <c r="M194" s="61">
        <f t="shared" si="57"/>
        <v>83.339818086727917</v>
      </c>
      <c r="N194" s="61">
        <f t="shared" si="57"/>
        <v>86.692539694140706</v>
      </c>
      <c r="O194" s="61">
        <f t="shared" si="57"/>
        <v>80.826308213228145</v>
      </c>
      <c r="P194" s="61">
        <f t="shared" si="57"/>
        <v>89.129931568323855</v>
      </c>
      <c r="Q194" s="61">
        <f t="shared" si="57"/>
        <v>75.261184454579137</v>
      </c>
      <c r="R194" s="61">
        <f t="shared" si="57"/>
        <v>83.607985238575921</v>
      </c>
      <c r="S194" s="61">
        <f t="shared" si="57"/>
        <v>90.257150654351989</v>
      </c>
      <c r="T194" s="61">
        <f t="shared" si="57"/>
        <v>91.783561367243223</v>
      </c>
      <c r="U194" s="61">
        <f t="shared" si="57"/>
        <v>92.368758022223389</v>
      </c>
      <c r="V194" s="61">
        <f t="shared" si="57"/>
        <v>85.791767067088585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 t="str">
        <f t="shared" si="58"/>
        <v xml:space="preserve"> </v>
      </c>
    </row>
    <row r="196" spans="3:22" x14ac:dyDescent="0.2">
      <c r="C196" s="87" t="s">
        <v>149</v>
      </c>
      <c r="D196" s="60">
        <f t="shared" ref="D196:V196" si="59">+IFERROR(IF(D157&gt;0,+((D157/D39)*100)," "),"")</f>
        <v>35.835064271284722</v>
      </c>
      <c r="E196" s="60">
        <f t="shared" si="59"/>
        <v>37.457455828316633</v>
      </c>
      <c r="F196" s="60">
        <f t="shared" si="59"/>
        <v>42.007833001388981</v>
      </c>
      <c r="G196" s="60">
        <f t="shared" si="59"/>
        <v>55.128721380219389</v>
      </c>
      <c r="H196" s="60">
        <f t="shared" si="59"/>
        <v>49.023941667603829</v>
      </c>
      <c r="I196" s="60">
        <f t="shared" si="59"/>
        <v>4.4267655644313928</v>
      </c>
      <c r="J196" s="60">
        <f t="shared" si="59"/>
        <v>45.556219788685191</v>
      </c>
      <c r="K196" s="60">
        <f t="shared" si="59"/>
        <v>48.013050373105898</v>
      </c>
      <c r="L196" s="60">
        <f t="shared" si="59"/>
        <v>57.58455340997061</v>
      </c>
      <c r="M196" s="60">
        <f t="shared" si="59"/>
        <v>61.593877241897886</v>
      </c>
      <c r="N196" s="60">
        <f t="shared" si="59"/>
        <v>68.230802074725489</v>
      </c>
      <c r="O196" s="60">
        <f t="shared" si="59"/>
        <v>69.72511404101806</v>
      </c>
      <c r="P196" s="60">
        <f t="shared" si="59"/>
        <v>98.466124291911825</v>
      </c>
      <c r="Q196" s="60">
        <f t="shared" si="59"/>
        <v>73.23660643176693</v>
      </c>
      <c r="R196" s="60">
        <f t="shared" si="59"/>
        <v>82.088228811233705</v>
      </c>
      <c r="S196" s="60">
        <f t="shared" si="59"/>
        <v>85.405629982501736</v>
      </c>
      <c r="T196" s="60">
        <f t="shared" si="59"/>
        <v>91.64286574007896</v>
      </c>
      <c r="U196" s="60">
        <f t="shared" si="59"/>
        <v>97.221408255547104</v>
      </c>
      <c r="V196" s="60">
        <f t="shared" si="59"/>
        <v>78.183450240836322</v>
      </c>
    </row>
    <row r="197" spans="3:22" x14ac:dyDescent="0.2">
      <c r="C197" s="88" t="s">
        <v>150</v>
      </c>
      <c r="D197" s="62">
        <f t="shared" ref="D197:V197" si="60">+IFERROR(IF(D158&gt;0,+((D158/D40)*100)," "),"")</f>
        <v>96.770403179155423</v>
      </c>
      <c r="E197" s="62">
        <f t="shared" si="60"/>
        <v>91.577766534121508</v>
      </c>
      <c r="F197" s="62">
        <f t="shared" si="60"/>
        <v>91.606372806803094</v>
      </c>
      <c r="G197" s="62">
        <f t="shared" si="60"/>
        <v>94.3913548364268</v>
      </c>
      <c r="H197" s="62">
        <f t="shared" si="60"/>
        <v>95.328312078975145</v>
      </c>
      <c r="I197" s="62">
        <f t="shared" si="60"/>
        <v>95.603673080763286</v>
      </c>
      <c r="J197" s="62">
        <f t="shared" si="60"/>
        <v>90.562916867173357</v>
      </c>
      <c r="K197" s="62">
        <f t="shared" si="60"/>
        <v>87.060510652522709</v>
      </c>
      <c r="L197" s="62">
        <f t="shared" si="60"/>
        <v>83.361904981088685</v>
      </c>
      <c r="M197" s="62">
        <f t="shared" si="60"/>
        <v>83.964970326790279</v>
      </c>
      <c r="N197" s="62">
        <f t="shared" si="60"/>
        <v>93.188634848833431</v>
      </c>
      <c r="O197" s="62">
        <f t="shared" si="60"/>
        <v>85.185446141331568</v>
      </c>
      <c r="P197" s="62">
        <f t="shared" si="60"/>
        <v>94.734067422673334</v>
      </c>
      <c r="Q197" s="62">
        <f t="shared" si="60"/>
        <v>89.566421337407249</v>
      </c>
      <c r="R197" s="62">
        <f t="shared" si="60"/>
        <v>94.46478376481619</v>
      </c>
      <c r="S197" s="62">
        <f t="shared" si="60"/>
        <v>96.780679953287986</v>
      </c>
      <c r="T197" s="62">
        <f t="shared" si="60"/>
        <v>94.507056957971614</v>
      </c>
      <c r="U197" s="62">
        <f t="shared" si="60"/>
        <v>89.915730773339902</v>
      </c>
      <c r="V197" s="62">
        <f t="shared" si="60"/>
        <v>94.756414835545016</v>
      </c>
    </row>
    <row r="198" spans="3:22" x14ac:dyDescent="0.2">
      <c r="C198" s="87" t="s">
        <v>151</v>
      </c>
      <c r="D198" s="60">
        <f t="shared" ref="D198:V198" si="61">+IFERROR(IF(D159&gt;0,+((D159/D41)*100)," "),"")</f>
        <v>87.625342791752118</v>
      </c>
      <c r="E198" s="60">
        <f t="shared" si="61"/>
        <v>75.181704125230681</v>
      </c>
      <c r="F198" s="60">
        <f t="shared" si="61"/>
        <v>53.033729211189062</v>
      </c>
      <c r="G198" s="60">
        <f t="shared" si="61"/>
        <v>46.777545768732807</v>
      </c>
      <c r="H198" s="60">
        <f t="shared" si="61"/>
        <v>44.089308103061313</v>
      </c>
      <c r="I198" s="60">
        <f t="shared" si="61"/>
        <v>81.710681984632771</v>
      </c>
      <c r="J198" s="60">
        <f t="shared" si="61"/>
        <v>45.280045729505524</v>
      </c>
      <c r="K198" s="60">
        <f t="shared" si="61"/>
        <v>56.292125523129734</v>
      </c>
      <c r="L198" s="60" t="str">
        <f t="shared" si="61"/>
        <v xml:space="preserve"> </v>
      </c>
      <c r="M198" s="60" t="str">
        <f t="shared" si="61"/>
        <v xml:space="preserve"> </v>
      </c>
      <c r="N198" s="60" t="str">
        <f t="shared" si="61"/>
        <v xml:space="preserve"> </v>
      </c>
      <c r="O198" s="60" t="str">
        <f t="shared" si="61"/>
        <v xml:space="preserve"> </v>
      </c>
      <c r="P198" s="60" t="str">
        <f t="shared" si="61"/>
        <v xml:space="preserve"> </v>
      </c>
      <c r="Q198" s="60" t="str">
        <f t="shared" si="61"/>
        <v xml:space="preserve"> </v>
      </c>
      <c r="R198" s="60" t="str">
        <f t="shared" si="61"/>
        <v xml:space="preserve"> </v>
      </c>
      <c r="S198" s="60" t="str">
        <f t="shared" si="61"/>
        <v xml:space="preserve"> </v>
      </c>
      <c r="T198" s="60" t="str">
        <f t="shared" si="61"/>
        <v xml:space="preserve"> </v>
      </c>
      <c r="U198" s="60" t="str">
        <f t="shared" si="61"/>
        <v xml:space="preserve"> </v>
      </c>
      <c r="V198" s="60" t="str">
        <f t="shared" si="61"/>
        <v xml:space="preserve"> </v>
      </c>
    </row>
    <row r="199" spans="3:22" x14ac:dyDescent="0.2">
      <c r="C199" s="91" t="s">
        <v>179</v>
      </c>
      <c r="D199" s="64">
        <f t="shared" ref="D199:V199" si="62">+IFERROR(IF(D160&gt;0,+((D160/D42)*100)," "),"")</f>
        <v>79.449599783721951</v>
      </c>
      <c r="E199" s="64">
        <f t="shared" si="62"/>
        <v>76.580916454809255</v>
      </c>
      <c r="F199" s="64">
        <f t="shared" si="62"/>
        <v>78.743843556625109</v>
      </c>
      <c r="G199" s="64">
        <f t="shared" si="62"/>
        <v>79.671929942762759</v>
      </c>
      <c r="H199" s="64">
        <f t="shared" si="62"/>
        <v>85.655760097843284</v>
      </c>
      <c r="I199" s="64">
        <f t="shared" si="62"/>
        <v>89.429824094994004</v>
      </c>
      <c r="J199" s="64">
        <f t="shared" si="62"/>
        <v>72.401851766921368</v>
      </c>
      <c r="K199" s="64">
        <f t="shared" si="62"/>
        <v>81.290268174868004</v>
      </c>
      <c r="L199" s="64">
        <f t="shared" si="62"/>
        <v>83.24590223848503</v>
      </c>
      <c r="M199" s="64">
        <f t="shared" si="62"/>
        <v>80.224357357469273</v>
      </c>
      <c r="N199" s="64">
        <f t="shared" si="62"/>
        <v>86.272473292677105</v>
      </c>
      <c r="O199" s="64">
        <f t="shared" si="62"/>
        <v>84.137071424134078</v>
      </c>
      <c r="P199" s="64">
        <f t="shared" si="62"/>
        <v>84.440042237713087</v>
      </c>
      <c r="Q199" s="64">
        <f t="shared" si="62"/>
        <v>81.477332740610649</v>
      </c>
      <c r="R199" s="64">
        <f t="shared" si="62"/>
        <v>86.203243971770078</v>
      </c>
      <c r="S199" s="64">
        <f t="shared" si="62"/>
        <v>87.747360332174082</v>
      </c>
      <c r="T199" s="64">
        <f t="shared" si="62"/>
        <v>91.157152643956337</v>
      </c>
      <c r="U199" s="64">
        <f t="shared" si="62"/>
        <v>93.280911719467781</v>
      </c>
      <c r="V199" s="64">
        <f t="shared" si="62"/>
        <v>88.916562374495314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64" t="s">
        <v>199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ht="15.75" customHeight="1" x14ac:dyDescent="0.2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3:22" x14ac:dyDescent="0.2">
      <c r="C206" s="181" t="s">
        <v>120</v>
      </c>
      <c r="D206" s="155">
        <v>2000</v>
      </c>
      <c r="E206" s="155">
        <v>2001</v>
      </c>
      <c r="F206" s="155">
        <v>2002</v>
      </c>
      <c r="G206" s="155">
        <v>2003</v>
      </c>
      <c r="H206" s="155">
        <v>2004</v>
      </c>
      <c r="I206" s="155">
        <v>2005</v>
      </c>
      <c r="J206" s="155">
        <v>2006</v>
      </c>
      <c r="K206" s="155">
        <v>2007</v>
      </c>
      <c r="L206" s="155">
        <v>2008</v>
      </c>
      <c r="M206" s="155">
        <v>2009</v>
      </c>
      <c r="N206" s="155">
        <v>2010</v>
      </c>
      <c r="O206" s="155">
        <v>2011</v>
      </c>
      <c r="P206" s="155">
        <v>2012</v>
      </c>
      <c r="Q206" s="155">
        <v>2013</v>
      </c>
      <c r="R206" s="155">
        <v>2014</v>
      </c>
      <c r="S206" s="155">
        <v>2015</v>
      </c>
      <c r="T206" s="155">
        <v>2016</v>
      </c>
      <c r="U206" s="155">
        <v>2017</v>
      </c>
      <c r="V206" s="155">
        <v>2018</v>
      </c>
    </row>
    <row r="207" spans="3:22" ht="12" customHeight="1" thickBot="1" x14ac:dyDescent="0.25">
      <c r="C207" s="162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</row>
    <row r="208" spans="3:22" x14ac:dyDescent="0.2">
      <c r="C208" s="87" t="s">
        <v>123</v>
      </c>
      <c r="D208" s="56">
        <f>12.6082097435*Deflactores!$A$5</f>
        <v>47.052774287375755</v>
      </c>
      <c r="E208" s="56">
        <f>5.6994505455*Deflactores!$B$5</f>
        <v>19.75866544580504</v>
      </c>
      <c r="F208" s="56">
        <f>9.103078749*Deflactores!$C$5</f>
        <v>29.49594127224734</v>
      </c>
      <c r="G208" s="56">
        <f>6.499478341*Deflactores!$D$5</f>
        <v>19.775983006975622</v>
      </c>
      <c r="H208" s="56">
        <f>3.381176139*Deflactores!$E$5</f>
        <v>9.7518572585331498</v>
      </c>
      <c r="I208" s="56">
        <f>4.126101823*Deflactores!$F$5</f>
        <v>11.349315044398203</v>
      </c>
      <c r="J208" s="56">
        <f>9.080679031*Deflactores!$G$5</f>
        <v>23.906907435308522</v>
      </c>
      <c r="K208" s="56">
        <f>4.089556098*Deflactores!$H$5</f>
        <v>10.186594429673468</v>
      </c>
      <c r="L208" s="56">
        <f>6.144397663*Deflactores!$I$5</f>
        <v>14.214114706409973</v>
      </c>
      <c r="M208" s="56">
        <f>6.134787121*Deflactores!$J$5</f>
        <v>13.913363381055484</v>
      </c>
      <c r="N208" s="56">
        <f>6.193886111*Deflactores!$K$5</f>
        <v>13.61561525820427</v>
      </c>
      <c r="O208" s="56">
        <f>5.80756719420999*Deflactores!$L$5</f>
        <v>12.307725437278391</v>
      </c>
      <c r="P208" s="56">
        <f>6.28947374928*Deflactores!$M$5</f>
        <v>13.011527833034263</v>
      </c>
      <c r="Q208" s="56">
        <f>12.03369684887*Deflactores!$N$5</f>
        <v>24.421280032685996</v>
      </c>
      <c r="R208" s="56">
        <f>14.191024809*Deflactores!$O$5</f>
        <v>27.782537663603808</v>
      </c>
      <c r="S208" s="56">
        <f>11.53214578222*Deflactores!$P$5</f>
        <v>21.145552330947162</v>
      </c>
      <c r="T208" s="56">
        <f>10.17973956555*Deflactores!$Q$5</f>
        <v>17.650832799384752</v>
      </c>
      <c r="U208" s="56">
        <f>7.97963345122*Deflactores!$R$5</f>
        <v>13.292371403182248</v>
      </c>
      <c r="V208" s="56">
        <f>8.64939214389*Deflactores!$S$5</f>
        <v>13.963991928886452</v>
      </c>
    </row>
    <row r="209" spans="3:22" x14ac:dyDescent="0.2">
      <c r="C209" s="88" t="s">
        <v>124</v>
      </c>
      <c r="D209" s="57">
        <f>0*Deflactores!$A$5</f>
        <v>0</v>
      </c>
      <c r="E209" s="57">
        <f>0*Deflactores!$B$5</f>
        <v>0</v>
      </c>
      <c r="F209" s="57">
        <f>0*Deflactores!$C$5</f>
        <v>0</v>
      </c>
      <c r="G209" s="57">
        <f>0*Deflactores!$D$5</f>
        <v>0</v>
      </c>
      <c r="H209" s="57">
        <f>0*Deflactores!$E$5</f>
        <v>0</v>
      </c>
      <c r="I209" s="57">
        <f>0*Deflactores!$F$5</f>
        <v>0</v>
      </c>
      <c r="J209" s="57">
        <f>0*Deflactores!$G$5</f>
        <v>0</v>
      </c>
      <c r="K209" s="57">
        <f>0*Deflactores!$H$5</f>
        <v>0</v>
      </c>
      <c r="L209" s="57">
        <f>0*Deflactores!$I$5</f>
        <v>0</v>
      </c>
      <c r="M209" s="57">
        <f>0*Deflactores!$J$5</f>
        <v>0</v>
      </c>
      <c r="N209" s="57">
        <f>0*Deflactores!$K$5</f>
        <v>0</v>
      </c>
      <c r="O209" s="57">
        <f>0*Deflactores!$L$5</f>
        <v>0</v>
      </c>
      <c r="P209" s="57">
        <f>6.03270861587*Deflactores!$M$5</f>
        <v>12.480337655112075</v>
      </c>
      <c r="Q209" s="57">
        <f>18.2035166180899*Deflactores!$N$5</f>
        <v>36.942361311999605</v>
      </c>
      <c r="R209" s="57">
        <f>19.00120064863*Deflactores!$O$5</f>
        <v>37.199679359270725</v>
      </c>
      <c r="S209" s="57">
        <f>20.301550801*Deflactores!$P$5</f>
        <v>37.225292930635121</v>
      </c>
      <c r="T209" s="57">
        <f>24.515086158*Deflactores!$Q$5</f>
        <v>42.507147069041011</v>
      </c>
      <c r="U209" s="57">
        <f>23.65193715485*Deflactores!$R$5</f>
        <v>39.399094581083162</v>
      </c>
      <c r="V209" s="57">
        <f>29.578129214*Deflactores!$S$5</f>
        <v>47.752344990812269</v>
      </c>
    </row>
    <row r="210" spans="3:22" x14ac:dyDescent="0.2">
      <c r="C210" s="87" t="s">
        <v>125</v>
      </c>
      <c r="D210" s="56">
        <f>1.142020384*Deflactores!$A$5</f>
        <v>4.2619236555480606</v>
      </c>
      <c r="E210" s="56">
        <f>1.450197159*Deflactores!$B$5</f>
        <v>5.0274952412319225</v>
      </c>
      <c r="F210" s="56">
        <f>1.580813496*Deflactores!$C$5</f>
        <v>5.1221771585260845</v>
      </c>
      <c r="G210" s="56">
        <f>1.37947261233999*Deflactores!$D$5</f>
        <v>4.1973256173704838</v>
      </c>
      <c r="H210" s="56">
        <f>1.24617780736*Deflactores!$E$5</f>
        <v>3.5941777643446637</v>
      </c>
      <c r="I210" s="56">
        <f>1.3048335992*Deflactores!$F$5</f>
        <v>3.5890940730758634</v>
      </c>
      <c r="J210" s="56">
        <f>1.620271431*Deflactores!$G$5</f>
        <v>4.2657249517083908</v>
      </c>
      <c r="K210" s="56">
        <f>1.432982987*Deflactores!$H$5</f>
        <v>3.5693889907341836</v>
      </c>
      <c r="L210" s="56">
        <f>2.33281676875*Deflactores!$I$5</f>
        <v>5.3966111828542243</v>
      </c>
      <c r="M210" s="56">
        <f>2.34608966398*Deflactores!$J$5</f>
        <v>5.3208037012001963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126</v>
      </c>
      <c r="D211" s="57">
        <f>34.50924641438*Deflactores!$A$5</f>
        <v>128.78559410072947</v>
      </c>
      <c r="E211" s="57">
        <f>33.423653107*Deflactores!$B$5</f>
        <v>115.87200809019724</v>
      </c>
      <c r="F211" s="57">
        <f>35.82978882*Deflactores!$C$5</f>
        <v>116.09625446202369</v>
      </c>
      <c r="G211" s="57">
        <f>35.938030937*Deflactores!$D$5</f>
        <v>109.34875875052573</v>
      </c>
      <c r="H211" s="57">
        <f>36.473777768*Deflactores!$E$5</f>
        <v>105.19625711607915</v>
      </c>
      <c r="I211" s="57">
        <f>43.440416327*Deflactores!$F$5</f>
        <v>119.4878342087251</v>
      </c>
      <c r="J211" s="57">
        <f>46.325863879*Deflactores!$G$5</f>
        <v>121.96314128437952</v>
      </c>
      <c r="K211" s="57">
        <f>51.412360131*Deflactores!$H$5</f>
        <v>128.06203137375593</v>
      </c>
      <c r="L211" s="57">
        <f>76.5782394062*Deflactores!$I$5</f>
        <v>177.15192580865531</v>
      </c>
      <c r="M211" s="57">
        <f>83.87282128425*Deflactores!$J$5</f>
        <v>190.21899493912284</v>
      </c>
      <c r="N211" s="57">
        <f>92.75336969705*Deflactores!$K$5</f>
        <v>203.89367403029661</v>
      </c>
      <c r="O211" s="57">
        <f>86.6944450143299*Deflactores!$L$5</f>
        <v>183.72777972115185</v>
      </c>
      <c r="P211" s="57">
        <f>119.35233845626*Deflactores!$M$5</f>
        <v>246.91354724854847</v>
      </c>
      <c r="Q211" s="57">
        <f>138.95179852356*Deflactores!$N$5</f>
        <v>281.98988435610062</v>
      </c>
      <c r="R211" s="57">
        <f>157.79805960078*Deflactores!$O$5</f>
        <v>308.92980550086139</v>
      </c>
      <c r="S211" s="57">
        <f>166.72101500427*Deflactores!$P$5</f>
        <v>305.70268656131725</v>
      </c>
      <c r="T211" s="57">
        <f>175.95718118851*Deflactores!$Q$5</f>
        <v>305.0953086776376</v>
      </c>
      <c r="U211" s="57">
        <f>180.78444063622*Deflactores!$R$5</f>
        <v>301.14841033027506</v>
      </c>
      <c r="V211" s="57">
        <f>187.347886535229*Deflactores!$S$5</f>
        <v>302.46337915432866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0*Deflactores!$F$5</f>
        <v>0</v>
      </c>
      <c r="J212" s="56">
        <f>0*Deflactores!$G$5</f>
        <v>0</v>
      </c>
      <c r="K212" s="56">
        <f>0*Deflactores!$H$5</f>
        <v>0</v>
      </c>
      <c r="L212" s="56">
        <f>0*Deflactores!$I$5</f>
        <v>0</v>
      </c>
      <c r="M212" s="56">
        <f>0*Deflactores!$J$5</f>
        <v>0</v>
      </c>
      <c r="N212" s="56">
        <f>0*Deflactores!$K$5</f>
        <v>0</v>
      </c>
      <c r="O212" s="56">
        <f>0*Deflactores!$L$5</f>
        <v>0</v>
      </c>
      <c r="P212" s="56">
        <f>0*Deflactores!$M$5</f>
        <v>0</v>
      </c>
      <c r="Q212" s="56">
        <f>0*Deflactores!$N$5</f>
        <v>0</v>
      </c>
      <c r="R212" s="56">
        <f>0*Deflactores!$O$5</f>
        <v>0</v>
      </c>
      <c r="S212" s="56">
        <f>0*Deflactores!$P$5</f>
        <v>0</v>
      </c>
      <c r="T212" s="56">
        <f>0*Deflactores!$Q$5</f>
        <v>0</v>
      </c>
      <c r="U212" s="56">
        <f>0*Deflactores!$R$5</f>
        <v>0</v>
      </c>
      <c r="V212" s="56">
        <f>0*Deflactores!$S$5</f>
        <v>0</v>
      </c>
    </row>
    <row r="213" spans="3:22" x14ac:dyDescent="0.2">
      <c r="C213" s="88" t="s">
        <v>128</v>
      </c>
      <c r="D213" s="57">
        <f>0.50575862*Deflactores!$A$5</f>
        <v>1.8874484700750687</v>
      </c>
      <c r="E213" s="57">
        <f>0.56435017131*Deflactores!$B$5</f>
        <v>1.9564703895888993</v>
      </c>
      <c r="F213" s="57">
        <f>0.437075431*Deflactores!$C$5</f>
        <v>1.4162187980340624</v>
      </c>
      <c r="G213" s="57">
        <f>0.30070527*Deflactores!$D$5</f>
        <v>0.91495686232459383</v>
      </c>
      <c r="H213" s="57">
        <f>0.3700221456*Deflactores!$E$5</f>
        <v>1.067203540438616</v>
      </c>
      <c r="I213" s="57">
        <f>0.456210892*Deflactores!$F$5</f>
        <v>1.254860243906764</v>
      </c>
      <c r="J213" s="57">
        <f>0.594173916*Deflactores!$G$5</f>
        <v>1.5642950006044301</v>
      </c>
      <c r="K213" s="57">
        <f>1.296826896*Deflactores!$H$5</f>
        <v>3.2302404756117209</v>
      </c>
      <c r="L213" s="57">
        <f>1.49617337*Deflactores!$I$5</f>
        <v>3.4611659381877424</v>
      </c>
      <c r="M213" s="57">
        <f>1.89512047*Deflactores!$J$5</f>
        <v>4.2980301076345464</v>
      </c>
      <c r="N213" s="57">
        <f>1.84380936*Deflactores!$K$5</f>
        <v>4.0531256799590594</v>
      </c>
      <c r="O213" s="57">
        <f>1.81237722*Deflactores!$L$5</f>
        <v>3.8408924884720577</v>
      </c>
      <c r="P213" s="57">
        <f>2.01278819251*Deflactores!$M$5</f>
        <v>4.164012862259689</v>
      </c>
      <c r="Q213" s="57">
        <f>2.42431394014*Deflactores!$N$5</f>
        <v>4.9199219793261459</v>
      </c>
      <c r="R213" s="57">
        <f>2.8592637408*Deflactores!$O$5</f>
        <v>5.5977354446292766</v>
      </c>
      <c r="S213" s="57">
        <f>2.38869962088*Deflactores!$P$5</f>
        <v>4.3799630866709496</v>
      </c>
      <c r="T213" s="57">
        <f>2.93212989186*Deflactores!$Q$5</f>
        <v>5.0840725476362136</v>
      </c>
      <c r="U213" s="57">
        <f>3.71425983083*Deflactores!$R$5</f>
        <v>6.1871665485793566</v>
      </c>
      <c r="V213" s="57">
        <f>3.03159534269999*Deflactores!$S$5</f>
        <v>4.8943523652141172</v>
      </c>
    </row>
    <row r="214" spans="3:22" x14ac:dyDescent="0.2">
      <c r="C214" s="87" t="s">
        <v>129</v>
      </c>
      <c r="D214" s="56">
        <f>467.44202626371*Deflactores!$A$5</f>
        <v>1744.4541772124999</v>
      </c>
      <c r="E214" s="56">
        <f>604.7744822923*Deflactores!$B$5</f>
        <v>2096.6120453853669</v>
      </c>
      <c r="F214" s="56">
        <f>643.93354957902*Deflactores!$C$5</f>
        <v>2086.4837804131957</v>
      </c>
      <c r="G214" s="56">
        <f>765.05560261443*Deflactores!$D$5</f>
        <v>2327.8370667462864</v>
      </c>
      <c r="H214" s="56">
        <f>788.68645471203*Deflactores!$E$5</f>
        <v>2274.6989248436448</v>
      </c>
      <c r="I214" s="56">
        <f>904.74869904569*Deflactores!$F$5</f>
        <v>2488.6147899309735</v>
      </c>
      <c r="J214" s="56">
        <f>718.497046467749*Deflactores!$G$5</f>
        <v>1891.6032957235177</v>
      </c>
      <c r="K214" s="56">
        <f>949.249635101549*Deflactores!$H$5</f>
        <v>2364.4671484085875</v>
      </c>
      <c r="L214" s="56">
        <f>1036.83449187328*Deflactores!$I$5</f>
        <v>2398.5564098163254</v>
      </c>
      <c r="M214" s="56">
        <f>1237.69709224681*Deflactores!$J$5</f>
        <v>2807.0296589686045</v>
      </c>
      <c r="N214" s="56">
        <f>1468.42746233246*Deflactores!$K$5</f>
        <v>3227.9481739569906</v>
      </c>
      <c r="O214" s="56">
        <f>1435.37607462864*Deflactores!$L$5</f>
        <v>3041.9303014488623</v>
      </c>
      <c r="P214" s="56">
        <f>1487.43401062475*Deflactores!$M$5</f>
        <v>3077.1714455857741</v>
      </c>
      <c r="Q214" s="56">
        <f>1550.84508257122*Deflactores!$N$5</f>
        <v>3147.2973371721801</v>
      </c>
      <c r="R214" s="56">
        <f>1555.79008900623*Deflactores!$O$5</f>
        <v>3045.8544979122589</v>
      </c>
      <c r="S214" s="56">
        <f>1689.99746255371*Deflactores!$P$5</f>
        <v>3098.8100964431296</v>
      </c>
      <c r="T214" s="56">
        <f>1851.71456493836*Deflactores!$Q$5</f>
        <v>3210.7210570024613</v>
      </c>
      <c r="U214" s="56">
        <f>1888.51246366402*Deflactores!$R$5</f>
        <v>3145.8599220147044</v>
      </c>
      <c r="V214" s="56">
        <f>1679.42034290053*Deflactores!$S$5</f>
        <v>2711.3364411436687</v>
      </c>
    </row>
    <row r="215" spans="3:22" x14ac:dyDescent="0.2">
      <c r="C215" s="88" t="s">
        <v>130</v>
      </c>
      <c r="D215" s="57">
        <f>0.989630488*Deflactores!$A$5</f>
        <v>3.6932174295224933</v>
      </c>
      <c r="E215" s="57">
        <f>0.83378949585*Deflactores!$B$5</f>
        <v>2.8905536716577158</v>
      </c>
      <c r="F215" s="57">
        <f>1.54010826742*Deflactores!$C$5</f>
        <v>4.9902834262213984</v>
      </c>
      <c r="G215" s="57">
        <f>0.983742357059999*Deflactores!$D$5</f>
        <v>2.9932359361424457</v>
      </c>
      <c r="H215" s="57">
        <f>1.48043865177*Deflactores!$E$5</f>
        <v>4.2698238182723385</v>
      </c>
      <c r="I215" s="57">
        <f>1.694636206*Deflactores!$F$5</f>
        <v>4.6612907321695278</v>
      </c>
      <c r="J215" s="57">
        <f>3.02920409623*Deflactores!$G$5</f>
        <v>7.9750535927986608</v>
      </c>
      <c r="K215" s="57">
        <f>3.1189435935*Deflactores!$H$5</f>
        <v>7.7689149322467248</v>
      </c>
      <c r="L215" s="57">
        <f>3.44737295337*Deflactores!$I$5</f>
        <v>7.9749647211231443</v>
      </c>
      <c r="M215" s="57">
        <f>3.3488631271*Deflactores!$J$5</f>
        <v>7.5950393521014403</v>
      </c>
      <c r="N215" s="57">
        <f>3.07297644742*Deflactores!$K$5</f>
        <v>6.7551234000392322</v>
      </c>
      <c r="O215" s="57">
        <f>2.08930841197*Deflactores!$L$5</f>
        <v>4.4277807605841879</v>
      </c>
      <c r="P215" s="57">
        <f>0*Deflactores!$M$5</f>
        <v>0</v>
      </c>
      <c r="Q215" s="57">
        <f>0*Deflactores!$N$5</f>
        <v>0</v>
      </c>
      <c r="R215" s="57">
        <f>0*Deflactores!$O$5</f>
        <v>0</v>
      </c>
      <c r="S215" s="57">
        <f>0*Deflactores!$P$5</f>
        <v>0</v>
      </c>
      <c r="T215" s="57">
        <f>0*Deflactores!$Q$5</f>
        <v>0</v>
      </c>
      <c r="U215" s="57">
        <f>0*Deflactores!$R$5</f>
        <v>0</v>
      </c>
      <c r="V215" s="57">
        <f>0*Deflactores!$S$5</f>
        <v>0</v>
      </c>
    </row>
    <row r="216" spans="3:22" x14ac:dyDescent="0.2">
      <c r="C216" s="87" t="s">
        <v>131</v>
      </c>
      <c r="D216" s="56">
        <f>49.68585955566*Deflactores!$A$5</f>
        <v>185.42343302561051</v>
      </c>
      <c r="E216" s="56">
        <f>52.48823874357*Deflactores!$B$5</f>
        <v>181.96447901325891</v>
      </c>
      <c r="F216" s="56">
        <f>58.84999644459*Deflactores!$C$5</f>
        <v>190.6866991777126</v>
      </c>
      <c r="G216" s="56">
        <f>60.52754329027*Deflactores!$D$5</f>
        <v>184.16734463310689</v>
      </c>
      <c r="H216" s="56">
        <f>70.79079810713*Deflactores!$E$5</f>
        <v>204.17207799252438</v>
      </c>
      <c r="I216" s="56">
        <f>45.91322633855*Deflactores!$F$5</f>
        <v>126.28958100750324</v>
      </c>
      <c r="J216" s="56">
        <f>66.6796259750599*Deflactores!$G$5</f>
        <v>175.54894744817358</v>
      </c>
      <c r="K216" s="56">
        <f>42.1491944836999*Deflactores!$H$5</f>
        <v>104.98859520544498</v>
      </c>
      <c r="L216" s="56">
        <f>27.26696899589*Deflactores!$I$5</f>
        <v>63.077920125122738</v>
      </c>
      <c r="M216" s="56">
        <f>29.6609502162*Deflactores!$J$5</f>
        <v>67.269421162590788</v>
      </c>
      <c r="N216" s="56">
        <f>7.29869181578*Deflactores!$K$5</f>
        <v>16.044237474011375</v>
      </c>
      <c r="O216" s="56">
        <f>5.66976045124*Deflactores!$L$5</f>
        <v>12.015677579860368</v>
      </c>
      <c r="P216" s="56">
        <f>8.84448758266*Deflactores!$M$5</f>
        <v>18.297285422946644</v>
      </c>
      <c r="Q216" s="56">
        <f>8.39705543843*Deflactores!$N$5</f>
        <v>17.041051049174829</v>
      </c>
      <c r="R216" s="56">
        <f>11.14250181288*Deflactores!$O$5</f>
        <v>21.81427912709897</v>
      </c>
      <c r="S216" s="56">
        <f>10.0504867117299*Deflactores!$P$5</f>
        <v>18.428755300859699</v>
      </c>
      <c r="T216" s="56">
        <f>11.9507252883499*Deflactores!$Q$5</f>
        <v>20.721576670772752</v>
      </c>
      <c r="U216" s="56">
        <f>11.05721038262*Deflactores!$R$5</f>
        <v>18.418959716305864</v>
      </c>
      <c r="V216" s="56">
        <f>11.8052603547599*Deflactores!$S$5</f>
        <v>19.05897634999944</v>
      </c>
    </row>
    <row r="217" spans="3:22" x14ac:dyDescent="0.2">
      <c r="C217" s="88" t="s">
        <v>132</v>
      </c>
      <c r="D217" s="57">
        <f>19.6132986696*Deflactores!$A$5</f>
        <v>73.195174739803534</v>
      </c>
      <c r="E217" s="57">
        <f>19.14075995399*Deflactores!$B$5</f>
        <v>66.356549511242875</v>
      </c>
      <c r="F217" s="57">
        <f>23.30623954141*Deflactores!$C$5</f>
        <v>75.51724990469576</v>
      </c>
      <c r="G217" s="57">
        <f>24.0441809363299*Deflactores!$D$5</f>
        <v>73.159304280464454</v>
      </c>
      <c r="H217" s="57">
        <f>23.3487703042699*Deflactores!$E$5</f>
        <v>67.341618954184185</v>
      </c>
      <c r="I217" s="57">
        <f>23.78670927328*Deflactores!$F$5</f>
        <v>65.428064791595176</v>
      </c>
      <c r="J217" s="57">
        <f>30.18958552318*Deflactores!$G$5</f>
        <v>79.480799194541461</v>
      </c>
      <c r="K217" s="57">
        <f>32.54820599553*Deflactores!$H$5</f>
        <v>81.073682801925074</v>
      </c>
      <c r="L217" s="57">
        <f>33.34835557517*Deflactores!$I$5</f>
        <v>77.146268424328184</v>
      </c>
      <c r="M217" s="57">
        <f>31.0637797348499*Deflactores!$J$5</f>
        <v>70.450962179366229</v>
      </c>
      <c r="N217" s="57">
        <f>32.60986443218*Deflactores!$K$5</f>
        <v>71.684134931418441</v>
      </c>
      <c r="O217" s="57">
        <f>30.82219993171*Deflactores!$L$5</f>
        <v>65.320152388523681</v>
      </c>
      <c r="P217" s="57">
        <f>33.81395881538*Deflactores!$M$5</f>
        <v>69.953589729467865</v>
      </c>
      <c r="Q217" s="57">
        <f>36.76324356908*Deflactores!$N$5</f>
        <v>74.607618704858083</v>
      </c>
      <c r="R217" s="57">
        <f>39.9176258071299*Deflactores!$O$5</f>
        <v>78.148897444312112</v>
      </c>
      <c r="S217" s="57">
        <f>41.13587161388*Deflactores!$P$5</f>
        <v>75.427482648677923</v>
      </c>
      <c r="T217" s="57">
        <f>44.8384191343399*Deflactores!$Q$5</f>
        <v>77.746138202525543</v>
      </c>
      <c r="U217" s="57">
        <f>45.9804248912299*Deflactores!$R$5</f>
        <v>76.593604037903447</v>
      </c>
      <c r="V217" s="57">
        <f>50.9001707147799*Deflactores!$S$5</f>
        <v>82.17566751696215</v>
      </c>
    </row>
    <row r="218" spans="3:22" x14ac:dyDescent="0.2">
      <c r="C218" s="87" t="s">
        <v>133</v>
      </c>
      <c r="D218" s="56">
        <f>0.11023688475*Deflactores!$A$5</f>
        <v>0.41139474689967548</v>
      </c>
      <c r="E218" s="56">
        <f>0.109448148*Deflactores!$B$5</f>
        <v>0.37943119652163593</v>
      </c>
      <c r="F218" s="56">
        <f>0.2248409222*Deflactores!$C$5</f>
        <v>0.72853315012106934</v>
      </c>
      <c r="G218" s="56">
        <f>0.0488681294799999*Deflactores!$D$5</f>
        <v>0.14869120989031118</v>
      </c>
      <c r="H218" s="56">
        <f>0.21256479943*Deflactores!$E$5</f>
        <v>0.6130711613394858</v>
      </c>
      <c r="I218" s="56">
        <f>0.1591493854*Deflactores!$F$5</f>
        <v>0.43775858946536422</v>
      </c>
      <c r="J218" s="56">
        <f>0.173017925599999*Deflactores!$G$5</f>
        <v>0.45550817486748724</v>
      </c>
      <c r="K218" s="56">
        <f>0.43943893938*Deflactores!$H$5</f>
        <v>1.0945897659306114</v>
      </c>
      <c r="L218" s="56">
        <f>0.092154046*Deflactores!$I$5</f>
        <v>0.21318414795832544</v>
      </c>
      <c r="M218" s="56">
        <f>0.135209484*Deflactores!$J$5</f>
        <v>0.30664775262003868</v>
      </c>
      <c r="N218" s="56">
        <f>0.098582883*Deflactores!$K$5</f>
        <v>0.21670831234510024</v>
      </c>
      <c r="O218" s="56">
        <f>0.283499635*Deflactores!$L$5</f>
        <v>0.60080848872955395</v>
      </c>
      <c r="P218" s="56">
        <f>0.317228090779999*Deflactores!$M$5</f>
        <v>0.65627464190891871</v>
      </c>
      <c r="Q218" s="56">
        <f>0.15923612012*Deflactores!$N$5</f>
        <v>0.32315504783005317</v>
      </c>
      <c r="R218" s="56">
        <f>0.17737333378*Deflactores!$O$5</f>
        <v>0.34725337969506892</v>
      </c>
      <c r="S218" s="56">
        <f>0.74580149316*Deflactores!$P$5</f>
        <v>1.3675151875401828</v>
      </c>
      <c r="T218" s="56">
        <f>0.98598614302*Deflactores!$Q$5</f>
        <v>1.709619036999007</v>
      </c>
      <c r="U218" s="56">
        <f>1.127453427*Deflactores!$R$5</f>
        <v>1.8780975069955559</v>
      </c>
      <c r="V218" s="56">
        <f>2.20701456291*Deflactores!$S$5</f>
        <v>3.5631097573926862</v>
      </c>
    </row>
    <row r="219" spans="3:22" x14ac:dyDescent="0.2">
      <c r="C219" s="88" t="s">
        <v>134</v>
      </c>
      <c r="D219" s="57">
        <f>79.9160354450899*Deflactores!$A$5</f>
        <v>298.23989719700654</v>
      </c>
      <c r="E219" s="57">
        <f>92.1360217102*Deflactores!$B$5</f>
        <v>319.41409333161681</v>
      </c>
      <c r="F219" s="57">
        <f>99.69981202314*Deflactores!$C$5</f>
        <v>323.04892458627643</v>
      </c>
      <c r="G219" s="57">
        <f>89.11250620003*Deflactores!$D$5</f>
        <v>271.14290037770326</v>
      </c>
      <c r="H219" s="57">
        <f>100.495015813179*Deflactores!$E$5</f>
        <v>289.84383218024158</v>
      </c>
      <c r="I219" s="57">
        <f>95.59790637858*Deflactores!$F$5</f>
        <v>262.9529768333565</v>
      </c>
      <c r="J219" s="57">
        <f>106.899505513219*Deflactores!$G$5</f>
        <v>281.43672675360961</v>
      </c>
      <c r="K219" s="57">
        <f>122.88818469346*Deflactores!$H$5</f>
        <v>306.09974962399548</v>
      </c>
      <c r="L219" s="57">
        <f>130.00370759976*Deflactores!$I$5</f>
        <v>300.74349243524381</v>
      </c>
      <c r="M219" s="57">
        <f>139.642243668559*Deflactores!$J$5</f>
        <v>316.70101035060117</v>
      </c>
      <c r="N219" s="57">
        <f>146.56634292729*Deflactores!$K$5</f>
        <v>322.18721806265535</v>
      </c>
      <c r="O219" s="57">
        <f>154.15239543219*Deflactores!$L$5</f>
        <v>326.68849021147645</v>
      </c>
      <c r="P219" s="57">
        <f>144.77502252751*Deflactores!$M$5</f>
        <v>299.50744851435371</v>
      </c>
      <c r="Q219" s="57">
        <f>150.79621866457*Deflactores!$N$5</f>
        <v>306.02704473342504</v>
      </c>
      <c r="R219" s="57">
        <f>136.23438349185*Deflactores!$O$5</f>
        <v>266.71342918375751</v>
      </c>
      <c r="S219" s="57">
        <f>140.13023866428*Deflactores!$P$5</f>
        <v>256.94535525141697</v>
      </c>
      <c r="T219" s="57">
        <f>144.75386870806*Deflactores!$Q$5</f>
        <v>250.99132617073141</v>
      </c>
      <c r="U219" s="57">
        <f>152.51290151378*Deflactores!$R$5</f>
        <v>254.05404184175578</v>
      </c>
      <c r="V219" s="57">
        <f>171.64475958478*Deflactores!$S$5</f>
        <v>277.11150073946811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113.88445927903*Deflactores!$A$5</f>
        <v>425.00718708764987</v>
      </c>
      <c r="E221" s="57">
        <f>125.20553268788*Deflactores!$B$5</f>
        <v>434.05837327545373</v>
      </c>
      <c r="F221" s="57">
        <f>131.91191890473*Deflactores!$C$5</f>
        <v>427.42310820400104</v>
      </c>
      <c r="G221" s="57">
        <f>129.18089112529*Deflactores!$D$5</f>
        <v>393.05910008258354</v>
      </c>
      <c r="H221" s="57">
        <f>130.961650268149*Deflactores!$E$5</f>
        <v>377.71451922485261</v>
      </c>
      <c r="I221" s="57">
        <f>133.68393769252*Deflactores!$F$5</f>
        <v>367.71296258146396</v>
      </c>
      <c r="J221" s="57">
        <f>139.83944531141*Deflactores!$G$5</f>
        <v>368.15844535985195</v>
      </c>
      <c r="K221" s="57">
        <f>149.64844428798*Deflactores!$H$5</f>
        <v>372.75635116944602</v>
      </c>
      <c r="L221" s="57">
        <f>187.01965777983*Deflactores!$I$5</f>
        <v>432.64108442130328</v>
      </c>
      <c r="M221" s="57">
        <f>219.13666398*Deflactores!$J$5</f>
        <v>496.99003012332764</v>
      </c>
      <c r="N221" s="57">
        <f>239.57538406994*Deflactores!$K$5</f>
        <v>526.64291793156326</v>
      </c>
      <c r="O221" s="57">
        <f>178.27370357667*Deflactores!$L$5</f>
        <v>377.80773307210626</v>
      </c>
      <c r="P221" s="57">
        <f>253.658750477719*Deflactores!$M$5</f>
        <v>524.76375981557499</v>
      </c>
      <c r="Q221" s="57">
        <f>282.71044608271*Deflactores!$N$5</f>
        <v>573.73482635136827</v>
      </c>
      <c r="R221" s="57">
        <f>303.00007117735*Deflactores!$O$5</f>
        <v>593.19964575219149</v>
      </c>
      <c r="S221" s="57">
        <f>314.528355226*Deflactores!$P$5</f>
        <v>576.72491491152402</v>
      </c>
      <c r="T221" s="57">
        <f>348.55094492572*Deflactores!$Q$5</f>
        <v>604.3587275819516</v>
      </c>
      <c r="U221" s="57">
        <f>388.68512879075*Deflactores!$R$5</f>
        <v>647.46671916245293</v>
      </c>
      <c r="V221" s="57">
        <f>548.51459210751*Deflactores!$S$5</f>
        <v>885.5481645003706</v>
      </c>
    </row>
    <row r="222" spans="3:22" x14ac:dyDescent="0.2">
      <c r="C222" s="87" t="s">
        <v>137</v>
      </c>
      <c r="D222" s="56">
        <f>4.32719042338*Deflactores!$A$5</f>
        <v>16.148709327647385</v>
      </c>
      <c r="E222" s="56">
        <f>4.41397300131*Deflactores!$B$5</f>
        <v>15.302214682529389</v>
      </c>
      <c r="F222" s="56">
        <f>4.72732939017*Deflactores!$C$5</f>
        <v>15.317568254843533</v>
      </c>
      <c r="G222" s="56">
        <f>4.35309191942*Deflactores!$D$5</f>
        <v>13.245166351767185</v>
      </c>
      <c r="H222" s="56">
        <f>4.83561542547999*Deflactores!$E$5</f>
        <v>13.946694714457733</v>
      </c>
      <c r="I222" s="56">
        <f>4.8255488529*Deflactores!$F$5</f>
        <v>13.273224109112457</v>
      </c>
      <c r="J222" s="56">
        <f>5.13966661814*Deflactores!$G$5</f>
        <v>13.531315628351951</v>
      </c>
      <c r="K222" s="56">
        <f>5.54355744935999*Deflactores!$H$5</f>
        <v>13.808337648636732</v>
      </c>
      <c r="L222" s="56">
        <f>5.45643915872*Deflactores!$I$5</f>
        <v>12.622628993828066</v>
      </c>
      <c r="M222" s="56">
        <f>6.14778380220999*Deflactores!$J$5</f>
        <v>13.942839146857258</v>
      </c>
      <c r="N222" s="56">
        <f>6.47718154230999*Deflactores!$K$5</f>
        <v>14.238365100225678</v>
      </c>
      <c r="O222" s="56">
        <f>6.65450745214*Deflactores!$L$5</f>
        <v>14.102609216974079</v>
      </c>
      <c r="P222" s="56">
        <f>5.76585045261*Deflactores!$M$5</f>
        <v>11.928267234414735</v>
      </c>
      <c r="Q222" s="56">
        <f>4.50394190487*Deflactores!$N$5</f>
        <v>9.1403355004832161</v>
      </c>
      <c r="R222" s="56">
        <f>6.5366395896*Deflactores!$O$5</f>
        <v>12.797133261037747</v>
      </c>
      <c r="S222" s="56">
        <f>4.1461670507*Deflactores!$P$5</f>
        <v>7.6024873426936654</v>
      </c>
      <c r="T222" s="56">
        <f>3.35292102964*Deflactores!$Q$5</f>
        <v>5.8136898397674361</v>
      </c>
      <c r="U222" s="56">
        <f>3.50324981675*Deflactores!$R$5</f>
        <v>5.8356687643655656</v>
      </c>
      <c r="V222" s="56">
        <f>3.20113486482999*Deflactores!$S$5</f>
        <v>5.1680650700222772</v>
      </c>
    </row>
    <row r="223" spans="3:22" x14ac:dyDescent="0.2">
      <c r="C223" s="88" t="s">
        <v>138</v>
      </c>
      <c r="D223" s="57">
        <f>9.14765210991*Deflactores!$A$5</f>
        <v>34.138265363877736</v>
      </c>
      <c r="E223" s="57">
        <f>10.46735626378*Deflactores!$B$5</f>
        <v>36.28788229093</v>
      </c>
      <c r="F223" s="57">
        <f>11.81232658489*Deflactores!$C$5</f>
        <v>38.274489416538984</v>
      </c>
      <c r="G223" s="57">
        <f>10.07290727452*Deflactores!$D$5</f>
        <v>30.648866361342439</v>
      </c>
      <c r="H223" s="57">
        <f>23.05132606584*Deflactores!$E$5</f>
        <v>66.483741802478221</v>
      </c>
      <c r="I223" s="57">
        <f>12.2586326969799*Deflactores!$F$5</f>
        <v>33.718771484516921</v>
      </c>
      <c r="J223" s="57">
        <f>18.02747696714*Deflactores!$G$5</f>
        <v>47.461343108182845</v>
      </c>
      <c r="K223" s="57">
        <f>26.5530356990899*Deflactores!$H$5</f>
        <v>66.140431641358532</v>
      </c>
      <c r="L223" s="57">
        <f>36.97247406045*Deflactores!$I$5</f>
        <v>85.530106626987617</v>
      </c>
      <c r="M223" s="57">
        <f>34.01290374117*Deflactores!$J$5</f>
        <v>77.13941495636125</v>
      </c>
      <c r="N223" s="57">
        <f>33.40501669123*Deflactores!$K$5</f>
        <v>73.432066203788736</v>
      </c>
      <c r="O223" s="57">
        <f>24.36573035028*Deflactores!$L$5</f>
        <v>51.637236247388991</v>
      </c>
      <c r="P223" s="57">
        <f>15.6600304078699*Deflactores!$M$5</f>
        <v>32.397133630057375</v>
      </c>
      <c r="Q223" s="57">
        <f>18.6531412231899*Deflactores!$N$5</f>
        <v>37.854833059346639</v>
      </c>
      <c r="R223" s="57">
        <f>43.64793996951*Deflactores!$O$5</f>
        <v>85.451935463643338</v>
      </c>
      <c r="S223" s="57">
        <f>0*Deflactores!$P$5</f>
        <v>0</v>
      </c>
      <c r="T223" s="57">
        <f>0*Deflactores!$Q$5</f>
        <v>0</v>
      </c>
      <c r="U223" s="57">
        <f>0*Deflactores!$R$5</f>
        <v>0</v>
      </c>
      <c r="V223" s="57">
        <f>0*Deflactores!$S$5</f>
        <v>0</v>
      </c>
    </row>
    <row r="224" spans="3:22" x14ac:dyDescent="0.2">
      <c r="C224" s="87" t="s">
        <v>139</v>
      </c>
      <c r="D224" s="56">
        <f>101.0040160649*Deflactores!$A$5</f>
        <v>376.93846047178226</v>
      </c>
      <c r="E224" s="56">
        <f>101.54874720031*Deflactores!$B$5</f>
        <v>352.04581675961072</v>
      </c>
      <c r="F224" s="56">
        <f>89.46913587249*Deflactores!$C$5</f>
        <v>289.89932418892698</v>
      </c>
      <c r="G224" s="56">
        <f>92.72976635554*Deflactores!$D$5</f>
        <v>282.14914912784053</v>
      </c>
      <c r="H224" s="56">
        <f>100.63384246076*Deflactores!$E$5</f>
        <v>290.24423062008475</v>
      </c>
      <c r="I224" s="56">
        <f>108.57204692775*Deflactores!$F$5</f>
        <v>298.63983451147629</v>
      </c>
      <c r="J224" s="56">
        <f>140.95876118233*Deflactores!$G$5</f>
        <v>371.10529336820065</v>
      </c>
      <c r="K224" s="56">
        <f>141.71845052634*Deflactores!$H$5</f>
        <v>353.00368649291238</v>
      </c>
      <c r="L224" s="56">
        <f>154.18068720947*Deflactores!$I$5</f>
        <v>356.67319950748498</v>
      </c>
      <c r="M224" s="56">
        <f>265.71613046435*Deflactores!$J$5</f>
        <v>602.62972560257629</v>
      </c>
      <c r="N224" s="56">
        <f>265.113801744659*Deflactores!$K$5</f>
        <v>582.78235335721047</v>
      </c>
      <c r="O224" s="56">
        <f>432.184207154239*Deflactores!$L$5</f>
        <v>915.90925805995755</v>
      </c>
      <c r="P224" s="56">
        <f>436.97529158026*Deflactores!$M$5</f>
        <v>904.00507187039284</v>
      </c>
      <c r="Q224" s="56">
        <f>606.00493753843*Deflactores!$N$5</f>
        <v>1229.8312369574189</v>
      </c>
      <c r="R224" s="56">
        <f>478.05756633181*Deflactores!$O$5</f>
        <v>935.91918277537036</v>
      </c>
      <c r="S224" s="56">
        <f>401.06530819554*Deflactores!$P$5</f>
        <v>735.4006463958915</v>
      </c>
      <c r="T224" s="56">
        <f>439.958477991419*Deflactores!$Q$5</f>
        <v>762.85188670038087</v>
      </c>
      <c r="U224" s="56">
        <f>394.71175610716*Deflactores!$R$5</f>
        <v>657.50579791061739</v>
      </c>
      <c r="V224" s="56">
        <f>407.551479611999*Deflactores!$S$5</f>
        <v>657.97058073357061</v>
      </c>
    </row>
    <row r="225" spans="2:22" x14ac:dyDescent="0.2">
      <c r="C225" s="88" t="s">
        <v>140</v>
      </c>
      <c r="D225" s="57">
        <f>9.14788739097*Deflactores!$A$5</f>
        <v>34.139143412929542</v>
      </c>
      <c r="E225" s="57">
        <f>3.30876914995*Deflactores!$B$5</f>
        <v>11.470730757174664</v>
      </c>
      <c r="F225" s="57">
        <f>6.28558981750999*Deflactores!$C$5</f>
        <v>20.366668599794021</v>
      </c>
      <c r="G225" s="57">
        <f>6.07553758341*Deflactores!$D$5</f>
        <v>18.486057142437041</v>
      </c>
      <c r="H225" s="57">
        <f>1875.45905381793*Deflactores!$E$5</f>
        <v>5409.1263617118802</v>
      </c>
      <c r="I225" s="57">
        <f>2024.92842263116*Deflactores!$F$5</f>
        <v>5569.7972557759022</v>
      </c>
      <c r="J225" s="57">
        <f>66.20080437893*Deflactores!$G$5</f>
        <v>174.2883430883426</v>
      </c>
      <c r="K225" s="57">
        <f>50.16433814383*Deflactores!$H$5</f>
        <v>124.95335808062437</v>
      </c>
      <c r="L225" s="57">
        <f>60.01830363774*Deflactores!$I$5</f>
        <v>138.84307285776325</v>
      </c>
      <c r="M225" s="57">
        <f>59.5657534531999*Deflactores!$J$5</f>
        <v>135.09188770769262</v>
      </c>
      <c r="N225" s="57">
        <f>889.90497780512*Deflactores!$K$5</f>
        <v>1956.2199848390662</v>
      </c>
      <c r="O225" s="57">
        <f>658.26268197178*Deflactores!$L$5</f>
        <v>1395.0275708204283</v>
      </c>
      <c r="P225" s="57">
        <f>93.53042855979*Deflactores!$M$5</f>
        <v>193.4937361938502</v>
      </c>
      <c r="Q225" s="57">
        <f>133.806897349209*Deflactores!$N$5</f>
        <v>271.54878101958775</v>
      </c>
      <c r="R225" s="57">
        <f>322.84943688554*Deflactores!$O$5</f>
        <v>632.05982377377404</v>
      </c>
      <c r="S225" s="57">
        <f>606.142487264839*Deflactores!$P$5</f>
        <v>1111.4338932681912</v>
      </c>
      <c r="T225" s="57">
        <f>400.11826718696*Deflactores!$Q$5</f>
        <v>693.77223146228994</v>
      </c>
      <c r="U225" s="57">
        <f>499.48718751915*Deflactores!$R$5</f>
        <v>832.03937226219216</v>
      </c>
      <c r="V225" s="57">
        <f>410.830616538089*Deflactores!$S$5</f>
        <v>663.26457605808366</v>
      </c>
    </row>
    <row r="226" spans="2:22" x14ac:dyDescent="0.2">
      <c r="C226" s="87" t="s">
        <v>141</v>
      </c>
      <c r="D226" s="56">
        <f>3.65994243305*Deflactores!$A$5</f>
        <v>13.658596161589982</v>
      </c>
      <c r="E226" s="56">
        <f>4.61355744431*Deflactores!$B$5</f>
        <v>15.994127386384317</v>
      </c>
      <c r="F226" s="56">
        <f>8.66981265944*Deflactores!$C$5</f>
        <v>28.092065563238243</v>
      </c>
      <c r="G226" s="56">
        <f>6.99117091621999*Deflactores!$D$5</f>
        <v>21.272057538198773</v>
      </c>
      <c r="H226" s="56">
        <f>8.87624118617999*Deflactores!$E$5</f>
        <v>25.600511029733205</v>
      </c>
      <c r="I226" s="56">
        <f>7.6787925419*Deflactores!$F$5</f>
        <v>21.121397255105595</v>
      </c>
      <c r="J226" s="56">
        <f>19.31408241802*Deflactores!$G$5</f>
        <v>50.848618147301181</v>
      </c>
      <c r="K226" s="56">
        <f>17.15512698518*Deflactores!$H$5</f>
        <v>42.731366632441677</v>
      </c>
      <c r="L226" s="56">
        <f>21.61274863805*Deflactores!$I$5</f>
        <v>49.997754883601615</v>
      </c>
      <c r="M226" s="56">
        <f>23.8206849563799*Deflactores!$J$5</f>
        <v>54.02401733700767</v>
      </c>
      <c r="N226" s="56">
        <f>22.64513221534*Deflactores!$K$5</f>
        <v>49.779314987349196</v>
      </c>
      <c r="O226" s="56">
        <f>18.50534974018*Deflactores!$L$5</f>
        <v>39.217585626907031</v>
      </c>
      <c r="P226" s="56">
        <f>13.30519105253*Deflactores!$M$5</f>
        <v>27.525492689058588</v>
      </c>
      <c r="Q226" s="56">
        <f>17.40140932276*Deflactores!$N$5</f>
        <v>35.314558391457254</v>
      </c>
      <c r="R226" s="56">
        <f>17.58395874182*Deflactores!$O$5</f>
        <v>34.42506813955</v>
      </c>
      <c r="S226" s="56">
        <f>23.46684912854*Deflactores!$P$5</f>
        <v>43.029241535867875</v>
      </c>
      <c r="T226" s="56">
        <f>29.64830318043*Deflactores!$Q$5</f>
        <v>51.4077240241227</v>
      </c>
      <c r="U226" s="56">
        <f>16.47969322342*Deflactores!$R$5</f>
        <v>27.451662319490787</v>
      </c>
      <c r="V226" s="56">
        <f>16.09895499432*Deflactores!$S$5</f>
        <v>25.990922120809991</v>
      </c>
    </row>
    <row r="227" spans="2:22" x14ac:dyDescent="0.2">
      <c r="C227" s="88" t="s">
        <v>142</v>
      </c>
      <c r="D227" s="57">
        <f>17.11538825423*Deflactores!$A$5</f>
        <v>63.873183961129946</v>
      </c>
      <c r="E227" s="57">
        <f>18.93347451514*Deflactores!$B$5</f>
        <v>65.637939251301631</v>
      </c>
      <c r="F227" s="57">
        <f>18.97453319326*Deflactores!$C$5</f>
        <v>61.481585754510405</v>
      </c>
      <c r="G227" s="57">
        <f>16.74985254325*Deflactores!$D$5</f>
        <v>50.964828542484931</v>
      </c>
      <c r="H227" s="57">
        <f>24.09323610293*Deflactores!$E$5</f>
        <v>69.488778375621578</v>
      </c>
      <c r="I227" s="57">
        <f>20.0509440689399*Deflactores!$F$5</f>
        <v>55.152415266996314</v>
      </c>
      <c r="J227" s="57">
        <f>27.85770142458*Deflactores!$G$5</f>
        <v>73.341595605824949</v>
      </c>
      <c r="K227" s="57">
        <f>31.57022338012*Deflactores!$H$5</f>
        <v>78.637645240947492</v>
      </c>
      <c r="L227" s="57">
        <f>32.31373379355*Deflactores!$I$5</f>
        <v>74.752830777827199</v>
      </c>
      <c r="M227" s="57">
        <f>30.18241545352*Deflactores!$J$5</f>
        <v>68.452075946582525</v>
      </c>
      <c r="N227" s="57">
        <f>49.85474270836*Deflactores!$K$5</f>
        <v>109.59242442451077</v>
      </c>
      <c r="O227" s="57">
        <f>38.39564517507*Deflactores!$L$5</f>
        <v>81.370226636905528</v>
      </c>
      <c r="P227" s="57">
        <f>46.5499770145399*Deflactores!$M$5</f>
        <v>96.301589878028864</v>
      </c>
      <c r="Q227" s="57">
        <f>42.7943446655*Deflactores!$N$5</f>
        <v>86.847183207012151</v>
      </c>
      <c r="R227" s="57">
        <f>87.54519632043*Deflactores!$O$5</f>
        <v>171.39197110679478</v>
      </c>
      <c r="S227" s="57">
        <f>94.07442889497*Deflactores!$P$5</f>
        <v>172.49658448382996</v>
      </c>
      <c r="T227" s="57">
        <f>92.06421400116*Deflactores!$Q$5</f>
        <v>159.63178995664751</v>
      </c>
      <c r="U227" s="57">
        <f>96.00889631835*Deflactores!$R$5</f>
        <v>159.93039225103877</v>
      </c>
      <c r="V227" s="57">
        <f>85.84921855177*Deflactores!$S$5</f>
        <v>138.59908014518288</v>
      </c>
    </row>
    <row r="228" spans="2:22" x14ac:dyDescent="0.2">
      <c r="C228" s="87" t="s">
        <v>143</v>
      </c>
      <c r="D228" s="56">
        <f>0*Deflactores!$A$5</f>
        <v>0</v>
      </c>
      <c r="E228" s="56">
        <f>0*Deflactores!$B$5</f>
        <v>0</v>
      </c>
      <c r="F228" s="56">
        <f>0*Deflactores!$C$5</f>
        <v>0</v>
      </c>
      <c r="G228" s="56">
        <f>0*Deflactores!$D$5</f>
        <v>0</v>
      </c>
      <c r="H228" s="56">
        <f>0*Deflactores!$E$5</f>
        <v>0</v>
      </c>
      <c r="I228" s="56">
        <f>0*Deflactores!$F$5</f>
        <v>0</v>
      </c>
      <c r="J228" s="56">
        <f>0*Deflactores!$G$5</f>
        <v>0</v>
      </c>
      <c r="K228" s="56">
        <f>0*Deflactores!$H$5</f>
        <v>0</v>
      </c>
      <c r="L228" s="56">
        <f>0*Deflactores!$I$5</f>
        <v>0</v>
      </c>
      <c r="M228" s="56">
        <f>0*Deflactores!$J$5</f>
        <v>0</v>
      </c>
      <c r="N228" s="56">
        <f>0*Deflactores!$K$5</f>
        <v>0</v>
      </c>
      <c r="O228" s="56">
        <f>0*Deflactores!$L$5</f>
        <v>0</v>
      </c>
      <c r="P228" s="56">
        <f>0*Deflactores!$M$5</f>
        <v>0</v>
      </c>
      <c r="Q228" s="56">
        <f>0*Deflactores!$N$5</f>
        <v>0</v>
      </c>
      <c r="R228" s="56">
        <f>0*Deflactores!$O$5</f>
        <v>0</v>
      </c>
      <c r="S228" s="56">
        <f>0*Deflactores!$P$5</f>
        <v>0</v>
      </c>
      <c r="T228" s="56">
        <f>0*Deflactores!$Q$5</f>
        <v>0</v>
      </c>
      <c r="U228" s="56">
        <f>0*Deflactores!$R$5</f>
        <v>0</v>
      </c>
      <c r="V228" s="56">
        <f>0*Deflactores!$S$5</f>
        <v>0</v>
      </c>
    </row>
    <row r="229" spans="2:22" x14ac:dyDescent="0.2">
      <c r="C229" s="88" t="s">
        <v>144</v>
      </c>
      <c r="D229" s="57">
        <f>0*Deflactores!$A$5</f>
        <v>0</v>
      </c>
      <c r="E229" s="57">
        <f>0*Deflactores!$B$5</f>
        <v>0</v>
      </c>
      <c r="F229" s="57">
        <f>0*Deflactores!$C$5</f>
        <v>0</v>
      </c>
      <c r="G229" s="57">
        <f>0*Deflactores!$D$5</f>
        <v>0</v>
      </c>
      <c r="H229" s="57">
        <f>0*Deflactores!$E$5</f>
        <v>0</v>
      </c>
      <c r="I229" s="57">
        <f>0*Deflactores!$F$5</f>
        <v>0</v>
      </c>
      <c r="J229" s="57">
        <f>0*Deflactores!$G$5</f>
        <v>0</v>
      </c>
      <c r="K229" s="57">
        <f>0*Deflactores!$H$5</f>
        <v>0</v>
      </c>
      <c r="L229" s="57">
        <f>0*Deflactores!$I$5</f>
        <v>0</v>
      </c>
      <c r="M229" s="57">
        <f>0*Deflactores!$J$5</f>
        <v>0</v>
      </c>
      <c r="N229" s="57">
        <f>0*Deflactores!$K$5</f>
        <v>0</v>
      </c>
      <c r="O229" s="57">
        <f>0*Deflactores!$L$5</f>
        <v>0</v>
      </c>
      <c r="P229" s="57">
        <f>0*Deflactores!$M$5</f>
        <v>0</v>
      </c>
      <c r="Q229" s="57">
        <f>0*Deflactores!$N$5</f>
        <v>0</v>
      </c>
      <c r="R229" s="57">
        <f>0*Deflactores!$O$5</f>
        <v>0</v>
      </c>
      <c r="S229" s="57">
        <f>0*Deflactores!$P$5</f>
        <v>0</v>
      </c>
      <c r="T229" s="57">
        <f>0*Deflactores!$Q$5</f>
        <v>0</v>
      </c>
      <c r="U229" s="57">
        <f>0*Deflactores!$R$5</f>
        <v>0</v>
      </c>
      <c r="V229" s="57">
        <f>0*Deflactores!$S$5</f>
        <v>0</v>
      </c>
    </row>
    <row r="230" spans="2:22" x14ac:dyDescent="0.2">
      <c r="C230" s="87" t="s">
        <v>145</v>
      </c>
      <c r="D230" s="56">
        <f>11.73012959609*Deflactores!$A$5</f>
        <v>43.775853311056473</v>
      </c>
      <c r="E230" s="56">
        <f>8.33102160404*Deflactores!$B$5</f>
        <v>28.881708400113776</v>
      </c>
      <c r="F230" s="56">
        <f>25.26442395*Deflactores!$C$5</f>
        <v>81.862190326346621</v>
      </c>
      <c r="G230" s="56">
        <f>10.670263889*Deflactores!$D$5</f>
        <v>32.466445194175868</v>
      </c>
      <c r="H230" s="56">
        <f>8.2390841915*Deflactores!$E$5</f>
        <v>23.762847504391726</v>
      </c>
      <c r="I230" s="56">
        <f>8.204922429*Deflactores!$F$5</f>
        <v>22.568577692991642</v>
      </c>
      <c r="J230" s="56">
        <f>9.037173594*Deflactores!$G$5</f>
        <v>23.792369695152637</v>
      </c>
      <c r="K230" s="56">
        <f>10.66352442101*Deflactores!$H$5</f>
        <v>26.561562151175917</v>
      </c>
      <c r="L230" s="56">
        <f>12.63695472*Deflactores!$I$5</f>
        <v>29.233642381487396</v>
      </c>
      <c r="M230" s="56">
        <f>14.93343051942*Deflactores!$J$5</f>
        <v>33.868207852103339</v>
      </c>
      <c r="N230" s="56">
        <f>16.26970466*Deflactores!$K$5</f>
        <v>35.764629030191912</v>
      </c>
      <c r="O230" s="56">
        <f>17.24273469134*Deflactores!$L$5</f>
        <v>36.541780279430114</v>
      </c>
      <c r="P230" s="56">
        <f>19.02806826192*Deflactores!$M$5</f>
        <v>39.364857803435569</v>
      </c>
      <c r="Q230" s="56">
        <f>22.27158307674*Deflactores!$N$5</f>
        <v>45.19812771744968</v>
      </c>
      <c r="R230" s="56">
        <f>28.3649973045799*Deflactores!$O$5</f>
        <v>55.531691089901159</v>
      </c>
      <c r="S230" s="56">
        <f>36.38013936175*Deflactores!$P$5</f>
        <v>66.707285461747347</v>
      </c>
      <c r="T230" s="56">
        <f>37.04320382648*Deflactores!$Q$5</f>
        <v>64.229874731515451</v>
      </c>
      <c r="U230" s="56">
        <f>43.69339481125*Deflactores!$R$5</f>
        <v>72.783898564690944</v>
      </c>
      <c r="V230" s="56">
        <f>42.87321765019*Deflactores!$S$5</f>
        <v>69.216570976673623</v>
      </c>
    </row>
    <row r="231" spans="2:22" x14ac:dyDescent="0.2">
      <c r="C231" s="88" t="s">
        <v>146</v>
      </c>
      <c r="D231" s="57">
        <f>49.10885355145*Deflactores!$A$5</f>
        <v>183.27009533287816</v>
      </c>
      <c r="E231" s="57">
        <f>48.3269701766199*Deflactores!$B$5</f>
        <v>167.53833165254019</v>
      </c>
      <c r="F231" s="57">
        <f>41.84735682618*Deflactores!$C$5</f>
        <v>135.59447450450526</v>
      </c>
      <c r="G231" s="57">
        <f>32.39578010862*Deflactores!$D$5</f>
        <v>98.570741113850261</v>
      </c>
      <c r="H231" s="57">
        <f>36.88412598935*Deflactores!$E$5</f>
        <v>106.37976756226421</v>
      </c>
      <c r="I231" s="57">
        <f>37.54430604182*Deflactores!$F$5</f>
        <v>103.26990841978504</v>
      </c>
      <c r="J231" s="57">
        <f>39.63115126022*Deflactores!$G$5</f>
        <v>104.33782115834263</v>
      </c>
      <c r="K231" s="57">
        <f>46.16025115441*Deflactores!$H$5</f>
        <v>114.97965696369845</v>
      </c>
      <c r="L231" s="57">
        <f>44.69114059587*Deflactores!$I$5</f>
        <v>103.38604915096485</v>
      </c>
      <c r="M231" s="57">
        <f>66.87363828204*Deflactores!$J$5</f>
        <v>151.66577285889912</v>
      </c>
      <c r="N231" s="57">
        <f>96.5155869858899*Deflactores!$K$5</f>
        <v>212.16391055137757</v>
      </c>
      <c r="O231" s="57">
        <f>101.061509194299*Deflactores!$L$5</f>
        <v>214.17527612603345</v>
      </c>
      <c r="P231" s="57">
        <f>166.95239475513*Deflactores!$M$5</f>
        <v>345.38751853392768</v>
      </c>
      <c r="Q231" s="57">
        <f>171.066976306461*Deflactores!$N$5</f>
        <v>347.16468141020528</v>
      </c>
      <c r="R231" s="57">
        <f>164.131031949572*Deflactores!$O$5</f>
        <v>321.32820837669101</v>
      </c>
      <c r="S231" s="57">
        <f>190.454327771214*Deflactores!$P$5</f>
        <v>349.22052067280572</v>
      </c>
      <c r="T231" s="57">
        <f>271.44880194499*Deflactores!$Q$5</f>
        <v>470.66994060819638</v>
      </c>
      <c r="U231" s="57">
        <f>231.5280910448*Deflactores!$R$5</f>
        <v>385.67653454893343</v>
      </c>
      <c r="V231" s="57">
        <f>193.66879292967*Deflactores!$S$5</f>
        <v>312.66815243860759</v>
      </c>
    </row>
    <row r="232" spans="2:22" x14ac:dyDescent="0.2">
      <c r="C232" s="90" t="s">
        <v>147</v>
      </c>
      <c r="D232" s="58">
        <f>110.2408201747*Deflactores!$A$5</f>
        <v>411.40943357239917</v>
      </c>
      <c r="E232" s="58">
        <f>103.879931681889*Deflactores!$B$5</f>
        <v>360.12748952723206</v>
      </c>
      <c r="F232" s="58">
        <f>137.82552158069*Deflactores!$C$5</f>
        <v>446.58445812165201</v>
      </c>
      <c r="G232" s="58">
        <f>121.644655357829*Deflactores!$D$5</f>
        <v>370.12857202255151</v>
      </c>
      <c r="H232" s="58">
        <f>109.3500030899*Deflactores!$E$5</f>
        <v>315.38304350753128</v>
      </c>
      <c r="I232" s="58">
        <f>109.35737421542*Deflactores!$F$5</f>
        <v>300.79996704893489</v>
      </c>
      <c r="J232" s="58">
        <f>116.71735372872*Deflactores!$G$5</f>
        <v>307.28439604140334</v>
      </c>
      <c r="K232" s="58">
        <f>117.59180771176*Deflactores!$H$5</f>
        <v>292.90710891523463</v>
      </c>
      <c r="L232" s="58">
        <f>150.96326166598*Deflactores!$I$5</f>
        <v>349.2301825930864</v>
      </c>
      <c r="M232" s="58">
        <f>197.259442329009*Deflactores!$J$5</f>
        <v>447.37368181415991</v>
      </c>
      <c r="N232" s="58">
        <f>230.339817258289*Deflactores!$K$5</f>
        <v>506.34097466922941</v>
      </c>
      <c r="O232" s="58">
        <f>251.87660437556*Deflactores!$L$5</f>
        <v>533.79117056433574</v>
      </c>
      <c r="P232" s="58">
        <f>369.41365445737*Deflactores!$M$5</f>
        <v>764.23501209862286</v>
      </c>
      <c r="Q232" s="58">
        <f>359.92775319518*Deflactores!$N$5</f>
        <v>730.44024315274157</v>
      </c>
      <c r="R232" s="58">
        <f>381.38003954462*Deflactores!$O$5</f>
        <v>746.64835382961769</v>
      </c>
      <c r="S232" s="58">
        <f>437.209988743379*Deflactores!$P$5</f>
        <v>801.67619029233413</v>
      </c>
      <c r="T232" s="58">
        <f>465.83705978912*Deflactores!$Q$5</f>
        <v>807.72322328567429</v>
      </c>
      <c r="U232" s="58">
        <f>511.34427968206*Deflactores!$R$5</f>
        <v>851.79076482359665</v>
      </c>
      <c r="V232" s="58">
        <f>449.09022237876*Deflactores!$S$5</f>
        <v>725.03271169972072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0*Deflactores!$S$5</f>
        <v>0</v>
      </c>
    </row>
    <row r="234" spans="2:22" x14ac:dyDescent="0.2">
      <c r="C234" s="87" t="s">
        <v>149</v>
      </c>
      <c r="D234" s="56">
        <f>69.69384622766*Deflactores!$A$5</f>
        <v>260.09155006798295</v>
      </c>
      <c r="E234" s="56">
        <f>68.54247504151*Deflactores!$B$5</f>
        <v>237.62077104817257</v>
      </c>
      <c r="F234" s="56">
        <f>75.5738525470999*Deflactores!$C$5</f>
        <v>244.87560504643713</v>
      </c>
      <c r="G234" s="56">
        <f>102.19788722247*Deflactores!$D$5</f>
        <v>310.95783000169519</v>
      </c>
      <c r="H234" s="56">
        <f>83.8057349989299*Deflactores!$E$5</f>
        <v>241.70925487417213</v>
      </c>
      <c r="I234" s="56">
        <f>4.89416323202*Deflactores!$F$5</f>
        <v>13.461955807605168</v>
      </c>
      <c r="J234" s="56">
        <f>93.8924549382899*Deflactores!$G$5</f>
        <v>247.19277285548768</v>
      </c>
      <c r="K234" s="56">
        <f>98.25002903027*Deflactores!$H$5</f>
        <v>244.7290548048633</v>
      </c>
      <c r="L234" s="56">
        <f>152.58607115025*Deflactores!$I$5</f>
        <v>352.98430161682177</v>
      </c>
      <c r="M234" s="56">
        <f>184.26080857589*Deflactores!$J$5</f>
        <v>417.89348775081356</v>
      </c>
      <c r="N234" s="56">
        <f>245.420638014349*Deflactores!$K$5</f>
        <v>539.4921578703204</v>
      </c>
      <c r="O234" s="56">
        <f>281.77650133092*Deflactores!$L$5</f>
        <v>597.15672623046282</v>
      </c>
      <c r="P234" s="56">
        <f>369.10400701566*Deflactores!$M$5</f>
        <v>763.59442014024182</v>
      </c>
      <c r="Q234" s="56">
        <f>271.052177570759*Deflactores!$N$5</f>
        <v>550.07544356964763</v>
      </c>
      <c r="R234" s="56">
        <f>344.63250471769*Deflactores!$O$5</f>
        <v>674.70571514673043</v>
      </c>
      <c r="S234" s="56">
        <f>365.37643468918*Deflactores!$P$5</f>
        <v>669.9608785840062</v>
      </c>
      <c r="T234" s="56">
        <f>107.06109703337*Deflactores!$Q$5</f>
        <v>185.63515411041084</v>
      </c>
      <c r="U234" s="56">
        <f>122.37217220256*Deflactores!$R$5</f>
        <v>203.84600022973612</v>
      </c>
      <c r="V234" s="56">
        <f>217.740064606889*Deflactores!$S$5</f>
        <v>351.52996351468016</v>
      </c>
    </row>
    <row r="235" spans="2:22" x14ac:dyDescent="0.2">
      <c r="C235" s="88" t="s">
        <v>150</v>
      </c>
      <c r="D235" s="57">
        <f>136.5582448083*Deflactores!$A$5</f>
        <v>509.62384039952201</v>
      </c>
      <c r="E235" s="57">
        <f>136.45933519078*Deflactores!$B$5</f>
        <v>473.07268121142289</v>
      </c>
      <c r="F235" s="57">
        <f>165.07268401068*Deflactores!$C$5</f>
        <v>534.87114936428861</v>
      </c>
      <c r="G235" s="57">
        <f>177.294886773089*Deflactores!$D$5</f>
        <v>539.45570461102864</v>
      </c>
      <c r="H235" s="57">
        <f>184.2995456892*Deflactores!$E$5</f>
        <v>531.54961128559728</v>
      </c>
      <c r="I235" s="57">
        <f>199.75864413266*Deflactores!$F$5</f>
        <v>549.45900085786252</v>
      </c>
      <c r="J235" s="57">
        <f>206.16919114096*Deflactores!$G$5</f>
        <v>542.78625549840342</v>
      </c>
      <c r="K235" s="57">
        <f>195.05166025675*Deflactores!$H$5</f>
        <v>485.85032415661738</v>
      </c>
      <c r="L235" s="57">
        <f>199.62384839937*Deflactores!$I$5</f>
        <v>461.79893211831001</v>
      </c>
      <c r="M235" s="57">
        <f>214.61492733295*Deflactores!$J$5</f>
        <v>486.73497744701132</v>
      </c>
      <c r="N235" s="57">
        <f>314.11734229852*Deflactores!$K$5</f>
        <v>690.50363568531907</v>
      </c>
      <c r="O235" s="57">
        <f>164.91686248816*Deflactores!$L$5</f>
        <v>349.50115867885</v>
      </c>
      <c r="P235" s="57">
        <f>300.854295660297*Deflactores!$M$5</f>
        <v>622.40088721572329</v>
      </c>
      <c r="Q235" s="57">
        <f>315.74595048908*Deflactores!$N$5</f>
        <v>640.77734157018494</v>
      </c>
      <c r="R235" s="57">
        <f>346.96288516176*Deflactores!$O$5</f>
        <v>679.26802712414599</v>
      </c>
      <c r="S235" s="57">
        <f>372.676065064389*Deflactores!$P$5</f>
        <v>683.34561365503987</v>
      </c>
      <c r="T235" s="57">
        <f>477.504938930269*Deflactores!$Q$5</f>
        <v>827.95436795471994</v>
      </c>
      <c r="U235" s="57">
        <f>649.40988656276*Deflactores!$R$5</f>
        <v>1081.7786879384653</v>
      </c>
      <c r="V235" s="57">
        <f>659.017204041309*Deflactores!$S$5</f>
        <v>1063.9488608145584</v>
      </c>
    </row>
    <row r="236" spans="2:22" x14ac:dyDescent="0.2">
      <c r="C236" s="87" t="s">
        <v>151</v>
      </c>
      <c r="D236" s="56">
        <f>22.211046206*Deflactores!$A$5</f>
        <v>82.889749225196311</v>
      </c>
      <c r="E236" s="56">
        <f>16.0397031667*Deflactores!$B$5</f>
        <v>55.60590905926388</v>
      </c>
      <c r="F236" s="56">
        <f>5.81271046644*Deflactores!$C$5</f>
        <v>18.834437367635221</v>
      </c>
      <c r="G236" s="56">
        <f>6.84004114453*Deflactores!$D$5</f>
        <v>20.812214510807515</v>
      </c>
      <c r="H236" s="56">
        <f>11.08497780221*Deflactores!$E$5</f>
        <v>31.970863627687642</v>
      </c>
      <c r="I236" s="56">
        <f>7.22431628364*Deflactores!$F$5</f>
        <v>19.871308319723543</v>
      </c>
      <c r="J236" s="56">
        <f>9.91762342587*Deflactores!$G$5</f>
        <v>26.110349722867706</v>
      </c>
      <c r="K236" s="56">
        <f>13.86999891267*Deflactores!$H$5</f>
        <v>34.548506067071266</v>
      </c>
      <c r="L236" s="56">
        <f>0*Deflactores!$I$5</f>
        <v>0</v>
      </c>
      <c r="M236" s="56">
        <f>0*Deflactores!$J$5</f>
        <v>0</v>
      </c>
      <c r="N236" s="56">
        <f>0*Deflactores!$K$5</f>
        <v>0</v>
      </c>
      <c r="O236" s="56">
        <f>0*Deflactores!$L$5</f>
        <v>0</v>
      </c>
      <c r="P236" s="56">
        <f>0*Deflactores!$M$5</f>
        <v>0</v>
      </c>
      <c r="Q236" s="56">
        <f>0*Deflactores!$N$5</f>
        <v>0</v>
      </c>
      <c r="R236" s="56">
        <f>0*Deflactores!$O$5</f>
        <v>0</v>
      </c>
      <c r="S236" s="56">
        <f>0*Deflactores!$P$5</f>
        <v>0</v>
      </c>
      <c r="T236" s="56">
        <f>0*Deflactores!$Q$5</f>
        <v>0</v>
      </c>
      <c r="U236" s="56">
        <f>0*Deflactores!$R$5</f>
        <v>0</v>
      </c>
      <c r="V236" s="56">
        <f>0*Deflactores!$S$5</f>
        <v>0</v>
      </c>
    </row>
    <row r="237" spans="2:22" x14ac:dyDescent="0.2">
      <c r="C237" s="79" t="s">
        <v>179</v>
      </c>
      <c r="D237" s="44">
        <f t="shared" ref="D237:V237" si="63">+SUM(D208:D236)</f>
        <v>4942.3691025607131</v>
      </c>
      <c r="E237" s="44">
        <f t="shared" si="63"/>
        <v>5063.875766578617</v>
      </c>
      <c r="F237" s="44">
        <f t="shared" si="63"/>
        <v>5177.0631870617726</v>
      </c>
      <c r="G237" s="44">
        <f t="shared" si="63"/>
        <v>5175.9023000215529</v>
      </c>
      <c r="H237" s="44">
        <f t="shared" si="63"/>
        <v>10463.909070470358</v>
      </c>
      <c r="I237" s="44">
        <f t="shared" si="63"/>
        <v>10452.912144586646</v>
      </c>
      <c r="J237" s="44">
        <f t="shared" si="63"/>
        <v>4938.4393188372223</v>
      </c>
      <c r="K237" s="44">
        <f t="shared" si="63"/>
        <v>5262.1483259729357</v>
      </c>
      <c r="L237" s="44">
        <f t="shared" si="63"/>
        <v>5495.6298432356762</v>
      </c>
      <c r="M237" s="44">
        <f t="shared" si="63"/>
        <v>6468.9100504382895</v>
      </c>
      <c r="N237" s="44">
        <f t="shared" si="63"/>
        <v>9163.3507457560736</v>
      </c>
      <c r="O237" s="44">
        <f t="shared" si="63"/>
        <v>8257.0979400847173</v>
      </c>
      <c r="P237" s="44">
        <f t="shared" si="63"/>
        <v>8067.5532165967343</v>
      </c>
      <c r="Q237" s="44">
        <f t="shared" si="63"/>
        <v>8451.4972462944825</v>
      </c>
      <c r="R237" s="44">
        <f t="shared" si="63"/>
        <v>8735.1148708549354</v>
      </c>
      <c r="S237" s="44">
        <f t="shared" si="63"/>
        <v>9037.0309563451265</v>
      </c>
      <c r="T237" s="44">
        <f t="shared" si="63"/>
        <v>8566.2756884328664</v>
      </c>
      <c r="U237" s="44">
        <f t="shared" si="63"/>
        <v>8782.9371667563646</v>
      </c>
      <c r="V237" s="44">
        <f t="shared" si="63"/>
        <v>8361.2574120190111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D242" s="164" t="s">
        <v>200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3.75" customHeight="1" x14ac:dyDescent="0.2">
      <c r="H243" s="27"/>
      <c r="I243" s="27"/>
      <c r="J243" s="27"/>
      <c r="L243" s="179"/>
      <c r="M243" s="160"/>
      <c r="N243" s="160"/>
      <c r="O243" s="160"/>
      <c r="P243" s="160"/>
      <c r="Q243" s="160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x14ac:dyDescent="0.2">
      <c r="C245" s="181" t="s">
        <v>120</v>
      </c>
      <c r="D245" s="155">
        <v>2000</v>
      </c>
      <c r="E245" s="155">
        <v>2001</v>
      </c>
      <c r="F245" s="155">
        <v>2002</v>
      </c>
      <c r="G245" s="155">
        <v>2003</v>
      </c>
      <c r="H245" s="155">
        <v>2004</v>
      </c>
      <c r="I245" s="155">
        <v>2005</v>
      </c>
      <c r="J245" s="155">
        <v>2006</v>
      </c>
      <c r="K245" s="155">
        <v>2007</v>
      </c>
      <c r="L245" s="155">
        <v>2008</v>
      </c>
      <c r="M245" s="155">
        <v>2009</v>
      </c>
      <c r="N245" s="155">
        <v>2010</v>
      </c>
      <c r="O245" s="155">
        <v>2011</v>
      </c>
      <c r="P245" s="155">
        <v>2012</v>
      </c>
      <c r="Q245" s="155">
        <v>2013</v>
      </c>
      <c r="R245" s="155">
        <v>2014</v>
      </c>
      <c r="S245" s="155">
        <v>2015</v>
      </c>
      <c r="T245" s="155">
        <v>2016</v>
      </c>
      <c r="U245" s="155">
        <v>2017</v>
      </c>
      <c r="V245" s="155">
        <v>2018</v>
      </c>
    </row>
    <row r="246" spans="3:22" ht="12" customHeight="1" thickBot="1" x14ac:dyDescent="0.25">
      <c r="C246" s="162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</row>
    <row r="247" spans="3:22" x14ac:dyDescent="0.2">
      <c r="C247" s="87" t="s">
        <v>123</v>
      </c>
      <c r="D247" s="60">
        <f t="shared" ref="D247:V247" si="64">+IFERROR(IF(D208&gt;0,+((D208/D13)*100)," "),"")</f>
        <v>91.358170211359152</v>
      </c>
      <c r="E247" s="60">
        <f t="shared" si="64"/>
        <v>80.212585328030329</v>
      </c>
      <c r="F247" s="60">
        <f t="shared" si="64"/>
        <v>80.419498940411813</v>
      </c>
      <c r="G247" s="60">
        <f t="shared" si="64"/>
        <v>58.124491736537919</v>
      </c>
      <c r="H247" s="60">
        <f t="shared" si="64"/>
        <v>60.468480930618853</v>
      </c>
      <c r="I247" s="60">
        <f t="shared" si="64"/>
        <v>72.78230800303399</v>
      </c>
      <c r="J247" s="60">
        <f t="shared" si="64"/>
        <v>74.653310039848648</v>
      </c>
      <c r="K247" s="60">
        <f t="shared" si="64"/>
        <v>78.18073559043377</v>
      </c>
      <c r="L247" s="60">
        <f t="shared" si="64"/>
        <v>81.082048865135931</v>
      </c>
      <c r="M247" s="60">
        <f t="shared" si="64"/>
        <v>78.128258589949311</v>
      </c>
      <c r="N247" s="60">
        <f t="shared" si="64"/>
        <v>80.00266221051136</v>
      </c>
      <c r="O247" s="60">
        <f t="shared" si="64"/>
        <v>73.142242468104797</v>
      </c>
      <c r="P247" s="60">
        <f t="shared" si="64"/>
        <v>74.213463204151765</v>
      </c>
      <c r="Q247" s="60">
        <f t="shared" si="64"/>
        <v>74.190088184298872</v>
      </c>
      <c r="R247" s="60">
        <f t="shared" si="64"/>
        <v>85.320559435186212</v>
      </c>
      <c r="S247" s="60">
        <f t="shared" si="64"/>
        <v>75.590009189514376</v>
      </c>
      <c r="T247" s="60">
        <f t="shared" si="64"/>
        <v>73.803131488881775</v>
      </c>
      <c r="U247" s="60">
        <f t="shared" si="64"/>
        <v>81.774919578870566</v>
      </c>
      <c r="V247" s="60">
        <f t="shared" si="64"/>
        <v>85.679961801783051</v>
      </c>
    </row>
    <row r="248" spans="3:22" x14ac:dyDescent="0.2">
      <c r="C248" s="88" t="s">
        <v>124</v>
      </c>
      <c r="D248" s="62" t="str">
        <f t="shared" ref="D248:V248" si="65">+IFERROR(IF(D209&gt;0,+((D209/D14)*100)," "),"")</f>
        <v xml:space="preserve"> </v>
      </c>
      <c r="E248" s="62" t="str">
        <f t="shared" si="65"/>
        <v xml:space="preserve"> </v>
      </c>
      <c r="F248" s="62" t="str">
        <f t="shared" si="65"/>
        <v xml:space="preserve"> </v>
      </c>
      <c r="G248" s="62" t="str">
        <f t="shared" si="65"/>
        <v xml:space="preserve"> </v>
      </c>
      <c r="H248" s="62" t="str">
        <f t="shared" si="65"/>
        <v xml:space="preserve"> </v>
      </c>
      <c r="I248" s="62" t="str">
        <f t="shared" si="65"/>
        <v xml:space="preserve"> </v>
      </c>
      <c r="J248" s="62" t="str">
        <f t="shared" si="65"/>
        <v xml:space="preserve"> </v>
      </c>
      <c r="K248" s="62" t="str">
        <f t="shared" si="65"/>
        <v xml:space="preserve"> </v>
      </c>
      <c r="L248" s="62" t="str">
        <f t="shared" si="65"/>
        <v xml:space="preserve"> </v>
      </c>
      <c r="M248" s="62" t="str">
        <f t="shared" si="65"/>
        <v xml:space="preserve"> </v>
      </c>
      <c r="N248" s="62" t="str">
        <f t="shared" si="65"/>
        <v xml:space="preserve"> </v>
      </c>
      <c r="O248" s="62" t="str">
        <f t="shared" si="65"/>
        <v xml:space="preserve"> </v>
      </c>
      <c r="P248" s="62">
        <f t="shared" si="65"/>
        <v>81.655503734028159</v>
      </c>
      <c r="Q248" s="62">
        <f t="shared" si="65"/>
        <v>86.228087106180269</v>
      </c>
      <c r="R248" s="62">
        <f t="shared" si="65"/>
        <v>69.128338541812369</v>
      </c>
      <c r="S248" s="62">
        <f t="shared" si="65"/>
        <v>68.102027430340485</v>
      </c>
      <c r="T248" s="62">
        <f t="shared" si="65"/>
        <v>91.115926791877641</v>
      </c>
      <c r="U248" s="62">
        <f t="shared" si="65"/>
        <v>95.679411609901408</v>
      </c>
      <c r="V248" s="62">
        <f t="shared" si="65"/>
        <v>96.878101311490823</v>
      </c>
    </row>
    <row r="249" spans="3:22" x14ac:dyDescent="0.2">
      <c r="C249" s="87" t="s">
        <v>125</v>
      </c>
      <c r="D249" s="60">
        <f t="shared" ref="D249:V249" si="66">+IFERROR(IF(D210&gt;0,+((D210/D15)*100)," "),"")</f>
        <v>75.324683760368529</v>
      </c>
      <c r="E249" s="60">
        <f t="shared" si="66"/>
        <v>62.923747174609957</v>
      </c>
      <c r="F249" s="60">
        <f t="shared" si="66"/>
        <v>91.02823143421837</v>
      </c>
      <c r="G249" s="60">
        <f t="shared" si="66"/>
        <v>78.603556540860183</v>
      </c>
      <c r="H249" s="60">
        <f t="shared" si="66"/>
        <v>65.714335023288442</v>
      </c>
      <c r="I249" s="60">
        <f t="shared" si="66"/>
        <v>68.263603967310274</v>
      </c>
      <c r="J249" s="60">
        <f t="shared" si="66"/>
        <v>69.501788101752467</v>
      </c>
      <c r="K249" s="60">
        <f t="shared" si="66"/>
        <v>51.065386838654966</v>
      </c>
      <c r="L249" s="60">
        <f t="shared" si="66"/>
        <v>84.724202782307273</v>
      </c>
      <c r="M249" s="60">
        <f t="shared" si="66"/>
        <v>75.589441382275098</v>
      </c>
      <c r="N249" s="60" t="str">
        <f t="shared" si="66"/>
        <v xml:space="preserve"> </v>
      </c>
      <c r="O249" s="60" t="str">
        <f t="shared" si="66"/>
        <v xml:space="preserve"> </v>
      </c>
      <c r="P249" s="60" t="str">
        <f t="shared" si="66"/>
        <v xml:space="preserve"> </v>
      </c>
      <c r="Q249" s="60" t="str">
        <f t="shared" si="66"/>
        <v xml:space="preserve"> </v>
      </c>
      <c r="R249" s="60" t="str">
        <f t="shared" si="66"/>
        <v xml:space="preserve"> </v>
      </c>
      <c r="S249" s="60" t="str">
        <f t="shared" si="66"/>
        <v xml:space="preserve"> </v>
      </c>
      <c r="T249" s="60" t="str">
        <f t="shared" si="66"/>
        <v xml:space="preserve"> </v>
      </c>
      <c r="U249" s="60" t="str">
        <f t="shared" si="66"/>
        <v xml:space="preserve"> </v>
      </c>
      <c r="V249" s="60" t="str">
        <f t="shared" si="66"/>
        <v xml:space="preserve"> </v>
      </c>
    </row>
    <row r="250" spans="3:22" x14ac:dyDescent="0.2">
      <c r="C250" s="88" t="s">
        <v>126</v>
      </c>
      <c r="D250" s="62">
        <f t="shared" ref="D250:V250" si="67">+IFERROR(IF(D211&gt;0,+((D211/D16)*100)," "),"")</f>
        <v>93.924161925984635</v>
      </c>
      <c r="E250" s="62">
        <f t="shared" si="67"/>
        <v>87.383209906928499</v>
      </c>
      <c r="F250" s="62">
        <f t="shared" si="67"/>
        <v>86.050696046880248</v>
      </c>
      <c r="G250" s="62">
        <f t="shared" si="67"/>
        <v>87.603284201444126</v>
      </c>
      <c r="H250" s="62">
        <f t="shared" si="67"/>
        <v>88.89603815772476</v>
      </c>
      <c r="I250" s="62">
        <f t="shared" si="67"/>
        <v>90.67068598687959</v>
      </c>
      <c r="J250" s="62">
        <f t="shared" si="67"/>
        <v>89.907219961456576</v>
      </c>
      <c r="K250" s="62">
        <f t="shared" si="67"/>
        <v>91.558183624944604</v>
      </c>
      <c r="L250" s="62">
        <f t="shared" si="67"/>
        <v>90.23797799206919</v>
      </c>
      <c r="M250" s="62">
        <f t="shared" si="67"/>
        <v>92.520836381682216</v>
      </c>
      <c r="N250" s="62">
        <f t="shared" si="67"/>
        <v>90.156326554326085</v>
      </c>
      <c r="O250" s="62">
        <f t="shared" si="67"/>
        <v>82.375575943203671</v>
      </c>
      <c r="P250" s="62">
        <f t="shared" si="67"/>
        <v>88.353159689718069</v>
      </c>
      <c r="Q250" s="62">
        <f t="shared" si="67"/>
        <v>87.065700154426779</v>
      </c>
      <c r="R250" s="62">
        <f t="shared" si="67"/>
        <v>91.273890492778833</v>
      </c>
      <c r="S250" s="62">
        <f t="shared" si="67"/>
        <v>93.990373195203674</v>
      </c>
      <c r="T250" s="62">
        <f t="shared" si="67"/>
        <v>93.993966637393669</v>
      </c>
      <c r="U250" s="62">
        <f t="shared" si="67"/>
        <v>95.120129204863716</v>
      </c>
      <c r="V250" s="62">
        <f t="shared" si="67"/>
        <v>92.876164663779988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 t="str">
        <f t="shared" si="68"/>
        <v xml:space="preserve"> </v>
      </c>
      <c r="J251" s="60" t="str">
        <f t="shared" si="68"/>
        <v xml:space="preserve"> </v>
      </c>
      <c r="K251" s="60" t="str">
        <f t="shared" si="68"/>
        <v xml:space="preserve"> </v>
      </c>
      <c r="L251" s="60" t="str">
        <f t="shared" si="68"/>
        <v xml:space="preserve"> </v>
      </c>
      <c r="M251" s="60" t="str">
        <f t="shared" si="68"/>
        <v xml:space="preserve"> </v>
      </c>
      <c r="N251" s="60" t="str">
        <f t="shared" si="68"/>
        <v xml:space="preserve"> </v>
      </c>
      <c r="O251" s="60" t="str">
        <f t="shared" si="68"/>
        <v xml:space="preserve"> </v>
      </c>
      <c r="P251" s="60" t="str">
        <f t="shared" si="68"/>
        <v xml:space="preserve"> </v>
      </c>
      <c r="Q251" s="60" t="str">
        <f t="shared" si="68"/>
        <v xml:space="preserve"> </v>
      </c>
      <c r="R251" s="60" t="str">
        <f t="shared" si="68"/>
        <v xml:space="preserve"> </v>
      </c>
      <c r="S251" s="60" t="str">
        <f t="shared" si="68"/>
        <v xml:space="preserve"> </v>
      </c>
      <c r="T251" s="60" t="str">
        <f t="shared" si="68"/>
        <v xml:space="preserve"> </v>
      </c>
      <c r="U251" s="60" t="str">
        <f t="shared" si="68"/>
        <v xml:space="preserve"> </v>
      </c>
      <c r="V251" s="60" t="str">
        <f t="shared" si="68"/>
        <v xml:space="preserve"> </v>
      </c>
    </row>
    <row r="252" spans="3:22" x14ac:dyDescent="0.2">
      <c r="C252" s="88" t="s">
        <v>128</v>
      </c>
      <c r="D252" s="62">
        <f t="shared" ref="D252:V252" si="69">+IFERROR(IF(D213&gt;0,+((D213/D18)*100)," "),"")</f>
        <v>79.813276821751671</v>
      </c>
      <c r="E252" s="62">
        <f t="shared" si="69"/>
        <v>86.442029575526036</v>
      </c>
      <c r="F252" s="62">
        <f t="shared" si="69"/>
        <v>71.055745658739241</v>
      </c>
      <c r="G252" s="62">
        <f t="shared" si="69"/>
        <v>44.137604925133758</v>
      </c>
      <c r="H252" s="62">
        <f t="shared" si="69"/>
        <v>57.002604427146728</v>
      </c>
      <c r="I252" s="62">
        <f t="shared" si="69"/>
        <v>73.367197721102627</v>
      </c>
      <c r="J252" s="62">
        <f t="shared" si="69"/>
        <v>23.536218101954152</v>
      </c>
      <c r="K252" s="62">
        <f t="shared" si="69"/>
        <v>49.157390006104059</v>
      </c>
      <c r="L252" s="62">
        <f t="shared" si="69"/>
        <v>72.715006655230397</v>
      </c>
      <c r="M252" s="62">
        <f t="shared" si="69"/>
        <v>66.316837735804853</v>
      </c>
      <c r="N252" s="62">
        <f t="shared" si="69"/>
        <v>73.629018315971123</v>
      </c>
      <c r="O252" s="62">
        <f t="shared" si="69"/>
        <v>74.077634007603123</v>
      </c>
      <c r="P252" s="62">
        <f t="shared" si="69"/>
        <v>80.051527288933485</v>
      </c>
      <c r="Q252" s="62">
        <f t="shared" si="69"/>
        <v>75.419308572049388</v>
      </c>
      <c r="R252" s="62">
        <f t="shared" si="69"/>
        <v>85.064550432625836</v>
      </c>
      <c r="S252" s="62">
        <f t="shared" si="69"/>
        <v>91.16611668832067</v>
      </c>
      <c r="T252" s="62">
        <f t="shared" si="69"/>
        <v>88.030887407217278</v>
      </c>
      <c r="U252" s="62">
        <f t="shared" si="69"/>
        <v>92.83840697306816</v>
      </c>
      <c r="V252" s="62">
        <f t="shared" si="69"/>
        <v>93.629594289348162</v>
      </c>
    </row>
    <row r="253" spans="3:22" x14ac:dyDescent="0.2">
      <c r="C253" s="87" t="s">
        <v>129</v>
      </c>
      <c r="D253" s="60">
        <f t="shared" ref="D253:V253" si="70">+IFERROR(IF(D214&gt;0,+((D214/D19)*100)," "),"")</f>
        <v>69.043117770510435</v>
      </c>
      <c r="E253" s="60">
        <f t="shared" si="70"/>
        <v>75.659677157598765</v>
      </c>
      <c r="F253" s="60">
        <f t="shared" si="70"/>
        <v>72.547306278510675</v>
      </c>
      <c r="G253" s="60">
        <f t="shared" si="70"/>
        <v>76.085180545085279</v>
      </c>
      <c r="H253" s="60">
        <f t="shared" si="70"/>
        <v>79.724885731621242</v>
      </c>
      <c r="I253" s="60">
        <f t="shared" si="70"/>
        <v>77.526883283074483</v>
      </c>
      <c r="J253" s="60">
        <f t="shared" si="70"/>
        <v>65.873664797065885</v>
      </c>
      <c r="K253" s="60">
        <f t="shared" si="70"/>
        <v>82.854179560584498</v>
      </c>
      <c r="L253" s="60">
        <f t="shared" si="70"/>
        <v>86.898922234687475</v>
      </c>
      <c r="M253" s="60">
        <f t="shared" si="70"/>
        <v>83.522805177366379</v>
      </c>
      <c r="N253" s="60">
        <f t="shared" si="70"/>
        <v>85.846593993436898</v>
      </c>
      <c r="O253" s="60">
        <f t="shared" si="70"/>
        <v>76.681215433552012</v>
      </c>
      <c r="P253" s="60">
        <f t="shared" si="70"/>
        <v>73.969334230741453</v>
      </c>
      <c r="Q253" s="60">
        <f t="shared" si="70"/>
        <v>74.863611479310535</v>
      </c>
      <c r="R253" s="60">
        <f t="shared" si="70"/>
        <v>80.711594118504877</v>
      </c>
      <c r="S253" s="60">
        <f t="shared" si="70"/>
        <v>79.623746364071266</v>
      </c>
      <c r="T253" s="60">
        <f t="shared" si="70"/>
        <v>85.095872724437555</v>
      </c>
      <c r="U253" s="60">
        <f t="shared" si="70"/>
        <v>88.892562800151794</v>
      </c>
      <c r="V253" s="60">
        <f t="shared" si="70"/>
        <v>83.885837545577658</v>
      </c>
    </row>
    <row r="254" spans="3:22" x14ac:dyDescent="0.2">
      <c r="C254" s="88" t="s">
        <v>130</v>
      </c>
      <c r="D254" s="62">
        <f t="shared" ref="D254:V254" si="71">+IFERROR(IF(D215&gt;0,+((D215/D20)*100)," "),"")</f>
        <v>88.565146357091976</v>
      </c>
      <c r="E254" s="62">
        <f t="shared" si="71"/>
        <v>77.263253979506175</v>
      </c>
      <c r="F254" s="62">
        <f t="shared" si="71"/>
        <v>56.019112248669686</v>
      </c>
      <c r="G254" s="62">
        <f t="shared" si="71"/>
        <v>66.952551602493386</v>
      </c>
      <c r="H254" s="62">
        <f t="shared" si="71"/>
        <v>81.251212724327758</v>
      </c>
      <c r="I254" s="62">
        <f t="shared" si="71"/>
        <v>85.194844321484695</v>
      </c>
      <c r="J254" s="62">
        <f t="shared" si="71"/>
        <v>90.654291834780295</v>
      </c>
      <c r="K254" s="62">
        <f t="shared" si="71"/>
        <v>89.320483282865069</v>
      </c>
      <c r="L254" s="62">
        <f t="shared" si="71"/>
        <v>88.911205340161644</v>
      </c>
      <c r="M254" s="62">
        <f t="shared" si="71"/>
        <v>86.087624680190316</v>
      </c>
      <c r="N254" s="62">
        <f t="shared" si="71"/>
        <v>82.446692532602185</v>
      </c>
      <c r="O254" s="62">
        <f t="shared" si="71"/>
        <v>68.5582565015753</v>
      </c>
      <c r="P254" s="62" t="str">
        <f t="shared" si="71"/>
        <v xml:space="preserve"> </v>
      </c>
      <c r="Q254" s="62" t="str">
        <f t="shared" si="71"/>
        <v xml:space="preserve"> </v>
      </c>
      <c r="R254" s="62" t="str">
        <f t="shared" si="71"/>
        <v xml:space="preserve"> </v>
      </c>
      <c r="S254" s="62" t="str">
        <f t="shared" si="71"/>
        <v xml:space="preserve"> </v>
      </c>
      <c r="T254" s="62" t="str">
        <f t="shared" si="71"/>
        <v xml:space="preserve"> </v>
      </c>
      <c r="U254" s="62" t="str">
        <f t="shared" si="71"/>
        <v xml:space="preserve"> </v>
      </c>
      <c r="V254" s="62" t="str">
        <f t="shared" si="71"/>
        <v xml:space="preserve"> </v>
      </c>
    </row>
    <row r="255" spans="3:22" x14ac:dyDescent="0.2">
      <c r="C255" s="87" t="s">
        <v>131</v>
      </c>
      <c r="D255" s="60">
        <f t="shared" ref="D255:V255" si="72">+IFERROR(IF(D216&gt;0,+((D216/D21)*100)," "),"")</f>
        <v>86.45283493804213</v>
      </c>
      <c r="E255" s="60">
        <f t="shared" si="72"/>
        <v>88.23575417226219</v>
      </c>
      <c r="F255" s="60">
        <f t="shared" si="72"/>
        <v>85.358365631169733</v>
      </c>
      <c r="G255" s="60">
        <f t="shared" si="72"/>
        <v>80.281069267932878</v>
      </c>
      <c r="H255" s="60">
        <f t="shared" si="72"/>
        <v>83.989401755373919</v>
      </c>
      <c r="I255" s="60">
        <f t="shared" si="72"/>
        <v>85.221801564197918</v>
      </c>
      <c r="J255" s="60">
        <f t="shared" si="72"/>
        <v>79.943678993755412</v>
      </c>
      <c r="K255" s="60">
        <f t="shared" si="72"/>
        <v>82.579525365210614</v>
      </c>
      <c r="L255" s="60">
        <f t="shared" si="72"/>
        <v>86.194023282344787</v>
      </c>
      <c r="M255" s="60">
        <f t="shared" si="72"/>
        <v>89.971256235658046</v>
      </c>
      <c r="N255" s="60">
        <f t="shared" si="72"/>
        <v>84.142669332748071</v>
      </c>
      <c r="O255" s="60">
        <f t="shared" si="72"/>
        <v>80.237959183344742</v>
      </c>
      <c r="P255" s="60">
        <f t="shared" si="72"/>
        <v>80.050355155902992</v>
      </c>
      <c r="Q255" s="60">
        <f t="shared" si="72"/>
        <v>72.734492489838814</v>
      </c>
      <c r="R255" s="60">
        <f t="shared" si="72"/>
        <v>83.379500978029427</v>
      </c>
      <c r="S255" s="60">
        <f t="shared" si="72"/>
        <v>86.508271733694329</v>
      </c>
      <c r="T255" s="60">
        <f t="shared" si="72"/>
        <v>88.836323485223588</v>
      </c>
      <c r="U255" s="60">
        <f t="shared" si="72"/>
        <v>77.168019220993173</v>
      </c>
      <c r="V255" s="60">
        <f t="shared" si="72"/>
        <v>84.510928756804987</v>
      </c>
    </row>
    <row r="256" spans="3:22" x14ac:dyDescent="0.2">
      <c r="C256" s="88" t="s">
        <v>132</v>
      </c>
      <c r="D256" s="62">
        <f t="shared" ref="D256:V256" si="73">+IFERROR(IF(D217&gt;0,+((D217/D22)*100)," "),"")</f>
        <v>82.581298349565486</v>
      </c>
      <c r="E256" s="62">
        <f t="shared" si="73"/>
        <v>76.241687018482324</v>
      </c>
      <c r="F256" s="62">
        <f t="shared" si="73"/>
        <v>81.02588523478488</v>
      </c>
      <c r="G256" s="62">
        <f t="shared" si="73"/>
        <v>83.473537210798426</v>
      </c>
      <c r="H256" s="62">
        <f t="shared" si="73"/>
        <v>77.718356159445534</v>
      </c>
      <c r="I256" s="62">
        <f t="shared" si="73"/>
        <v>90.00605145804245</v>
      </c>
      <c r="J256" s="62">
        <f t="shared" si="73"/>
        <v>66.593496320554024</v>
      </c>
      <c r="K256" s="62">
        <f t="shared" si="73"/>
        <v>48.302694448361052</v>
      </c>
      <c r="L256" s="62">
        <f t="shared" si="73"/>
        <v>54.708049386612124</v>
      </c>
      <c r="M256" s="62">
        <f t="shared" si="73"/>
        <v>36.252058314190187</v>
      </c>
      <c r="N256" s="62">
        <f t="shared" si="73"/>
        <v>57.138243166425383</v>
      </c>
      <c r="O256" s="62">
        <f t="shared" si="73"/>
        <v>53.457364874448245</v>
      </c>
      <c r="P256" s="62">
        <f t="shared" si="73"/>
        <v>61.731790825440527</v>
      </c>
      <c r="Q256" s="62">
        <f t="shared" si="73"/>
        <v>44.300056477685025</v>
      </c>
      <c r="R256" s="62">
        <f t="shared" si="73"/>
        <v>49.522248501282782</v>
      </c>
      <c r="S256" s="62">
        <f t="shared" si="73"/>
        <v>52.314575091561565</v>
      </c>
      <c r="T256" s="62">
        <f t="shared" si="73"/>
        <v>75.036354021607821</v>
      </c>
      <c r="U256" s="62">
        <f t="shared" si="73"/>
        <v>77.548168150453904</v>
      </c>
      <c r="V256" s="62">
        <f t="shared" si="73"/>
        <v>79.699129834904056</v>
      </c>
    </row>
    <row r="257" spans="3:22" x14ac:dyDescent="0.2">
      <c r="C257" s="87" t="s">
        <v>133</v>
      </c>
      <c r="D257" s="60">
        <f t="shared" ref="D257:V257" si="74">+IFERROR(IF(D218&gt;0,+((D218/D23)*100)," "),"")</f>
        <v>48.873205038815549</v>
      </c>
      <c r="E257" s="60">
        <f t="shared" si="74"/>
        <v>32.655861478276471</v>
      </c>
      <c r="F257" s="60">
        <f t="shared" si="74"/>
        <v>74.790810853604341</v>
      </c>
      <c r="G257" s="60">
        <f t="shared" si="74"/>
        <v>22.575940656311875</v>
      </c>
      <c r="H257" s="60">
        <f t="shared" si="74"/>
        <v>71.092476805833911</v>
      </c>
      <c r="I257" s="60">
        <f t="shared" si="74"/>
        <v>69.214496583691471</v>
      </c>
      <c r="J257" s="60">
        <f t="shared" si="74"/>
        <v>72.090802333332931</v>
      </c>
      <c r="K257" s="60">
        <f t="shared" si="74"/>
        <v>48.151207800093729</v>
      </c>
      <c r="L257" s="60">
        <f t="shared" si="74"/>
        <v>35.580712741312738</v>
      </c>
      <c r="M257" s="60">
        <f t="shared" si="74"/>
        <v>46.785288581314873</v>
      </c>
      <c r="N257" s="60">
        <f t="shared" si="74"/>
        <v>14.313774985578508</v>
      </c>
      <c r="O257" s="60">
        <f t="shared" si="74"/>
        <v>23.475913787850786</v>
      </c>
      <c r="P257" s="60">
        <f t="shared" si="74"/>
        <v>18.513434845102005</v>
      </c>
      <c r="Q257" s="60">
        <f t="shared" si="74"/>
        <v>22.586683704964543</v>
      </c>
      <c r="R257" s="60">
        <f t="shared" si="74"/>
        <v>24.504393049321468</v>
      </c>
      <c r="S257" s="60">
        <f t="shared" si="74"/>
        <v>24.282738605084969</v>
      </c>
      <c r="T257" s="60">
        <f t="shared" si="74"/>
        <v>77.630168631496119</v>
      </c>
      <c r="U257" s="60">
        <f t="shared" si="74"/>
        <v>95.916553071963534</v>
      </c>
      <c r="V257" s="60">
        <f t="shared" si="74"/>
        <v>42.871300755827512</v>
      </c>
    </row>
    <row r="258" spans="3:22" x14ac:dyDescent="0.2">
      <c r="C258" s="88" t="s">
        <v>134</v>
      </c>
      <c r="D258" s="62">
        <f t="shared" ref="D258:V258" si="75">+IFERROR(IF(D219&gt;0,+((D219/D24)*100)," "),"")</f>
        <v>64.424496020597076</v>
      </c>
      <c r="E258" s="62">
        <f t="shared" si="75"/>
        <v>83.612990825523099</v>
      </c>
      <c r="F258" s="62">
        <f t="shared" si="75"/>
        <v>88.886402536697133</v>
      </c>
      <c r="G258" s="62">
        <f t="shared" si="75"/>
        <v>84.731249013092267</v>
      </c>
      <c r="H258" s="62">
        <f t="shared" si="75"/>
        <v>91.226019241200987</v>
      </c>
      <c r="I258" s="62">
        <f t="shared" si="75"/>
        <v>85.209369451594256</v>
      </c>
      <c r="J258" s="62">
        <f t="shared" si="75"/>
        <v>92.470825182726088</v>
      </c>
      <c r="K258" s="62">
        <f t="shared" si="75"/>
        <v>83.294180215731046</v>
      </c>
      <c r="L258" s="62">
        <f t="shared" si="75"/>
        <v>88.02616949678287</v>
      </c>
      <c r="M258" s="62">
        <f t="shared" si="75"/>
        <v>87.079446955965551</v>
      </c>
      <c r="N258" s="62">
        <f t="shared" si="75"/>
        <v>89.194288638156436</v>
      </c>
      <c r="O258" s="62">
        <f t="shared" si="75"/>
        <v>89.236331054113151</v>
      </c>
      <c r="P258" s="62">
        <f t="shared" si="75"/>
        <v>85.711564337046553</v>
      </c>
      <c r="Q258" s="62">
        <f t="shared" si="75"/>
        <v>75.284151559242957</v>
      </c>
      <c r="R258" s="62">
        <f t="shared" si="75"/>
        <v>67.423071227636484</v>
      </c>
      <c r="S258" s="62">
        <f t="shared" si="75"/>
        <v>68.543622276653977</v>
      </c>
      <c r="T258" s="62">
        <f t="shared" si="75"/>
        <v>74.265316750264859</v>
      </c>
      <c r="U258" s="62">
        <f t="shared" si="75"/>
        <v>74.152409073831208</v>
      </c>
      <c r="V258" s="62">
        <f t="shared" si="75"/>
        <v>78.078701712998296</v>
      </c>
    </row>
    <row r="259" spans="3:22" x14ac:dyDescent="0.2">
      <c r="C259" s="87" t="s">
        <v>135</v>
      </c>
      <c r="D259" s="60" t="str">
        <f t="shared" ref="D259:V259" si="76">+IFERROR(IF(D220&gt;0,+((D220/D25)*100),"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+IFERROR(IF(D221&gt;0,+((D221/D26)*100)," "),"")</f>
        <v>93.85522630282891</v>
      </c>
      <c r="E260" s="62">
        <f t="shared" si="77"/>
        <v>96.680354516125902</v>
      </c>
      <c r="F260" s="62">
        <f t="shared" si="77"/>
        <v>89.866479294552903</v>
      </c>
      <c r="G260" s="62">
        <f t="shared" si="77"/>
        <v>95.217251183219616</v>
      </c>
      <c r="H260" s="62">
        <f t="shared" si="77"/>
        <v>92.556602404256765</v>
      </c>
      <c r="I260" s="62">
        <f t="shared" si="77"/>
        <v>90.844457036613932</v>
      </c>
      <c r="J260" s="62">
        <f t="shared" si="77"/>
        <v>68.597778636479234</v>
      </c>
      <c r="K260" s="62">
        <f t="shared" si="77"/>
        <v>70.295197469543879</v>
      </c>
      <c r="L260" s="62">
        <f t="shared" si="77"/>
        <v>72.488513107731649</v>
      </c>
      <c r="M260" s="62">
        <f t="shared" si="77"/>
        <v>73.811334958303249</v>
      </c>
      <c r="N260" s="62">
        <f t="shared" si="77"/>
        <v>78.334273022651146</v>
      </c>
      <c r="O260" s="62">
        <f t="shared" si="77"/>
        <v>57.322077092608126</v>
      </c>
      <c r="P260" s="62">
        <f t="shared" si="77"/>
        <v>78.46239091230413</v>
      </c>
      <c r="Q260" s="62">
        <f t="shared" si="77"/>
        <v>80.422446629356713</v>
      </c>
      <c r="R260" s="62">
        <f t="shared" si="77"/>
        <v>82.147824340574203</v>
      </c>
      <c r="S260" s="62">
        <f t="shared" si="77"/>
        <v>85.013936139463382</v>
      </c>
      <c r="T260" s="62">
        <f t="shared" si="77"/>
        <v>85.889186265441339</v>
      </c>
      <c r="U260" s="62">
        <f t="shared" si="77"/>
        <v>97.033238018329399</v>
      </c>
      <c r="V260" s="62">
        <f t="shared" si="77"/>
        <v>85.583639496685336</v>
      </c>
    </row>
    <row r="261" spans="3:22" x14ac:dyDescent="0.2">
      <c r="C261" s="87" t="s">
        <v>137</v>
      </c>
      <c r="D261" s="60">
        <f t="shared" ref="D261:V261" si="78">+IFERROR(IF(D222&gt;0,+((D222/D27)*100)," "),"")</f>
        <v>83.394172988976507</v>
      </c>
      <c r="E261" s="60">
        <f t="shared" si="78"/>
        <v>81.280405211284631</v>
      </c>
      <c r="F261" s="60">
        <f t="shared" si="78"/>
        <v>95.351250618838606</v>
      </c>
      <c r="G261" s="60">
        <f t="shared" si="78"/>
        <v>82.475822173722307</v>
      </c>
      <c r="H261" s="60">
        <f t="shared" si="78"/>
        <v>86.164869781010765</v>
      </c>
      <c r="I261" s="60">
        <f t="shared" si="78"/>
        <v>88.161511400013808</v>
      </c>
      <c r="J261" s="60">
        <f t="shared" si="78"/>
        <v>89.428767623207406</v>
      </c>
      <c r="K261" s="60">
        <f t="shared" si="78"/>
        <v>91.035996511011746</v>
      </c>
      <c r="L261" s="60">
        <f t="shared" si="78"/>
        <v>84.108258450534876</v>
      </c>
      <c r="M261" s="60">
        <f t="shared" si="78"/>
        <v>90.896821563027743</v>
      </c>
      <c r="N261" s="60">
        <f t="shared" si="78"/>
        <v>93.343193332747404</v>
      </c>
      <c r="O261" s="60">
        <f t="shared" si="78"/>
        <v>93.094472844725857</v>
      </c>
      <c r="P261" s="60">
        <f t="shared" si="78"/>
        <v>70.694119858249266</v>
      </c>
      <c r="Q261" s="60">
        <f t="shared" si="78"/>
        <v>76.5663998515912</v>
      </c>
      <c r="R261" s="60">
        <f t="shared" si="78"/>
        <v>89.690444423710218</v>
      </c>
      <c r="S261" s="60">
        <f t="shared" si="78"/>
        <v>62.55364747472656</v>
      </c>
      <c r="T261" s="60">
        <f t="shared" si="78"/>
        <v>62.585459810243727</v>
      </c>
      <c r="U261" s="60">
        <f t="shared" si="78"/>
        <v>91.288861938309324</v>
      </c>
      <c r="V261" s="60">
        <f t="shared" si="78"/>
        <v>64.863401823627029</v>
      </c>
    </row>
    <row r="262" spans="3:22" x14ac:dyDescent="0.2">
      <c r="C262" s="88" t="s">
        <v>138</v>
      </c>
      <c r="D262" s="62">
        <f t="shared" ref="D262:V262" si="79">+IFERROR(IF(D223&gt;0,+((D223/D28)*100)," "),"")</f>
        <v>85.284681032272161</v>
      </c>
      <c r="E262" s="62">
        <f t="shared" si="79"/>
        <v>78.751078126129698</v>
      </c>
      <c r="F262" s="62">
        <f t="shared" si="79"/>
        <v>85.935224732965565</v>
      </c>
      <c r="G262" s="62">
        <f t="shared" si="79"/>
        <v>74.919042914510754</v>
      </c>
      <c r="H262" s="62">
        <f t="shared" si="79"/>
        <v>71.81905476369262</v>
      </c>
      <c r="I262" s="62">
        <f t="shared" si="79"/>
        <v>75.29040191245312</v>
      </c>
      <c r="J262" s="62">
        <f t="shared" si="79"/>
        <v>80.435342226393331</v>
      </c>
      <c r="K262" s="62">
        <f t="shared" si="79"/>
        <v>87.334020849526055</v>
      </c>
      <c r="L262" s="62">
        <f t="shared" si="79"/>
        <v>82.666236021129109</v>
      </c>
      <c r="M262" s="62">
        <f t="shared" si="79"/>
        <v>72.845046351858429</v>
      </c>
      <c r="N262" s="62">
        <f t="shared" si="79"/>
        <v>68.84881903616855</v>
      </c>
      <c r="O262" s="62">
        <f t="shared" si="79"/>
        <v>71.685095740732564</v>
      </c>
      <c r="P262" s="62">
        <f t="shared" si="79"/>
        <v>76.96392363812528</v>
      </c>
      <c r="Q262" s="62">
        <f t="shared" si="79"/>
        <v>91.605534435105369</v>
      </c>
      <c r="R262" s="62">
        <f t="shared" si="79"/>
        <v>81.154889454033295</v>
      </c>
      <c r="S262" s="62" t="str">
        <f t="shared" si="79"/>
        <v xml:space="preserve"> </v>
      </c>
      <c r="T262" s="62" t="str">
        <f t="shared" si="79"/>
        <v xml:space="preserve"> </v>
      </c>
      <c r="U262" s="62" t="str">
        <f t="shared" si="79"/>
        <v xml:space="preserve"> </v>
      </c>
      <c r="V262" s="62" t="str">
        <f t="shared" si="79"/>
        <v xml:space="preserve"> </v>
      </c>
    </row>
    <row r="263" spans="3:22" x14ac:dyDescent="0.2">
      <c r="C263" s="87" t="s">
        <v>139</v>
      </c>
      <c r="D263" s="60">
        <f t="shared" ref="D263:V263" si="80">+IFERROR(IF(D224&gt;0,+((D224/D29)*100)," "),"")</f>
        <v>94.414388769557959</v>
      </c>
      <c r="E263" s="60">
        <f t="shared" si="80"/>
        <v>56.391758730514297</v>
      </c>
      <c r="F263" s="60">
        <f t="shared" si="80"/>
        <v>75.341871536539102</v>
      </c>
      <c r="G263" s="60">
        <f t="shared" si="80"/>
        <v>68.365470907840887</v>
      </c>
      <c r="H263" s="60">
        <f t="shared" si="80"/>
        <v>79.748907952727578</v>
      </c>
      <c r="I263" s="60">
        <f t="shared" si="80"/>
        <v>81.77063459472042</v>
      </c>
      <c r="J263" s="60">
        <f t="shared" si="80"/>
        <v>69.104786013315504</v>
      </c>
      <c r="K263" s="60">
        <f t="shared" si="80"/>
        <v>82.335577460453095</v>
      </c>
      <c r="L263" s="60">
        <f t="shared" si="80"/>
        <v>80.459127552275206</v>
      </c>
      <c r="M263" s="60">
        <f t="shared" si="80"/>
        <v>58.218629620424281</v>
      </c>
      <c r="N263" s="60">
        <f t="shared" si="80"/>
        <v>45.721500852674588</v>
      </c>
      <c r="O263" s="60">
        <f t="shared" si="80"/>
        <v>70.070705738096123</v>
      </c>
      <c r="P263" s="60">
        <f t="shared" si="80"/>
        <v>74.594484909181645</v>
      </c>
      <c r="Q263" s="60">
        <f t="shared" si="80"/>
        <v>83.834840217429203</v>
      </c>
      <c r="R263" s="60">
        <f t="shared" si="80"/>
        <v>73.637882614238464</v>
      </c>
      <c r="S263" s="60">
        <f t="shared" si="80"/>
        <v>79.713763357148821</v>
      </c>
      <c r="T263" s="60">
        <f t="shared" si="80"/>
        <v>91.707270417857885</v>
      </c>
      <c r="U263" s="60">
        <f t="shared" si="80"/>
        <v>86.109011889665439</v>
      </c>
      <c r="V263" s="60">
        <f t="shared" si="80"/>
        <v>87.618647331652113</v>
      </c>
    </row>
    <row r="264" spans="3:22" x14ac:dyDescent="0.2">
      <c r="C264" s="88" t="s">
        <v>140</v>
      </c>
      <c r="D264" s="62">
        <f t="shared" ref="D264:V264" si="81">+IFERROR(IF(D225&gt;0,+((D225/D30)*100)," "),"")</f>
        <v>64.074532702557548</v>
      </c>
      <c r="E264" s="62">
        <f t="shared" si="81"/>
        <v>72.401094372306915</v>
      </c>
      <c r="F264" s="62">
        <f t="shared" si="81"/>
        <v>66.945184877395121</v>
      </c>
      <c r="G264" s="62">
        <f t="shared" si="81"/>
        <v>61.848700610917753</v>
      </c>
      <c r="H264" s="62">
        <f t="shared" si="81"/>
        <v>82.26080441918856</v>
      </c>
      <c r="I264" s="62">
        <f t="shared" si="81"/>
        <v>99.216419117508522</v>
      </c>
      <c r="J264" s="62">
        <f t="shared" si="81"/>
        <v>51.213225733122016</v>
      </c>
      <c r="K264" s="62">
        <f t="shared" si="81"/>
        <v>62.466600373240524</v>
      </c>
      <c r="L264" s="62">
        <f t="shared" si="81"/>
        <v>81.094966535206765</v>
      </c>
      <c r="M264" s="62">
        <f t="shared" si="81"/>
        <v>76.580382933326362</v>
      </c>
      <c r="N264" s="62">
        <f t="shared" si="81"/>
        <v>96.878960491379544</v>
      </c>
      <c r="O264" s="62">
        <f t="shared" si="81"/>
        <v>96.042313242594489</v>
      </c>
      <c r="P264" s="62">
        <f t="shared" si="81"/>
        <v>61.170722965552706</v>
      </c>
      <c r="Q264" s="62">
        <f t="shared" si="81"/>
        <v>50.169666471555843</v>
      </c>
      <c r="R264" s="62">
        <f t="shared" si="81"/>
        <v>87.187514099061175</v>
      </c>
      <c r="S264" s="62">
        <f t="shared" si="81"/>
        <v>90.977520138984744</v>
      </c>
      <c r="T264" s="62">
        <f t="shared" si="81"/>
        <v>90.053762497292936</v>
      </c>
      <c r="U264" s="62">
        <f t="shared" si="81"/>
        <v>92.461347432624805</v>
      </c>
      <c r="V264" s="62">
        <f t="shared" si="81"/>
        <v>86.381320093969265</v>
      </c>
    </row>
    <row r="265" spans="3:22" x14ac:dyDescent="0.2">
      <c r="C265" s="87" t="s">
        <v>141</v>
      </c>
      <c r="D265" s="60">
        <f t="shared" ref="D265:V265" si="82">+IFERROR(IF(D226&gt;0,+((D226/D31)*100)," "),"")</f>
        <v>39.850320662837305</v>
      </c>
      <c r="E265" s="60">
        <f t="shared" si="82"/>
        <v>55.037769485162421</v>
      </c>
      <c r="F265" s="60">
        <f t="shared" si="82"/>
        <v>79.939207928625663</v>
      </c>
      <c r="G265" s="60">
        <f t="shared" si="82"/>
        <v>58.598920112778096</v>
      </c>
      <c r="H265" s="60">
        <f t="shared" si="82"/>
        <v>62.172643114326931</v>
      </c>
      <c r="I265" s="60">
        <f t="shared" si="82"/>
        <v>52.728144151485445</v>
      </c>
      <c r="J265" s="60">
        <f t="shared" si="82"/>
        <v>77.524280567271092</v>
      </c>
      <c r="K265" s="60">
        <f t="shared" si="82"/>
        <v>85.117430348756102</v>
      </c>
      <c r="L265" s="60">
        <f t="shared" si="82"/>
        <v>84.299667049106802</v>
      </c>
      <c r="M265" s="60">
        <f t="shared" si="82"/>
        <v>85.487923541986035</v>
      </c>
      <c r="N265" s="60">
        <f t="shared" si="82"/>
        <v>73.586673965631803</v>
      </c>
      <c r="O265" s="60">
        <f t="shared" si="82"/>
        <v>72.764371487568354</v>
      </c>
      <c r="P265" s="60">
        <f t="shared" si="82"/>
        <v>50.793145717701208</v>
      </c>
      <c r="Q265" s="60">
        <f t="shared" si="82"/>
        <v>64.495049563618835</v>
      </c>
      <c r="R265" s="60">
        <f t="shared" si="82"/>
        <v>58.998653676754785</v>
      </c>
      <c r="S265" s="60">
        <f t="shared" si="82"/>
        <v>74.862263423390658</v>
      </c>
      <c r="T265" s="60">
        <f t="shared" si="82"/>
        <v>69.656824813775302</v>
      </c>
      <c r="U265" s="60">
        <f t="shared" si="82"/>
        <v>67.817802314666949</v>
      </c>
      <c r="V265" s="60">
        <f t="shared" si="82"/>
        <v>73.770586052879992</v>
      </c>
    </row>
    <row r="266" spans="3:22" x14ac:dyDescent="0.2">
      <c r="C266" s="88" t="s">
        <v>142</v>
      </c>
      <c r="D266" s="62">
        <f t="shared" ref="D266:V266" si="83">+IFERROR(IF(D227&gt;0,+((D227/D32)*100)," "),"")</f>
        <v>91.873404237065614</v>
      </c>
      <c r="E266" s="62">
        <f t="shared" si="83"/>
        <v>93.583426937518084</v>
      </c>
      <c r="F266" s="62">
        <f t="shared" si="83"/>
        <v>83.291960415646386</v>
      </c>
      <c r="G266" s="62">
        <f t="shared" si="83"/>
        <v>71.242306652141068</v>
      </c>
      <c r="H266" s="62">
        <f t="shared" si="83"/>
        <v>76.946610158569314</v>
      </c>
      <c r="I266" s="62">
        <f t="shared" si="83"/>
        <v>78.687268302504449</v>
      </c>
      <c r="J266" s="62">
        <f t="shared" si="83"/>
        <v>64.4261222896059</v>
      </c>
      <c r="K266" s="62">
        <f t="shared" si="83"/>
        <v>69.867962362108088</v>
      </c>
      <c r="L266" s="62">
        <f t="shared" si="83"/>
        <v>78.997367070872343</v>
      </c>
      <c r="M266" s="62">
        <f t="shared" si="83"/>
        <v>67.558243776367917</v>
      </c>
      <c r="N266" s="62">
        <f t="shared" si="83"/>
        <v>89.13851770171506</v>
      </c>
      <c r="O266" s="62">
        <f t="shared" si="83"/>
        <v>79.690228695502071</v>
      </c>
      <c r="P266" s="62">
        <f t="shared" si="83"/>
        <v>85.22421903103556</v>
      </c>
      <c r="Q266" s="62">
        <f t="shared" si="83"/>
        <v>54.029741982599568</v>
      </c>
      <c r="R266" s="62">
        <f t="shared" si="83"/>
        <v>83.240813836922726</v>
      </c>
      <c r="S266" s="62">
        <f t="shared" si="83"/>
        <v>87.479441295168527</v>
      </c>
      <c r="T266" s="62">
        <f t="shared" si="83"/>
        <v>91.535894724216107</v>
      </c>
      <c r="U266" s="62">
        <f t="shared" si="83"/>
        <v>89.268376868911332</v>
      </c>
      <c r="V266" s="62">
        <f t="shared" si="83"/>
        <v>90.498044261768243</v>
      </c>
    </row>
    <row r="267" spans="3:22" x14ac:dyDescent="0.2">
      <c r="C267" s="87" t="s">
        <v>143</v>
      </c>
      <c r="D267" s="60" t="str">
        <f t="shared" ref="D267:V267" si="84">+IFERROR(IF(D228&gt;0,+((D228/D33)*100)," "),"")</f>
        <v xml:space="preserve"> </v>
      </c>
      <c r="E267" s="60" t="str">
        <f t="shared" si="84"/>
        <v xml:space="preserve"> </v>
      </c>
      <c r="F267" s="60" t="str">
        <f t="shared" si="84"/>
        <v xml:space="preserve"> </v>
      </c>
      <c r="G267" s="60" t="str">
        <f t="shared" si="84"/>
        <v xml:space="preserve"> </v>
      </c>
      <c r="H267" s="60" t="str">
        <f t="shared" si="84"/>
        <v xml:space="preserve"> </v>
      </c>
      <c r="I267" s="60" t="str">
        <f t="shared" si="84"/>
        <v xml:space="preserve"> </v>
      </c>
      <c r="J267" s="60" t="str">
        <f t="shared" si="84"/>
        <v xml:space="preserve"> </v>
      </c>
      <c r="K267" s="60" t="str">
        <f t="shared" si="84"/>
        <v xml:space="preserve"> </v>
      </c>
      <c r="L267" s="60" t="str">
        <f t="shared" si="84"/>
        <v xml:space="preserve"> </v>
      </c>
      <c r="M267" s="60" t="str">
        <f t="shared" si="84"/>
        <v xml:space="preserve"> </v>
      </c>
      <c r="N267" s="60" t="str">
        <f t="shared" si="84"/>
        <v xml:space="preserve"> </v>
      </c>
      <c r="O267" s="60" t="str">
        <f t="shared" si="84"/>
        <v xml:space="preserve"> </v>
      </c>
      <c r="P267" s="60" t="str">
        <f t="shared" si="84"/>
        <v xml:space="preserve"> </v>
      </c>
      <c r="Q267" s="60" t="str">
        <f t="shared" si="84"/>
        <v xml:space="preserve"> </v>
      </c>
      <c r="R267" s="60" t="str">
        <f t="shared" si="84"/>
        <v xml:space="preserve"> </v>
      </c>
      <c r="S267" s="60" t="str">
        <f t="shared" si="84"/>
        <v xml:space="preserve"> </v>
      </c>
      <c r="T267" s="60" t="str">
        <f t="shared" si="84"/>
        <v xml:space="preserve"> </v>
      </c>
      <c r="U267" s="60" t="str">
        <f t="shared" si="84"/>
        <v xml:space="preserve"> </v>
      </c>
      <c r="V267" s="60" t="str">
        <f t="shared" si="84"/>
        <v xml:space="preserve"> </v>
      </c>
    </row>
    <row r="268" spans="3:22" x14ac:dyDescent="0.2">
      <c r="C268" s="88" t="s">
        <v>144</v>
      </c>
      <c r="D268" s="62" t="str">
        <f t="shared" ref="D268:V268" si="85">+IFERROR(IF(D229&gt;0,+((D229/D34)*100)," "),"")</f>
        <v xml:space="preserve"> </v>
      </c>
      <c r="E268" s="62" t="str">
        <f t="shared" si="85"/>
        <v xml:space="preserve"> </v>
      </c>
      <c r="F268" s="62" t="str">
        <f t="shared" si="85"/>
        <v xml:space="preserve"> </v>
      </c>
      <c r="G268" s="62" t="str">
        <f t="shared" si="85"/>
        <v xml:space="preserve"> </v>
      </c>
      <c r="H268" s="62" t="str">
        <f t="shared" si="85"/>
        <v xml:space="preserve"> </v>
      </c>
      <c r="I268" s="62" t="str">
        <f t="shared" si="85"/>
        <v xml:space="preserve"> </v>
      </c>
      <c r="J268" s="62" t="str">
        <f t="shared" si="85"/>
        <v xml:space="preserve"> </v>
      </c>
      <c r="K268" s="62" t="str">
        <f t="shared" si="85"/>
        <v xml:space="preserve"> </v>
      </c>
      <c r="L268" s="62" t="str">
        <f t="shared" si="85"/>
        <v xml:space="preserve"> </v>
      </c>
      <c r="M268" s="62" t="str">
        <f t="shared" si="85"/>
        <v xml:space="preserve"> </v>
      </c>
      <c r="N268" s="62" t="str">
        <f t="shared" si="85"/>
        <v xml:space="preserve"> </v>
      </c>
      <c r="O268" s="62" t="str">
        <f t="shared" si="85"/>
        <v xml:space="preserve"> </v>
      </c>
      <c r="P268" s="62" t="str">
        <f t="shared" si="85"/>
        <v xml:space="preserve"> </v>
      </c>
      <c r="Q268" s="62" t="str">
        <f t="shared" si="85"/>
        <v xml:space="preserve"> </v>
      </c>
      <c r="R268" s="62" t="str">
        <f t="shared" si="85"/>
        <v xml:space="preserve"> </v>
      </c>
      <c r="S268" s="62" t="str">
        <f t="shared" si="85"/>
        <v xml:space="preserve"> </v>
      </c>
      <c r="T268" s="62" t="str">
        <f t="shared" si="85"/>
        <v xml:space="preserve"> </v>
      </c>
      <c r="U268" s="62" t="str">
        <f t="shared" si="85"/>
        <v xml:space="preserve"> </v>
      </c>
      <c r="V268" s="62" t="str">
        <f t="shared" si="85"/>
        <v xml:space="preserve"> </v>
      </c>
    </row>
    <row r="269" spans="3:22" x14ac:dyDescent="0.2">
      <c r="C269" s="87" t="s">
        <v>145</v>
      </c>
      <c r="D269" s="60">
        <f t="shared" ref="D269:V269" si="86">+IFERROR(IF(D230&gt;0,+((D230/D35)*100)," "),"")</f>
        <v>83.083943755497486</v>
      </c>
      <c r="E269" s="60">
        <f t="shared" si="86"/>
        <v>57.096497214306162</v>
      </c>
      <c r="F269" s="60">
        <f t="shared" si="86"/>
        <v>85.44391793897455</v>
      </c>
      <c r="G269" s="60">
        <f t="shared" si="86"/>
        <v>70.216079293161243</v>
      </c>
      <c r="H269" s="60">
        <f t="shared" si="86"/>
        <v>52.846357117043887</v>
      </c>
      <c r="I269" s="60">
        <f t="shared" si="86"/>
        <v>70.417730526212836</v>
      </c>
      <c r="J269" s="60">
        <f t="shared" si="86"/>
        <v>55.072807576511494</v>
      </c>
      <c r="K269" s="60">
        <f t="shared" si="86"/>
        <v>60.819937159824747</v>
      </c>
      <c r="L269" s="60">
        <f t="shared" si="86"/>
        <v>63.784346456692909</v>
      </c>
      <c r="M269" s="60">
        <f t="shared" si="86"/>
        <v>68.710580307613142</v>
      </c>
      <c r="N269" s="60">
        <f t="shared" si="86"/>
        <v>73.757776520895234</v>
      </c>
      <c r="O269" s="60">
        <f t="shared" si="86"/>
        <v>72.914741861762096</v>
      </c>
      <c r="P269" s="60">
        <f t="shared" si="86"/>
        <v>82.355885748221311</v>
      </c>
      <c r="Q269" s="60">
        <f t="shared" si="86"/>
        <v>86.117850686194402</v>
      </c>
      <c r="R269" s="60">
        <f t="shared" si="86"/>
        <v>80.936475787764365</v>
      </c>
      <c r="S269" s="60">
        <f t="shared" si="86"/>
        <v>91.552205123329429</v>
      </c>
      <c r="T269" s="60">
        <f t="shared" si="86"/>
        <v>92.078434263299769</v>
      </c>
      <c r="U269" s="60">
        <f t="shared" si="86"/>
        <v>95.261476712547932</v>
      </c>
      <c r="V269" s="60">
        <f t="shared" si="86"/>
        <v>87.991509089655509</v>
      </c>
    </row>
    <row r="270" spans="3:22" x14ac:dyDescent="0.2">
      <c r="C270" s="88" t="s">
        <v>146</v>
      </c>
      <c r="D270" s="62">
        <f t="shared" ref="D270:V270" si="87">+IFERROR(IF(D231&gt;0,+((D231/D36)*100)," "),"")</f>
        <v>96.98579355318742</v>
      </c>
      <c r="E270" s="62">
        <f t="shared" si="87"/>
        <v>91.105002937651591</v>
      </c>
      <c r="F270" s="62">
        <f t="shared" si="87"/>
        <v>80.592600890646139</v>
      </c>
      <c r="G270" s="62">
        <f t="shared" si="87"/>
        <v>88.072171165338759</v>
      </c>
      <c r="H270" s="62">
        <f t="shared" si="87"/>
        <v>77.564710211740376</v>
      </c>
      <c r="I270" s="62">
        <f t="shared" si="87"/>
        <v>86.814876882840124</v>
      </c>
      <c r="J270" s="62">
        <f t="shared" si="87"/>
        <v>72.768552843229699</v>
      </c>
      <c r="K270" s="62">
        <f t="shared" si="87"/>
        <v>86.830060918547332</v>
      </c>
      <c r="L270" s="62">
        <f t="shared" si="87"/>
        <v>78.889921616716691</v>
      </c>
      <c r="M270" s="62">
        <f t="shared" si="87"/>
        <v>93.591399631638112</v>
      </c>
      <c r="N270" s="62">
        <f t="shared" si="87"/>
        <v>87.319613745475507</v>
      </c>
      <c r="O270" s="62">
        <f t="shared" si="87"/>
        <v>92.424613876744942</v>
      </c>
      <c r="P270" s="62">
        <f t="shared" si="87"/>
        <v>94.463940042817057</v>
      </c>
      <c r="Q270" s="62">
        <f t="shared" si="87"/>
        <v>96.843337299786</v>
      </c>
      <c r="R270" s="62">
        <f t="shared" si="87"/>
        <v>97.26266083649746</v>
      </c>
      <c r="S270" s="62">
        <f t="shared" si="87"/>
        <v>95.601078412408981</v>
      </c>
      <c r="T270" s="62">
        <f t="shared" si="87"/>
        <v>95.324738336361207</v>
      </c>
      <c r="U270" s="62">
        <f t="shared" si="87"/>
        <v>87.511964362469485</v>
      </c>
      <c r="V270" s="62">
        <f t="shared" si="87"/>
        <v>76.357583340431475</v>
      </c>
    </row>
    <row r="271" spans="3:22" x14ac:dyDescent="0.2">
      <c r="C271" s="90" t="s">
        <v>147</v>
      </c>
      <c r="D271" s="61">
        <f t="shared" ref="D271:V271" si="88">+IFERROR(IF(D232&gt;0,+((D232/D37)*100)," "),"")</f>
        <v>73.009042056439469</v>
      </c>
      <c r="E271" s="61">
        <f t="shared" si="88"/>
        <v>73.898607038761028</v>
      </c>
      <c r="F271" s="61">
        <f t="shared" si="88"/>
        <v>79.908261278628743</v>
      </c>
      <c r="G271" s="61">
        <f t="shared" si="88"/>
        <v>81.580444244238464</v>
      </c>
      <c r="H271" s="61">
        <f t="shared" si="88"/>
        <v>74.216262211802373</v>
      </c>
      <c r="I271" s="61">
        <f t="shared" si="88"/>
        <v>79.224049190723861</v>
      </c>
      <c r="J271" s="61">
        <f t="shared" si="88"/>
        <v>69.518138817266561</v>
      </c>
      <c r="K271" s="61">
        <f t="shared" si="88"/>
        <v>61.729492750040535</v>
      </c>
      <c r="L271" s="61">
        <f t="shared" si="88"/>
        <v>85.939000968702473</v>
      </c>
      <c r="M271" s="61">
        <f t="shared" si="88"/>
        <v>82.098892853775425</v>
      </c>
      <c r="N271" s="61">
        <f t="shared" si="88"/>
        <v>86.018890446053419</v>
      </c>
      <c r="O271" s="61">
        <f t="shared" si="88"/>
        <v>78.601479511331078</v>
      </c>
      <c r="P271" s="61">
        <f t="shared" si="88"/>
        <v>87.633001325249467</v>
      </c>
      <c r="Q271" s="61">
        <f t="shared" si="88"/>
        <v>74.161328164813241</v>
      </c>
      <c r="R271" s="61">
        <f t="shared" si="88"/>
        <v>82.995164950954475</v>
      </c>
      <c r="S271" s="61">
        <f t="shared" si="88"/>
        <v>89.672374476289065</v>
      </c>
      <c r="T271" s="61">
        <f t="shared" si="88"/>
        <v>91.304764333541783</v>
      </c>
      <c r="U271" s="61">
        <f t="shared" si="88"/>
        <v>91.415333190123746</v>
      </c>
      <c r="V271" s="61">
        <f t="shared" si="88"/>
        <v>84.928646231123423</v>
      </c>
    </row>
    <row r="272" spans="3:22" ht="22.5" customHeight="1" x14ac:dyDescent="0.2">
      <c r="C272" s="89" t="s">
        <v>148</v>
      </c>
      <c r="D272" s="63" t="str">
        <f t="shared" ref="D272:V272" si="89">+IFERROR(IF(D233&gt;0,+((D233/D38)*100),"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 t="str">
        <f t="shared" si="89"/>
        <v xml:space="preserve"> </v>
      </c>
      <c r="V272" s="63" t="str">
        <f t="shared" si="89"/>
        <v xml:space="preserve"> </v>
      </c>
    </row>
    <row r="273" spans="3:22" x14ac:dyDescent="0.2">
      <c r="C273" s="87" t="s">
        <v>149</v>
      </c>
      <c r="D273" s="60">
        <f t="shared" ref="D273:V273" si="90">+IFERROR(IF(D234&gt;0,+((D234/D39)*100)," "),"")</f>
        <v>35.810577076807235</v>
      </c>
      <c r="E273" s="60">
        <f t="shared" si="90"/>
        <v>37.457455828316633</v>
      </c>
      <c r="F273" s="60">
        <f t="shared" si="90"/>
        <v>42.007833001388981</v>
      </c>
      <c r="G273" s="60">
        <f t="shared" si="90"/>
        <v>54.295731882441487</v>
      </c>
      <c r="H273" s="60">
        <f t="shared" si="90"/>
        <v>48.449196474727316</v>
      </c>
      <c r="I273" s="60">
        <f t="shared" si="90"/>
        <v>4.3396397279436343</v>
      </c>
      <c r="J273" s="60">
        <f t="shared" si="90"/>
        <v>45.536861602546153</v>
      </c>
      <c r="K273" s="60">
        <f t="shared" si="90"/>
        <v>47.044353321936072</v>
      </c>
      <c r="L273" s="60">
        <f t="shared" si="90"/>
        <v>57.548259603527619</v>
      </c>
      <c r="M273" s="60">
        <f t="shared" si="90"/>
        <v>61.441323418788173</v>
      </c>
      <c r="N273" s="60">
        <f t="shared" si="90"/>
        <v>64.888963805724131</v>
      </c>
      <c r="O273" s="60">
        <f t="shared" si="90"/>
        <v>68.73488062197832</v>
      </c>
      <c r="P273" s="60">
        <f t="shared" si="90"/>
        <v>74.847090942267641</v>
      </c>
      <c r="Q273" s="60">
        <f t="shared" si="90"/>
        <v>68.851317981795873</v>
      </c>
      <c r="R273" s="60">
        <f t="shared" si="90"/>
        <v>79.75379532951743</v>
      </c>
      <c r="S273" s="60">
        <f t="shared" si="90"/>
        <v>83.382744583793638</v>
      </c>
      <c r="T273" s="60">
        <f t="shared" si="90"/>
        <v>86.170484485587409</v>
      </c>
      <c r="U273" s="60">
        <f t="shared" si="90"/>
        <v>94.340876459376602</v>
      </c>
      <c r="V273" s="60">
        <f t="shared" si="90"/>
        <v>76.121932168842392</v>
      </c>
    </row>
    <row r="274" spans="3:22" x14ac:dyDescent="0.2">
      <c r="C274" s="88" t="s">
        <v>150</v>
      </c>
      <c r="D274" s="62">
        <f t="shared" ref="D274:V274" si="91">+IFERROR(IF(D235&gt;0,+((D235/D40)*100)," "),"")</f>
        <v>95.689081518728401</v>
      </c>
      <c r="E274" s="62">
        <f t="shared" si="91"/>
        <v>85.128344838551584</v>
      </c>
      <c r="F274" s="62">
        <f t="shared" si="91"/>
        <v>91.037412889874076</v>
      </c>
      <c r="G274" s="62">
        <f t="shared" si="91"/>
        <v>93.828761420971972</v>
      </c>
      <c r="H274" s="62">
        <f t="shared" si="91"/>
        <v>92.392673182396507</v>
      </c>
      <c r="I274" s="62">
        <f t="shared" si="91"/>
        <v>94.43549824379744</v>
      </c>
      <c r="J274" s="62">
        <f t="shared" si="91"/>
        <v>90.398172547571406</v>
      </c>
      <c r="K274" s="62">
        <f t="shared" si="91"/>
        <v>85.400192802155601</v>
      </c>
      <c r="L274" s="62">
        <f t="shared" si="91"/>
        <v>81.952451391414499</v>
      </c>
      <c r="M274" s="62">
        <f t="shared" si="91"/>
        <v>82.094325914355039</v>
      </c>
      <c r="N274" s="62">
        <f t="shared" si="91"/>
        <v>92.086040130605923</v>
      </c>
      <c r="O274" s="62">
        <f t="shared" si="91"/>
        <v>66.517966076547125</v>
      </c>
      <c r="P274" s="62">
        <f t="shared" si="91"/>
        <v>91.924602062889321</v>
      </c>
      <c r="Q274" s="62">
        <f t="shared" si="91"/>
        <v>87.679365399598652</v>
      </c>
      <c r="R274" s="62">
        <f t="shared" si="91"/>
        <v>90.595732249028757</v>
      </c>
      <c r="S274" s="62">
        <f t="shared" si="91"/>
        <v>92.589031555803416</v>
      </c>
      <c r="T274" s="62">
        <f t="shared" si="91"/>
        <v>93.829376085656747</v>
      </c>
      <c r="U274" s="62">
        <f t="shared" si="91"/>
        <v>88.827295048236138</v>
      </c>
      <c r="V274" s="62">
        <f t="shared" si="91"/>
        <v>93.914935265662891</v>
      </c>
    </row>
    <row r="275" spans="3:22" x14ac:dyDescent="0.2">
      <c r="C275" s="87" t="s">
        <v>151</v>
      </c>
      <c r="D275" s="60">
        <f t="shared" ref="D275:V275" si="92">+IFERROR(IF(D236&gt;0,+((D236/D41)*100)," "),"")</f>
        <v>83.128727152620456</v>
      </c>
      <c r="E275" s="60">
        <f t="shared" si="92"/>
        <v>71.863155497689803</v>
      </c>
      <c r="F275" s="60">
        <f t="shared" si="92"/>
        <v>52.779563715997114</v>
      </c>
      <c r="G275" s="60">
        <f t="shared" si="92"/>
        <v>46.602539581465379</v>
      </c>
      <c r="H275" s="60">
        <f t="shared" si="92"/>
        <v>41.464590635791666</v>
      </c>
      <c r="I275" s="60">
        <f t="shared" si="92"/>
        <v>81.630692470508492</v>
      </c>
      <c r="J275" s="60">
        <f t="shared" si="92"/>
        <v>42.062504191862857</v>
      </c>
      <c r="K275" s="60">
        <f t="shared" si="92"/>
        <v>56.292125523129734</v>
      </c>
      <c r="L275" s="60" t="str">
        <f t="shared" si="92"/>
        <v xml:space="preserve"> </v>
      </c>
      <c r="M275" s="60" t="str">
        <f t="shared" si="92"/>
        <v xml:space="preserve"> </v>
      </c>
      <c r="N275" s="60" t="str">
        <f t="shared" si="92"/>
        <v xml:space="preserve"> </v>
      </c>
      <c r="O275" s="60" t="str">
        <f t="shared" si="92"/>
        <v xml:space="preserve"> </v>
      </c>
      <c r="P275" s="60" t="str">
        <f t="shared" si="92"/>
        <v xml:space="preserve"> </v>
      </c>
      <c r="Q275" s="60" t="str">
        <f t="shared" si="92"/>
        <v xml:space="preserve"> </v>
      </c>
      <c r="R275" s="60" t="str">
        <f t="shared" si="92"/>
        <v xml:space="preserve"> </v>
      </c>
      <c r="S275" s="60" t="str">
        <f t="shared" si="92"/>
        <v xml:space="preserve"> </v>
      </c>
      <c r="T275" s="60" t="str">
        <f t="shared" si="92"/>
        <v xml:space="preserve"> </v>
      </c>
      <c r="U275" s="60" t="str">
        <f t="shared" si="92"/>
        <v xml:space="preserve"> </v>
      </c>
      <c r="V275" s="60" t="str">
        <f t="shared" si="92"/>
        <v xml:space="preserve"> </v>
      </c>
    </row>
    <row r="276" spans="3:22" x14ac:dyDescent="0.2">
      <c r="C276" s="91" t="s">
        <v>179</v>
      </c>
      <c r="D276" s="64">
        <f t="shared" ref="D276:V276" si="93">+IFERROR(IF(D237&gt;0,+((D237/D42)*100)," "),"")</f>
        <v>73.474903513078289</v>
      </c>
      <c r="E276" s="64">
        <f t="shared" si="93"/>
        <v>73.804017373107499</v>
      </c>
      <c r="F276" s="64">
        <f t="shared" si="93"/>
        <v>75.747692171229218</v>
      </c>
      <c r="G276" s="64">
        <f t="shared" si="93"/>
        <v>77.340907723757539</v>
      </c>
      <c r="H276" s="64">
        <f t="shared" si="93"/>
        <v>80.523758326549725</v>
      </c>
      <c r="I276" s="64">
        <f t="shared" si="93"/>
        <v>87.833952786361436</v>
      </c>
      <c r="J276" s="64">
        <f t="shared" si="93"/>
        <v>68.529440369524039</v>
      </c>
      <c r="K276" s="64">
        <f t="shared" si="93"/>
        <v>76.180676597430931</v>
      </c>
      <c r="L276" s="64">
        <f t="shared" si="93"/>
        <v>80.884235485553901</v>
      </c>
      <c r="M276" s="64">
        <f t="shared" si="93"/>
        <v>76.64675784418769</v>
      </c>
      <c r="N276" s="64">
        <f t="shared" si="93"/>
        <v>81.348556100997399</v>
      </c>
      <c r="O276" s="64">
        <f t="shared" si="93"/>
        <v>76.871784953195061</v>
      </c>
      <c r="P276" s="64">
        <f t="shared" si="93"/>
        <v>77.776987881219455</v>
      </c>
      <c r="Q276" s="64">
        <f t="shared" si="93"/>
        <v>75.961586673924145</v>
      </c>
      <c r="R276" s="64">
        <f t="shared" si="93"/>
        <v>81.013040431119379</v>
      </c>
      <c r="S276" s="64">
        <f t="shared" si="93"/>
        <v>83.571170625211749</v>
      </c>
      <c r="T276" s="64">
        <f t="shared" si="93"/>
        <v>87.855159926889144</v>
      </c>
      <c r="U276" s="64">
        <f t="shared" si="93"/>
        <v>89.380956517109794</v>
      </c>
      <c r="V276" s="64">
        <f t="shared" si="93"/>
        <v>85.284936692090668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J245:J246"/>
    <mergeCell ref="D165:V165"/>
    <mergeCell ref="D9:V9"/>
    <mergeCell ref="K129:K130"/>
    <mergeCell ref="P6:P7"/>
    <mergeCell ref="M129:M130"/>
    <mergeCell ref="R6:R7"/>
    <mergeCell ref="T206:T207"/>
    <mergeCell ref="H11:H12"/>
    <mergeCell ref="M90:M91"/>
    <mergeCell ref="J11:J12"/>
    <mergeCell ref="E245:E246"/>
    <mergeCell ref="K90:K91"/>
    <mergeCell ref="J168:J169"/>
    <mergeCell ref="H90:H91"/>
    <mergeCell ref="L168:L169"/>
    <mergeCell ref="S245:S246"/>
    <mergeCell ref="K245:K246"/>
    <mergeCell ref="U245:U246"/>
    <mergeCell ref="T11:T12"/>
    <mergeCell ref="G51:G52"/>
    <mergeCell ref="Q90:Q91"/>
    <mergeCell ref="I51:I52"/>
    <mergeCell ref="M206:M207"/>
    <mergeCell ref="N168:N169"/>
    <mergeCell ref="P168:P169"/>
    <mergeCell ref="N90:N91"/>
    <mergeCell ref="J129:J130"/>
    <mergeCell ref="J51:J52"/>
    <mergeCell ref="N206:N207"/>
    <mergeCell ref="I6:I7"/>
    <mergeCell ref="K6:K7"/>
    <mergeCell ref="Q168:Q169"/>
    <mergeCell ref="N129:N130"/>
    <mergeCell ref="O206:O207"/>
    <mergeCell ref="S168:S169"/>
    <mergeCell ref="P129:P130"/>
    <mergeCell ref="U6:U7"/>
    <mergeCell ref="P51:P52"/>
    <mergeCell ref="V206:V207"/>
    <mergeCell ref="D11:D12"/>
    <mergeCell ref="P90:P91"/>
    <mergeCell ref="C168:C169"/>
    <mergeCell ref="P11:P12"/>
    <mergeCell ref="L6:L7"/>
    <mergeCell ref="N6:N7"/>
    <mergeCell ref="A7:C7"/>
    <mergeCell ref="I11:I12"/>
    <mergeCell ref="F168:F169"/>
    <mergeCell ref="D90:D91"/>
    <mergeCell ref="D87:V87"/>
    <mergeCell ref="S11:S12"/>
    <mergeCell ref="U11:U12"/>
    <mergeCell ref="L166:Q166"/>
    <mergeCell ref="E51:E52"/>
    <mergeCell ref="I206:I207"/>
    <mergeCell ref="M11:M12"/>
    <mergeCell ref="F129:F130"/>
    <mergeCell ref="H129:H130"/>
    <mergeCell ref="V245:V246"/>
    <mergeCell ref="D206:D207"/>
    <mergeCell ref="C129:C130"/>
    <mergeCell ref="V11:V12"/>
    <mergeCell ref="J206:J207"/>
    <mergeCell ref="C51:C52"/>
    <mergeCell ref="G206:G207"/>
    <mergeCell ref="O51:O52"/>
    <mergeCell ref="G129:G130"/>
    <mergeCell ref="S206:S207"/>
    <mergeCell ref="D168:D169"/>
    <mergeCell ref="P206:P207"/>
    <mergeCell ref="S129:S130"/>
    <mergeCell ref="U206:U207"/>
    <mergeCell ref="V168:V169"/>
    <mergeCell ref="F11:F12"/>
    <mergeCell ref="U129:U130"/>
    <mergeCell ref="S51:S52"/>
    <mergeCell ref="I245:I246"/>
    <mergeCell ref="U51:U52"/>
    <mergeCell ref="C245:C246"/>
    <mergeCell ref="G90:G91"/>
    <mergeCell ref="V129:V130"/>
    <mergeCell ref="G11:G12"/>
    <mergeCell ref="M245:M246"/>
    <mergeCell ref="D245:D246"/>
    <mergeCell ref="E168:E169"/>
    <mergeCell ref="G168:G169"/>
    <mergeCell ref="D242:V242"/>
    <mergeCell ref="S6:S7"/>
    <mergeCell ref="O6:O7"/>
    <mergeCell ref="R206:R207"/>
    <mergeCell ref="N245:N246"/>
    <mergeCell ref="O11:O12"/>
    <mergeCell ref="F245:F246"/>
    <mergeCell ref="P245:P246"/>
    <mergeCell ref="J90:J91"/>
    <mergeCell ref="O129:O130"/>
    <mergeCell ref="L245:L246"/>
    <mergeCell ref="K11:K12"/>
    <mergeCell ref="F51:F52"/>
    <mergeCell ref="H51:H52"/>
    <mergeCell ref="L206:L207"/>
    <mergeCell ref="R51:R52"/>
    <mergeCell ref="G6:G7"/>
    <mergeCell ref="M168:M169"/>
    <mergeCell ref="L129:L130"/>
    <mergeCell ref="O168:O169"/>
    <mergeCell ref="C90:C91"/>
    <mergeCell ref="E90:E91"/>
    <mergeCell ref="M6:M7"/>
    <mergeCell ref="T90:T91"/>
    <mergeCell ref="L90:L91"/>
    <mergeCell ref="T6:T7"/>
    <mergeCell ref="Q129:Q130"/>
    <mergeCell ref="L11:L12"/>
    <mergeCell ref="N11:N12"/>
    <mergeCell ref="I90:I91"/>
    <mergeCell ref="D48:V48"/>
    <mergeCell ref="O90:O91"/>
    <mergeCell ref="R11:R12"/>
    <mergeCell ref="D6:D7"/>
    <mergeCell ref="I129:I130"/>
    <mergeCell ref="F6:F7"/>
    <mergeCell ref="Q6:Q7"/>
    <mergeCell ref="Q11:Q12"/>
    <mergeCell ref="O245:O246"/>
    <mergeCell ref="E206:E207"/>
    <mergeCell ref="D4:V4"/>
    <mergeCell ref="K51:K52"/>
    <mergeCell ref="Q245:Q246"/>
    <mergeCell ref="S90:S91"/>
    <mergeCell ref="M51:M52"/>
    <mergeCell ref="H6:H7"/>
    <mergeCell ref="H168:H169"/>
    <mergeCell ref="J6:J7"/>
    <mergeCell ref="Q206:Q207"/>
    <mergeCell ref="L88:Q88"/>
    <mergeCell ref="R168:R169"/>
    <mergeCell ref="U90:U91"/>
    <mergeCell ref="D127:V127"/>
    <mergeCell ref="T168:T169"/>
    <mergeCell ref="R90:R91"/>
    <mergeCell ref="V6:V7"/>
    <mergeCell ref="Q51:Q52"/>
    <mergeCell ref="G245:G246"/>
    <mergeCell ref="R245:R246"/>
    <mergeCell ref="T245:T246"/>
    <mergeCell ref="L243:Q243"/>
    <mergeCell ref="F206:F207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C11:C12"/>
    <mergeCell ref="E6:E7"/>
    <mergeCell ref="R129:R130"/>
    <mergeCell ref="E11:E12"/>
    <mergeCell ref="T129:T130"/>
    <mergeCell ref="V90:V91"/>
    <mergeCell ref="T51:T52"/>
    <mergeCell ref="L51:L52"/>
    <mergeCell ref="V51:V52"/>
    <mergeCell ref="F90:F91"/>
    <mergeCell ref="D129:D130"/>
    <mergeCell ref="C206:C207"/>
  </mergeCells>
  <pageMargins left="0.7" right="0.7" top="0.75" bottom="0.75" header="0.3" footer="0.3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K300"/>
  <sheetViews>
    <sheetView showGridLines="0" zoomScaleNormal="100" workbookViewId="0">
      <pane xSplit="3" ySplit="9" topLeftCell="D55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0" width="10.7109375" style="9" customWidth="1"/>
    <col min="11" max="11" width="9.140625" style="9" customWidth="1"/>
    <col min="12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5"/>
      <c r="E6" s="182"/>
      <c r="F6" s="182"/>
      <c r="G6" s="182"/>
      <c r="H6" s="182"/>
      <c r="I6" s="182"/>
      <c r="J6" s="182"/>
      <c r="K6" s="182"/>
    </row>
    <row r="7" spans="1:11" ht="21.75" customHeight="1" x14ac:dyDescent="0.2">
      <c r="A7" s="169" t="s">
        <v>19</v>
      </c>
      <c r="B7" s="160"/>
      <c r="C7" s="160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1.75" customHeight="1" x14ac:dyDescent="0.25">
      <c r="A8" s="180"/>
      <c r="B8" s="180"/>
      <c r="C8" s="18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1" s="102" customFormat="1" ht="16.5" customHeight="1" x14ac:dyDescent="0.25">
      <c r="A9" s="166" t="s">
        <v>227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 ht="16.5" customHeight="1" x14ac:dyDescent="0.2"/>
    <row r="11" spans="1:11" ht="16.5" customHeight="1" x14ac:dyDescent="0.2">
      <c r="D11" s="164" t="s">
        <v>194</v>
      </c>
      <c r="E11" s="182"/>
      <c r="F11" s="182"/>
      <c r="G11" s="182"/>
      <c r="H11" s="182"/>
      <c r="I11" s="182"/>
      <c r="J11" s="182"/>
      <c r="K11" s="182"/>
    </row>
    <row r="12" spans="1:11" x14ac:dyDescent="0.2">
      <c r="C12" s="2"/>
      <c r="D12" s="2"/>
      <c r="E12" s="2"/>
      <c r="F12" s="2"/>
      <c r="G12" s="2"/>
      <c r="H12" s="2"/>
      <c r="I12" s="2"/>
      <c r="J12" s="2"/>
    </row>
    <row r="13" spans="1:11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1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C15" s="87" t="s">
        <v>123</v>
      </c>
      <c r="D15" s="42">
        <f>9.874373218*Deflactores!$T$5</f>
        <v>15.358053855718499</v>
      </c>
      <c r="E15" s="42">
        <f>12.656793*Deflactores!$U$5</f>
        <v>19.37375815565284</v>
      </c>
      <c r="F15" s="42">
        <f>12.815104*Deflactores!$V$5</f>
        <v>18.572320457560661</v>
      </c>
      <c r="G15" s="42">
        <f>11.783882*Deflactores!$W$5</f>
        <v>15.09708228489689</v>
      </c>
      <c r="H15" s="42">
        <f>13.049784*Deflactores!$X$5</f>
        <v>15.299148993709087</v>
      </c>
      <c r="I15" s="42">
        <f>14.082037*Deflactores!$Y$5</f>
        <v>15.693278864055113</v>
      </c>
      <c r="J15" s="42">
        <f>26.355375*Deflactores!$Z$5</f>
        <v>27.945409623077129</v>
      </c>
      <c r="K15" s="42">
        <f>26.503734*Deflactores!$AA$5</f>
        <v>26.503734000000001</v>
      </c>
    </row>
    <row r="16" spans="1:11" x14ac:dyDescent="0.2">
      <c r="C16" s="88" t="s">
        <v>124</v>
      </c>
      <c r="D16" s="50">
        <f>29.89485674*Deflactores!$T$5</f>
        <v>46.496806398300464</v>
      </c>
      <c r="E16" s="50">
        <f>31.933676269*Deflactores!$U$5</f>
        <v>48.880891159120353</v>
      </c>
      <c r="F16" s="50">
        <f>53.758368*Deflactores!$V$5</f>
        <v>77.90944480602532</v>
      </c>
      <c r="G16" s="50">
        <f>75.27867342*Deflactores!$W$5</f>
        <v>96.444306461963933</v>
      </c>
      <c r="H16" s="50">
        <f>85.976565*Deflactores!$X$5</f>
        <v>100.79617240425695</v>
      </c>
      <c r="I16" s="50">
        <f>94.262862*Deflactores!$Y$5</f>
        <v>105.04825259938913</v>
      </c>
      <c r="J16" s="50">
        <f>98.776155587*Deflactores!$Z$5</f>
        <v>104.73537670670646</v>
      </c>
      <c r="K16" s="50">
        <f>101.20535*Deflactores!$AA$5</f>
        <v>101.20535</v>
      </c>
    </row>
    <row r="17" spans="3:11" x14ac:dyDescent="0.2">
      <c r="C17" s="87" t="s">
        <v>125</v>
      </c>
      <c r="D17" s="42">
        <f>0*Deflactores!$T$5</f>
        <v>0</v>
      </c>
      <c r="E17" s="42">
        <f>0*Deflactores!$U$5</f>
        <v>0</v>
      </c>
      <c r="F17" s="42">
        <f>0*Deflactores!$V$5</f>
        <v>0</v>
      </c>
      <c r="G17" s="42">
        <f>0*Deflactores!$W$5</f>
        <v>0</v>
      </c>
      <c r="H17" s="42">
        <f>0*Deflactores!$X$5</f>
        <v>0</v>
      </c>
      <c r="I17" s="42">
        <f>0*Deflactores!$Y$5</f>
        <v>0</v>
      </c>
      <c r="J17" s="42">
        <f>0*Deflactores!$Z$5</f>
        <v>0</v>
      </c>
      <c r="K17" s="42">
        <f>0*Deflactores!$AA$5</f>
        <v>0</v>
      </c>
    </row>
    <row r="18" spans="3:11" x14ac:dyDescent="0.2">
      <c r="C18" s="88" t="s">
        <v>126</v>
      </c>
      <c r="D18" s="50">
        <f>205.5672126*Deflactores!$T$5</f>
        <v>319.72787055745806</v>
      </c>
      <c r="E18" s="50">
        <f>204.496845306*Deflactores!$U$5</f>
        <v>313.0234036815167</v>
      </c>
      <c r="F18" s="50">
        <f>248.883319*Deflactores!$V$5</f>
        <v>360.69475183418689</v>
      </c>
      <c r="G18" s="50">
        <f>262.595747833*Deflactores!$W$5</f>
        <v>336.42814928890459</v>
      </c>
      <c r="H18" s="50">
        <f>304.598815736*Deflactores!$X$5</f>
        <v>357.10190032665707</v>
      </c>
      <c r="I18" s="50">
        <f>357.45903811*Deflactores!$Y$5</f>
        <v>398.35887148550557</v>
      </c>
      <c r="J18" s="50">
        <f>373.421393077*Deflactores!$Z$5</f>
        <v>395.95011611699181</v>
      </c>
      <c r="K18" s="50">
        <f>453.90556*Deflactores!$AA$5</f>
        <v>453.90555999999998</v>
      </c>
    </row>
    <row r="19" spans="3:11" x14ac:dyDescent="0.2">
      <c r="C19" s="87" t="s">
        <v>127</v>
      </c>
      <c r="D19" s="42">
        <f>0*Deflactores!$T$5</f>
        <v>0</v>
      </c>
      <c r="E19" s="42">
        <f>0*Deflactores!$U$5</f>
        <v>0</v>
      </c>
      <c r="F19" s="42">
        <f>0*Deflactores!$V$5</f>
        <v>0</v>
      </c>
      <c r="G19" s="42">
        <f>0*Deflactores!$W$5</f>
        <v>0</v>
      </c>
      <c r="H19" s="42">
        <f>0*Deflactores!$X$5</f>
        <v>0</v>
      </c>
      <c r="I19" s="42">
        <f>0*Deflactores!$Y$5</f>
        <v>0</v>
      </c>
      <c r="J19" s="42">
        <f>0*Deflactores!$Z$5</f>
        <v>0</v>
      </c>
      <c r="K19" s="42">
        <f>0*Deflactores!$AA$5</f>
        <v>0</v>
      </c>
    </row>
    <row r="20" spans="3:11" x14ac:dyDescent="0.2">
      <c r="C20" s="88" t="s">
        <v>128</v>
      </c>
      <c r="D20" s="50">
        <f>3.008807644*Deflactores!$T$5</f>
        <v>4.6797329630820821</v>
      </c>
      <c r="E20" s="50">
        <f>3.601877047*Deflactores!$U$5</f>
        <v>5.513394650206811</v>
      </c>
      <c r="F20" s="50">
        <f>5.287641468*Deflactores!$V$5</f>
        <v>7.6631271824545859</v>
      </c>
      <c r="G20" s="50">
        <f>5.253762918*Deflactores!$W$5</f>
        <v>6.7309305268319886</v>
      </c>
      <c r="H20" s="50">
        <f>4.02640611*Deflactores!$X$5</f>
        <v>4.7204296244344439</v>
      </c>
      <c r="I20" s="50">
        <f>3.745704146*Deflactores!$Y$5</f>
        <v>4.1742810152696945</v>
      </c>
      <c r="J20" s="50">
        <f>4.085617327*Deflactores!$Z$5</f>
        <v>4.3321049222845982</v>
      </c>
      <c r="K20" s="50">
        <f>4.421809*Deflactores!$AA$5</f>
        <v>4.4218089999999997</v>
      </c>
    </row>
    <row r="21" spans="3:11" x14ac:dyDescent="0.2">
      <c r="C21" s="87" t="s">
        <v>129</v>
      </c>
      <c r="D21" s="42">
        <f>2129.2867849904*Deflactores!$T$5</f>
        <v>3311.774873825947</v>
      </c>
      <c r="E21" s="42">
        <f>1837.981881088*Deflactores!$U$5</f>
        <v>2813.3996075207037</v>
      </c>
      <c r="F21" s="42">
        <f>2276.758078836*Deflactores!$V$5</f>
        <v>3299.5971507123431</v>
      </c>
      <c r="G21" s="42">
        <f>2685.358156853*Deflactores!$W$5</f>
        <v>3440.3834880923614</v>
      </c>
      <c r="H21" s="42">
        <f>2586.2987*Deflactores!$X$5</f>
        <v>3032.0937996779194</v>
      </c>
      <c r="I21" s="42">
        <f>2838.220639961*Deflactores!$Y$5</f>
        <v>3162.9648452581782</v>
      </c>
      <c r="J21" s="42">
        <f>2656.312023546*Deflactores!$Z$5</f>
        <v>2816.5688245641686</v>
      </c>
      <c r="K21" s="42">
        <f>3097.441*Deflactores!$AA$5</f>
        <v>3097.4409999999998</v>
      </c>
    </row>
    <row r="22" spans="3:11" x14ac:dyDescent="0.2">
      <c r="C22" s="88" t="s">
        <v>130</v>
      </c>
      <c r="D22" s="50">
        <f>0*Deflactores!$T$5</f>
        <v>0</v>
      </c>
      <c r="E22" s="50">
        <f>0*Deflactores!$U$5</f>
        <v>0</v>
      </c>
      <c r="F22" s="50">
        <f>0*Deflactores!$V$5</f>
        <v>0</v>
      </c>
      <c r="G22" s="50">
        <f>0*Deflactores!$W$5</f>
        <v>0</v>
      </c>
      <c r="H22" s="50">
        <f>0*Deflactores!$X$5</f>
        <v>0</v>
      </c>
      <c r="I22" s="50">
        <f>0*Deflactores!$Y$5</f>
        <v>0</v>
      </c>
      <c r="J22" s="50">
        <f>0*Deflactores!$Z$5</f>
        <v>0</v>
      </c>
      <c r="K22" s="50">
        <f>0*Deflactores!$AA$5</f>
        <v>0</v>
      </c>
    </row>
    <row r="23" spans="3:11" x14ac:dyDescent="0.2">
      <c r="C23" s="87" t="s">
        <v>131</v>
      </c>
      <c r="D23" s="42">
        <f>14.585796765*Deflactores!$T$5</f>
        <v>22.685941406092258</v>
      </c>
      <c r="E23" s="42">
        <f>15.311722411*Deflactores!$U$5</f>
        <v>23.437659677076461</v>
      </c>
      <c r="F23" s="42">
        <f>18.039302416*Deflactores!$V$5</f>
        <v>26.143502643505688</v>
      </c>
      <c r="G23" s="42">
        <f>20.096160999*Deflactores!$W$5</f>
        <v>25.746472699950548</v>
      </c>
      <c r="H23" s="42">
        <f>22.864865121*Deflactores!$X$5</f>
        <v>26.80603588589981</v>
      </c>
      <c r="I23" s="42">
        <f>30.246772527*Deflactores!$Y$5</f>
        <v>33.707554951307969</v>
      </c>
      <c r="J23" s="42">
        <f>37.088374354*Deflactores!$Z$5</f>
        <v>39.325936875364462</v>
      </c>
      <c r="K23" s="42">
        <f>37.25972*Deflactores!$AA$5</f>
        <v>37.259720000000002</v>
      </c>
    </row>
    <row r="24" spans="3:11" x14ac:dyDescent="0.2">
      <c r="C24" s="88" t="s">
        <v>132</v>
      </c>
      <c r="D24" s="50">
        <f>61.777593414*Deflactores!$T$5</f>
        <v>96.085451276983775</v>
      </c>
      <c r="E24" s="50">
        <f>63.72627*Deflactores!$U$5</f>
        <v>97.545827220357864</v>
      </c>
      <c r="F24" s="50">
        <f>134.605204304*Deflactores!$V$5</f>
        <v>195.07691779866258</v>
      </c>
      <c r="G24" s="50">
        <f>139.755764043*Deflactores!$W$5</f>
        <v>179.05001675558233</v>
      </c>
      <c r="H24" s="50">
        <f>147.139003912*Deflactores!$X$5</f>
        <v>172.50105776736473</v>
      </c>
      <c r="I24" s="50">
        <f>167.415010744*Deflactores!$Y$5</f>
        <v>186.57034132450971</v>
      </c>
      <c r="J24" s="50">
        <f>175.717042415*Deflactores!$Z$5</f>
        <v>186.31815058760475</v>
      </c>
      <c r="K24" s="50">
        <f>197.326067*Deflactores!$AA$5</f>
        <v>197.32606699999999</v>
      </c>
    </row>
    <row r="25" spans="3:11" x14ac:dyDescent="0.2">
      <c r="C25" s="87" t="s">
        <v>133</v>
      </c>
      <c r="D25" s="42">
        <f>9.915022743*Deflactores!$T$5</f>
        <v>15.421277878183169</v>
      </c>
      <c r="E25" s="42">
        <f>11.41443845*Deflactores!$U$5</f>
        <v>17.472085544330611</v>
      </c>
      <c r="F25" s="42">
        <f>18.820796584*Deflactores!$V$5</f>
        <v>27.276084956049598</v>
      </c>
      <c r="G25" s="42">
        <f>17.2776*Deflactores!$W$5</f>
        <v>22.135434560999041</v>
      </c>
      <c r="H25" s="42">
        <f>18.4991*Deflactores!$X$5</f>
        <v>21.687752621003057</v>
      </c>
      <c r="I25" s="42">
        <f>20.047849*Deflactores!$Y$5</f>
        <v>22.341688562632552</v>
      </c>
      <c r="J25" s="42">
        <f>20.995068*Deflactores!$Z$5</f>
        <v>22.261712281625996</v>
      </c>
      <c r="K25" s="42">
        <f>26.177724*Deflactores!$AA$5</f>
        <v>26.177724000000001</v>
      </c>
    </row>
    <row r="26" spans="3:11" x14ac:dyDescent="0.2">
      <c r="C26" s="88" t="s">
        <v>134</v>
      </c>
      <c r="D26" s="50">
        <f>215.16*Deflactores!$T$5</f>
        <v>334.64796140910784</v>
      </c>
      <c r="E26" s="50">
        <f>247.162*Deflactores!$U$5</f>
        <v>378.33097319893494</v>
      </c>
      <c r="F26" s="50">
        <f>271.830916*Deflactores!$V$5</f>
        <v>393.95161227128972</v>
      </c>
      <c r="G26" s="50">
        <f>283.744*Deflactores!$W$5</f>
        <v>363.52252304001206</v>
      </c>
      <c r="H26" s="50">
        <f>326.497*Deflactores!$X$5</f>
        <v>382.77463052254626</v>
      </c>
      <c r="I26" s="50">
        <f>418.507*Deflactores!$Y$5</f>
        <v>466.3918336217348</v>
      </c>
      <c r="J26" s="50">
        <f>373.316251716*Deflactores!$Z$5</f>
        <v>395.83863151844321</v>
      </c>
      <c r="K26" s="50">
        <f>518.4256*Deflactores!$AA$5</f>
        <v>518.42560000000003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1066.74352675*Deflactores!$Y$5</f>
        <v>1188.7984417107684</v>
      </c>
      <c r="J27" s="42">
        <f>1145.058398943*Deflactores!$Z$5</f>
        <v>1214.1404173079306</v>
      </c>
      <c r="K27" s="42">
        <f>1280.212407*Deflactores!$AA$5</f>
        <v>1280.212407</v>
      </c>
    </row>
    <row r="28" spans="3:11" x14ac:dyDescent="0.2">
      <c r="C28" s="88" t="s">
        <v>136</v>
      </c>
      <c r="D28" s="50">
        <f>633.043686631*Deflactores!$T$5</f>
        <v>984.60113038655072</v>
      </c>
      <c r="E28" s="50">
        <f>623.557101081*Deflactores!$U$5</f>
        <v>954.4791064042264</v>
      </c>
      <c r="F28" s="50">
        <f>734.06*Deflactores!$V$5</f>
        <v>1063.8382298791316</v>
      </c>
      <c r="G28" s="50">
        <f>748.195203527*Deflactores!$W$5</f>
        <v>958.56056202975344</v>
      </c>
      <c r="H28" s="50">
        <f>858.57009*Deflactores!$X$5</f>
        <v>1006.5600877725042</v>
      </c>
      <c r="I28" s="50">
        <f>64.1165088*Deflactores!$Y$5</f>
        <v>71.45260677755951</v>
      </c>
      <c r="J28" s="50">
        <f>36.758051233*Deflactores!$Z$5</f>
        <v>38.975685174361601</v>
      </c>
      <c r="K28" s="50">
        <f>67.6371*Deflactores!$AA$5</f>
        <v>67.637100000000004</v>
      </c>
    </row>
    <row r="29" spans="3:11" x14ac:dyDescent="0.2">
      <c r="C29" s="87" t="s">
        <v>137</v>
      </c>
      <c r="D29" s="42">
        <f>3.943*Deflactores!$T$5</f>
        <v>6.1327240743451954</v>
      </c>
      <c r="E29" s="42">
        <f>5.780000001*Deflactores!$U$5</f>
        <v>8.847448335375887</v>
      </c>
      <c r="F29" s="42">
        <f>9.694*Deflactores!$V$5</f>
        <v>14.049052939062614</v>
      </c>
      <c r="G29" s="42">
        <f>11.851*Deflactores!$W$5</f>
        <v>15.183071432513756</v>
      </c>
      <c r="H29" s="42">
        <f>5.182*Deflactores!$X$5</f>
        <v>6.0752109065866913</v>
      </c>
      <c r="I29" s="42">
        <f>9.174*Deflactores!$Y$5</f>
        <v>10.223672917408299</v>
      </c>
      <c r="J29" s="42">
        <f>10.360683497*Deflactores!$Z$5</f>
        <v>10.985749369861754</v>
      </c>
      <c r="K29" s="42">
        <f>14.809*Deflactores!$AA$5</f>
        <v>14.808999999999999</v>
      </c>
    </row>
    <row r="30" spans="3:11" x14ac:dyDescent="0.2">
      <c r="C30" s="88" t="s">
        <v>138</v>
      </c>
      <c r="D30" s="50">
        <f>0*Deflactores!$T$5</f>
        <v>0</v>
      </c>
      <c r="E30" s="50">
        <f>0*Deflactores!$U$5</f>
        <v>0</v>
      </c>
      <c r="F30" s="50">
        <f>0*Deflactores!$V$5</f>
        <v>0</v>
      </c>
      <c r="G30" s="50">
        <f>0*Deflactores!$W$5</f>
        <v>0</v>
      </c>
      <c r="H30" s="50">
        <f>0*Deflactores!$X$5</f>
        <v>0</v>
      </c>
      <c r="I30" s="50">
        <f>0*Deflactores!$Y$5</f>
        <v>0</v>
      </c>
      <c r="J30" s="50">
        <f>0*Deflactores!$Z$5</f>
        <v>0</v>
      </c>
      <c r="K30" s="50">
        <f>0*Deflactores!$AA$5</f>
        <v>0</v>
      </c>
    </row>
    <row r="31" spans="3:11" x14ac:dyDescent="0.2">
      <c r="C31" s="87" t="s">
        <v>160</v>
      </c>
      <c r="D31" s="42">
        <f>106.570360693*Deflactores!$T$5</f>
        <v>165.75364357940958</v>
      </c>
      <c r="E31" s="42">
        <f>116.069788985*Deflactores!$U$5</f>
        <v>177.66807286593436</v>
      </c>
      <c r="F31" s="42">
        <f>131.144217016*Deflactores!$V$5</f>
        <v>190.06107360322881</v>
      </c>
      <c r="G31" s="42">
        <f>164.184372976*Deflactores!$W$5</f>
        <v>210.34706463565004</v>
      </c>
      <c r="H31" s="42">
        <f>173.596287573*Deflactores!$X$5</f>
        <v>203.51873014404654</v>
      </c>
      <c r="I31" s="42">
        <f>228.9817870285*Deflactores!$Y$5</f>
        <v>255.1814796842196</v>
      </c>
      <c r="J31" s="42">
        <f>217.966224135*Deflactores!$Z$5</f>
        <v>231.11624924509766</v>
      </c>
      <c r="K31" s="42">
        <f>234.34878526*Deflactores!$AA$5</f>
        <v>234.34878526</v>
      </c>
    </row>
    <row r="32" spans="3:11" x14ac:dyDescent="0.2">
      <c r="C32" s="88" t="s">
        <v>161</v>
      </c>
      <c r="D32" s="50">
        <f>381.510950756*Deflactores!$T$5</f>
        <v>593.38102772702143</v>
      </c>
      <c r="E32" s="50">
        <f>426.408096533*Deflactores!$U$5</f>
        <v>652.70304553788719</v>
      </c>
      <c r="F32" s="50">
        <f>483.1908*Deflactores!$V$5</f>
        <v>700.26543520404539</v>
      </c>
      <c r="G32" s="50">
        <f>510.897690805*Deflactores!$W$5</f>
        <v>654.54359414383941</v>
      </c>
      <c r="H32" s="50">
        <f>921.63345482*Deflactores!$X$5</f>
        <v>1080.4935578150589</v>
      </c>
      <c r="I32" s="50">
        <f>787.673307*Deflactores!$Y$5</f>
        <v>877.79749907797395</v>
      </c>
      <c r="J32" s="50">
        <f>587.400996647*Deflactores!$Z$5</f>
        <v>622.83922973223378</v>
      </c>
      <c r="K32" s="50">
        <f>831.803341596*Deflactores!$AA$5</f>
        <v>831.803341596</v>
      </c>
    </row>
    <row r="33" spans="1:11" x14ac:dyDescent="0.2">
      <c r="C33" s="87" t="s">
        <v>140</v>
      </c>
      <c r="D33" s="42">
        <f>499.77574832*Deflactores!$T$5</f>
        <v>777.32355148261456</v>
      </c>
      <c r="E33" s="42">
        <f>983.662354914*Deflactores!$U$5</f>
        <v>1505.6923638494986</v>
      </c>
      <c r="F33" s="42">
        <f>1038.318977773*Deflactores!$V$5</f>
        <v>1504.7862890825513</v>
      </c>
      <c r="G33" s="42">
        <f>701.423139864*Deflactores!$W$5</f>
        <v>898.63789021797299</v>
      </c>
      <c r="H33" s="42">
        <f>1473.487164118*Deflactores!$X$5</f>
        <v>1727.4691798852116</v>
      </c>
      <c r="I33" s="42">
        <f>4176.090428099*Deflactores!$Y$5</f>
        <v>4653.9113375194875</v>
      </c>
      <c r="J33" s="42">
        <f>3440.721141471*Deflactores!$Z$5</f>
        <v>3648.3017865307784</v>
      </c>
      <c r="K33" s="42">
        <f>2908.906357256*Deflactores!$AA$5</f>
        <v>2908.9063572559999</v>
      </c>
    </row>
    <row r="34" spans="1:11" x14ac:dyDescent="0.2">
      <c r="C34" s="88" t="s">
        <v>141</v>
      </c>
      <c r="D34" s="50">
        <f>20.727*Deflactores!$T$5</f>
        <v>32.237629188169635</v>
      </c>
      <c r="E34" s="50">
        <f>21.347*Deflactores!$U$5</f>
        <v>32.675861519479795</v>
      </c>
      <c r="F34" s="50">
        <f>20.93313*Deflactores!$V$5</f>
        <v>30.33738926658549</v>
      </c>
      <c r="G34" s="50">
        <f>30.577919*Deflactores!$W$5</f>
        <v>39.175320937863432</v>
      </c>
      <c r="H34" s="50">
        <f>49.815*Deflactores!$X$5</f>
        <v>58.401511252724042</v>
      </c>
      <c r="I34" s="50">
        <f>17.75*Deflactores!$Y$5</f>
        <v>19.78092372836247</v>
      </c>
      <c r="J34" s="50">
        <f>18.674*Deflactores!$Z$5</f>
        <v>19.800612941433855</v>
      </c>
      <c r="K34" s="50">
        <f>21.23473*Deflactores!$AA$5</f>
        <v>21.234729999999999</v>
      </c>
    </row>
    <row r="35" spans="1:11" x14ac:dyDescent="0.2">
      <c r="C35" s="87" t="s">
        <v>142</v>
      </c>
      <c r="D35" s="42">
        <f>118.935174232*Deflactores!$T$5</f>
        <v>184.98519053995099</v>
      </c>
      <c r="E35" s="42">
        <f>320.837245378999*Deflactores!$U$5</f>
        <v>491.10570104911835</v>
      </c>
      <c r="F35" s="42">
        <f>702.192626879*Deflactores!$V$5</f>
        <v>1017.6543623315981</v>
      </c>
      <c r="G35" s="42">
        <f>274.193814522*Deflactores!$W$5</f>
        <v>351.28717173579895</v>
      </c>
      <c r="H35" s="42">
        <f>298.9227*Deflactores!$X$5</f>
        <v>350.44740394950628</v>
      </c>
      <c r="I35" s="42">
        <f>264.349662781*Deflactores!$Y$5</f>
        <v>294.59608546981974</v>
      </c>
      <c r="J35" s="42">
        <f>221.0677439*Deflactores!$Z$5</f>
        <v>234.40488544499976</v>
      </c>
      <c r="K35" s="42">
        <f>322.816369*Deflactores!$AA$5</f>
        <v>322.81636900000001</v>
      </c>
    </row>
    <row r="36" spans="1:11" x14ac:dyDescent="0.2">
      <c r="C36" s="88" t="s">
        <v>143</v>
      </c>
      <c r="D36" s="50">
        <f>0.0846*Deflactores!$T$5</f>
        <v>0.1315821599517128</v>
      </c>
      <c r="E36" s="50">
        <f>0*Deflactores!$U$5</f>
        <v>0</v>
      </c>
      <c r="F36" s="50">
        <f>0.018*Deflactores!$V$5</f>
        <v>2.6086543522088612E-2</v>
      </c>
      <c r="G36" s="50">
        <f>0*Deflactores!$W$5</f>
        <v>0</v>
      </c>
      <c r="H36" s="50">
        <f>0.004*Deflactores!$X$5</f>
        <v>4.6894719464196759E-3</v>
      </c>
      <c r="I36" s="50">
        <f>0*Deflactores!$Y$5</f>
        <v>0</v>
      </c>
      <c r="J36" s="50">
        <f>0*Deflactores!$Z$5</f>
        <v>0</v>
      </c>
      <c r="K36" s="50">
        <f>0.000913356*Deflactores!$AA$5</f>
        <v>9.1335600000000004E-4</v>
      </c>
    </row>
    <row r="37" spans="1:11" x14ac:dyDescent="0.2">
      <c r="C37" s="87" t="s">
        <v>144</v>
      </c>
      <c r="D37" s="42">
        <f>0*Deflactores!$T$5</f>
        <v>0</v>
      </c>
      <c r="E37" s="42">
        <f>0*Deflactores!$U$5</f>
        <v>0</v>
      </c>
      <c r="F37" s="42">
        <f>0*Deflactores!$V$5</f>
        <v>0</v>
      </c>
      <c r="G37" s="42">
        <f>0*Deflactores!$W$5</f>
        <v>0</v>
      </c>
      <c r="H37" s="42">
        <f>0*Deflactores!$X$5</f>
        <v>0</v>
      </c>
      <c r="I37" s="42">
        <f>0*Deflactores!$Y$5</f>
        <v>0</v>
      </c>
      <c r="J37" s="42">
        <f>0*Deflactores!$Z$5</f>
        <v>0</v>
      </c>
      <c r="K37" s="42">
        <f>0*Deflactores!$AA$5</f>
        <v>0</v>
      </c>
    </row>
    <row r="38" spans="1:11" x14ac:dyDescent="0.2">
      <c r="C38" s="88" t="s">
        <v>145</v>
      </c>
      <c r="D38" s="50">
        <f>47.42121333*Deflactores!$T$5</f>
        <v>73.756331885252422</v>
      </c>
      <c r="E38" s="50">
        <f>47.11509959*Deflactores!$U$5</f>
        <v>72.119101966521725</v>
      </c>
      <c r="F38" s="50">
        <f>53.82265*Deflactores!$V$5</f>
        <v>78.002605649952386</v>
      </c>
      <c r="G38" s="50">
        <f>73.978749484*Deflactores!$W$5</f>
        <v>94.778891055911913</v>
      </c>
      <c r="H38" s="50">
        <f>81.155268588*Deflactores!$X$5</f>
        <v>95.143838836894986</v>
      </c>
      <c r="I38" s="50">
        <f>96.114030035*Deflactores!$Y$5</f>
        <v>107.11122801959857</v>
      </c>
      <c r="J38" s="50">
        <f>87.185964925*Deflactores!$Z$5</f>
        <v>92.445943311842839</v>
      </c>
      <c r="K38" s="50">
        <f>88.648459*Deflactores!$AA$5</f>
        <v>88.648459000000003</v>
      </c>
    </row>
    <row r="39" spans="1:11" x14ac:dyDescent="0.2">
      <c r="C39" s="87" t="s">
        <v>146</v>
      </c>
      <c r="D39" s="42">
        <f>213.806*Deflactores!$T$5</f>
        <v>332.54202471200836</v>
      </c>
      <c r="E39" s="42">
        <f>186.496106801*Deflactores!$U$5</f>
        <v>285.469665983585</v>
      </c>
      <c r="F39" s="42">
        <f>226.136*Deflactores!$V$5</f>
        <v>327.72814477283504</v>
      </c>
      <c r="G39" s="42">
        <f>199.145*Deflactores!$W$5</f>
        <v>255.13735215829482</v>
      </c>
      <c r="H39" s="42">
        <f>213.837*Deflactores!$X$5</f>
        <v>250.69565315163607</v>
      </c>
      <c r="I39" s="42">
        <f>353.233*Deflactores!$Y$5</f>
        <v>393.64929754031891</v>
      </c>
      <c r="J39" s="42">
        <f>435.329523308*Deflactores!$Z$5</f>
        <v>461.59319872553368</v>
      </c>
      <c r="K39" s="42">
        <f>465.911433592*Deflactores!$AA$5</f>
        <v>465.91143359199998</v>
      </c>
    </row>
    <row r="40" spans="1:11" x14ac:dyDescent="0.2">
      <c r="C40" s="88" t="s">
        <v>162</v>
      </c>
      <c r="D40" s="50">
        <f>496.706518021*Deflactores!$T$5</f>
        <v>772.54984046450988</v>
      </c>
      <c r="E40" s="50">
        <f>420.49039*Deflactores!$U$5</f>
        <v>643.64480975837591</v>
      </c>
      <c r="F40" s="50">
        <f>456.000145114*Deflactores!$V$5</f>
        <v>660.85931286639368</v>
      </c>
      <c r="G40" s="50">
        <f>512.9522203*Deflactores!$W$5</f>
        <v>657.17578282688658</v>
      </c>
      <c r="H40" s="50">
        <f>606.636703*Deflactores!$X$5</f>
        <v>711.20145009675628</v>
      </c>
      <c r="I40" s="50">
        <f>652.97083*Deflactores!$Y$5</f>
        <v>727.68260197608663</v>
      </c>
      <c r="J40" s="50">
        <f>714.164442887*Deflactores!$Z$5</f>
        <v>757.25038610582794</v>
      </c>
      <c r="K40" s="50">
        <f>756.023144*Deflactores!$AA$5</f>
        <v>756.023144</v>
      </c>
    </row>
    <row r="41" spans="1:11" x14ac:dyDescent="0.2">
      <c r="C41" s="87" t="s">
        <v>148</v>
      </c>
      <c r="D41" s="42">
        <f>0*Deflactores!$T$5</f>
        <v>0</v>
      </c>
      <c r="E41" s="42">
        <f>0*Deflactores!$U$5</f>
        <v>0</v>
      </c>
      <c r="F41" s="42">
        <f>0*Deflactores!$V$5</f>
        <v>0</v>
      </c>
      <c r="G41" s="42">
        <f>0*Deflactores!$W$5</f>
        <v>0</v>
      </c>
      <c r="H41" s="42">
        <f>0*Deflactores!$X$5</f>
        <v>0</v>
      </c>
      <c r="I41" s="42">
        <f>0*Deflactores!$Y$5</f>
        <v>0</v>
      </c>
      <c r="J41" s="42">
        <f>0*Deflactores!$Z$5</f>
        <v>0</v>
      </c>
      <c r="K41" s="42">
        <f>0*Deflactores!$AA$5</f>
        <v>0</v>
      </c>
    </row>
    <row r="42" spans="1:11" x14ac:dyDescent="0.2">
      <c r="C42" s="88" t="s">
        <v>149</v>
      </c>
      <c r="D42" s="50">
        <f>435.849175605*Deflactores!$T$5</f>
        <v>677.89569668178808</v>
      </c>
      <c r="E42" s="50">
        <f>262.970153947*Deflactores!$U$5</f>
        <v>402.5285208286154</v>
      </c>
      <c r="F42" s="50">
        <f>773.413823779*Deflactores!$V$5</f>
        <v>1120.8718541442145</v>
      </c>
      <c r="G42" s="50">
        <f>824.248113649*Deflactores!$W$5</f>
        <v>1055.9967924772156</v>
      </c>
      <c r="H42" s="50">
        <f>920.652094339*Deflactores!$X$5</f>
        <v>1079.3430422038155</v>
      </c>
      <c r="I42" s="50">
        <f>672.997724775*Deflactores!$Y$5</f>
        <v>750.00093876821154</v>
      </c>
      <c r="J42" s="50">
        <f>690.863663458*Deflactores!$Z$5</f>
        <v>732.54385752559062</v>
      </c>
      <c r="K42" s="50">
        <f>469.230332*Deflactores!$AA$5</f>
        <v>469.23033199999998</v>
      </c>
    </row>
    <row r="43" spans="1:11" x14ac:dyDescent="0.2">
      <c r="C43" s="87" t="s">
        <v>163</v>
      </c>
      <c r="D43" s="42">
        <f>88.206781199*Deflactores!$T$5</f>
        <v>137.19194790251242</v>
      </c>
      <c r="E43" s="42">
        <f>91.463310045*Deflactores!$U$5</f>
        <v>140.00292561688599</v>
      </c>
      <c r="F43" s="42">
        <f>93.62579693*Deflactores!$V$5</f>
        <v>135.68741257803754</v>
      </c>
      <c r="G43" s="42">
        <f>99.411152*Deflactores!$W$5</f>
        <v>127.3619628727097</v>
      </c>
      <c r="H43" s="42">
        <f>113.731571*Deflactores!$X$5</f>
        <v>133.33525290668439</v>
      </c>
      <c r="I43" s="42">
        <f>124.606214*Deflactores!$Y$5</f>
        <v>138.86343747684575</v>
      </c>
      <c r="J43" s="42">
        <f>127.990194*Deflactores!$Z$5</f>
        <v>135.71191451713773</v>
      </c>
      <c r="K43" s="42">
        <f>136.827084*Deflactores!$AA$5</f>
        <v>136.82708400000001</v>
      </c>
    </row>
    <row r="44" spans="1:11" x14ac:dyDescent="0.2">
      <c r="C44" s="88" t="s">
        <v>150</v>
      </c>
      <c r="D44" s="50">
        <f>799.28190692*Deflactores!$T$5</f>
        <v>1243.1588619723104</v>
      </c>
      <c r="E44" s="50">
        <f>741.767168476*Deflactores!$U$5</f>
        <v>1135.4233042965482</v>
      </c>
      <c r="F44" s="50">
        <f>777.83016*Deflactores!$V$5</f>
        <v>1127.2722400907305</v>
      </c>
      <c r="G44" s="50">
        <f>836.381418*Deflactores!$W$5</f>
        <v>1071.5415420066784</v>
      </c>
      <c r="H44" s="50">
        <f>1115.23707028*Deflactores!$X$5</f>
        <v>1307.4682386713321</v>
      </c>
      <c r="I44" s="50">
        <f>1009.215115092*Deflactores!$Y$5</f>
        <v>1124.6877305434032</v>
      </c>
      <c r="J44" s="50">
        <f>1044.209790286*Deflactores!$Z$5</f>
        <v>1107.2075552698354</v>
      </c>
      <c r="K44" s="50">
        <f>1699.752795005*Deflactores!$AA$5</f>
        <v>1699.7527950050001</v>
      </c>
    </row>
    <row r="45" spans="1:11" x14ac:dyDescent="0.2">
      <c r="C45" s="87" t="s">
        <v>151</v>
      </c>
      <c r="D45" s="42">
        <f>0*Deflactores!$T$5</f>
        <v>0</v>
      </c>
      <c r="E45" s="42">
        <f>0*Deflactores!$U$5</f>
        <v>0</v>
      </c>
      <c r="F45" s="42">
        <f>0*Deflactores!$V$5</f>
        <v>0</v>
      </c>
      <c r="G45" s="42">
        <f>0*Deflactores!$W$5</f>
        <v>0</v>
      </c>
      <c r="H45" s="42">
        <f>0*Deflactores!$X$5</f>
        <v>0</v>
      </c>
      <c r="I45" s="42">
        <f>0*Deflactores!$Y$5</f>
        <v>0</v>
      </c>
      <c r="J45" s="42">
        <f>0*Deflactores!$Z$5</f>
        <v>0</v>
      </c>
      <c r="K45" s="42">
        <f>0*Deflactores!$AA$5</f>
        <v>0</v>
      </c>
    </row>
    <row r="46" spans="1:11" ht="21.75" customHeight="1" x14ac:dyDescent="0.2">
      <c r="C46" s="79" t="s">
        <v>179</v>
      </c>
      <c r="D46" s="44">
        <f t="shared" ref="D46:K46" si="0">+SUM(D15:D45)</f>
        <v>10148.519152327268</v>
      </c>
      <c r="E46" s="44">
        <f t="shared" si="0"/>
        <v>10219.337528819951</v>
      </c>
      <c r="F46" s="44">
        <f t="shared" si="0"/>
        <v>12378.324401613969</v>
      </c>
      <c r="G46" s="44">
        <f t="shared" si="0"/>
        <v>10875.265402242592</v>
      </c>
      <c r="H46" s="44">
        <f t="shared" si="0"/>
        <v>12123.938774888496</v>
      </c>
      <c r="I46" s="44">
        <f t="shared" si="0"/>
        <v>15008.988228892649</v>
      </c>
      <c r="J46" s="44">
        <f t="shared" si="0"/>
        <v>13300.593734398732</v>
      </c>
      <c r="K46" s="44">
        <f t="shared" si="0"/>
        <v>13760.828815065001</v>
      </c>
    </row>
    <row r="47" spans="1:11" s="31" customFormat="1" x14ac:dyDescent="0.2">
      <c r="A47" s="5"/>
      <c r="B47" s="5"/>
      <c r="C47" s="72" t="str">
        <f>+'C1 Aprop Resumen 2000-2026'!B20</f>
        <v>* Información con corte a 30 de Junio</v>
      </c>
      <c r="D47" s="121">
        <f>+D46-'C7 Ejec. Prop 19-26'!D14</f>
        <v>0</v>
      </c>
      <c r="E47" s="121">
        <f>+E46-'C7 Ejec. Prop 19-26'!E14</f>
        <v>0</v>
      </c>
      <c r="F47" s="121">
        <f>+F46-'C7 Ejec. Prop 19-26'!F14</f>
        <v>0</v>
      </c>
      <c r="G47" s="121">
        <f>+G46-'C7 Ejec. Prop 19-26'!G14</f>
        <v>0</v>
      </c>
      <c r="H47" s="121">
        <f>+H46-'C7 Ejec. Prop 19-26'!H14</f>
        <v>0</v>
      </c>
      <c r="I47" s="121">
        <f>+I46-'C7 Ejec. Prop 19-26'!I14</f>
        <v>0</v>
      </c>
      <c r="J47" s="121">
        <f>+J46-'C7 Ejec. Prop 19-26'!J14</f>
        <v>0</v>
      </c>
      <c r="K47" s="121">
        <f>+K46-'C7 Ejec. Prop 19-26'!K14</f>
        <v>0</v>
      </c>
    </row>
    <row r="48" spans="1:11" x14ac:dyDescent="0.2">
      <c r="C48" s="1" t="s">
        <v>52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5" customHeight="1" x14ac:dyDescent="0.2">
      <c r="D53" s="164" t="s">
        <v>195</v>
      </c>
      <c r="E53" s="182"/>
      <c r="F53" s="182"/>
      <c r="G53" s="182"/>
      <c r="H53" s="182"/>
      <c r="I53" s="182"/>
      <c r="J53" s="182"/>
      <c r="K53" s="182"/>
    </row>
    <row r="54" spans="3:11" ht="11.25" hidden="1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ht="12" thickBot="1" x14ac:dyDescent="0.25">
      <c r="C56" s="181" t="s">
        <v>120</v>
      </c>
      <c r="D56" s="155">
        <v>2019</v>
      </c>
      <c r="E56" s="155">
        <v>2020</v>
      </c>
      <c r="F56" s="155">
        <v>2021</v>
      </c>
      <c r="G56" s="155">
        <v>2022</v>
      </c>
      <c r="H56" s="155">
        <v>2023</v>
      </c>
      <c r="I56" s="155">
        <v>2024</v>
      </c>
      <c r="J56" s="155">
        <v>2025</v>
      </c>
      <c r="K56" s="155" t="s">
        <v>36</v>
      </c>
    </row>
    <row r="57" spans="3:11" ht="12" customHeight="1" thickBot="1" x14ac:dyDescent="0.25">
      <c r="C57" s="162"/>
      <c r="D57" s="156"/>
      <c r="E57" s="156"/>
      <c r="F57" s="156"/>
      <c r="G57" s="156"/>
      <c r="H57" s="156"/>
      <c r="I57" s="156"/>
      <c r="J57" s="156"/>
      <c r="K57" s="156"/>
    </row>
    <row r="58" spans="3:11" x14ac:dyDescent="0.2">
      <c r="C58" s="87" t="s">
        <v>123</v>
      </c>
      <c r="D58" s="42">
        <f>7.71253461426*Deflactores!$T$5</f>
        <v>11.995649683766914</v>
      </c>
      <c r="E58" s="42">
        <f>9.21093058214*Deflactores!$U$5</f>
        <v>14.099175161266126</v>
      </c>
      <c r="F58" s="42">
        <f>12.64362467004*Deflactores!$V$5</f>
        <v>18.323803623997321</v>
      </c>
      <c r="G58" s="42">
        <f>11.60489584514*Deflactores!$W$5</f>
        <v>14.867771714086803</v>
      </c>
      <c r="H58" s="42">
        <f>10.0515727279*Deflactores!$X$5</f>
        <v>11.784142081221036</v>
      </c>
      <c r="I58" s="42">
        <f>13.22315631727*Deflactores!$Y$5</f>
        <v>14.736126566768014</v>
      </c>
      <c r="J58" s="42">
        <f>25.9781244264*Deflactores!$Z$5</f>
        <v>27.545399309818723</v>
      </c>
      <c r="K58" s="42">
        <f>11.09455890995*Deflactores!$AA$5</f>
        <v>11.094558909950001</v>
      </c>
    </row>
    <row r="59" spans="3:11" x14ac:dyDescent="0.2">
      <c r="C59" s="88" t="s">
        <v>124</v>
      </c>
      <c r="D59" s="50">
        <f>28.804955961*Deflactores!$T$5</f>
        <v>44.801635019649467</v>
      </c>
      <c r="E59" s="50">
        <f>31.792820814*Deflactores!$U$5</f>
        <v>48.665283657277314</v>
      </c>
      <c r="F59" s="50">
        <f>53.650168*Deflactores!$V$5</f>
        <v>77.752635694409221</v>
      </c>
      <c r="G59" s="50">
        <f>74.76395442*Deflactores!$W$5</f>
        <v>95.784867145056324</v>
      </c>
      <c r="H59" s="50">
        <f>82.011565*Deflactores!$X$5</f>
        <v>96.14773333736845</v>
      </c>
      <c r="I59" s="50">
        <f>93.368973295*Deflactores!$Y$5</f>
        <v>104.05208672360042</v>
      </c>
      <c r="J59" s="50">
        <f>97.483247939*Deflactores!$Z$5</f>
        <v>103.36446721184366</v>
      </c>
      <c r="K59" s="50">
        <f>100.266463494*Deflactores!$AA$5</f>
        <v>100.26646349400001</v>
      </c>
    </row>
    <row r="60" spans="3:11" x14ac:dyDescent="0.2">
      <c r="C60" s="87" t="s">
        <v>125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126</v>
      </c>
      <c r="D61" s="50">
        <f>194.92602389727*Deflactores!$T$5</f>
        <v>303.17715431680818</v>
      </c>
      <c r="E61" s="50">
        <f>186.70607674911*Deflactores!$U$5</f>
        <v>285.79106706793857</v>
      </c>
      <c r="F61" s="50">
        <f>218.693388802729*Deflactores!$V$5</f>
        <v>316.94192249974651</v>
      </c>
      <c r="G61" s="50">
        <f>243.29557349899*Deflactores!$W$5</f>
        <v>311.70146583828921</v>
      </c>
      <c r="H61" s="50">
        <f>269.6757730166*Deflactores!$X$5</f>
        <v>316.15924304759648</v>
      </c>
      <c r="I61" s="50">
        <f>319.07331026415*Deflactores!$Y$5</f>
        <v>355.58111628683298</v>
      </c>
      <c r="J61" s="50">
        <f>328.13047837618*Deflactores!$Z$5</f>
        <v>347.92677501415187</v>
      </c>
      <c r="K61" s="50">
        <f>195.46594630107*Deflactores!$AA$5</f>
        <v>195.46594630107001</v>
      </c>
    </row>
    <row r="62" spans="3:11" x14ac:dyDescent="0.2">
      <c r="C62" s="87" t="s">
        <v>127</v>
      </c>
      <c r="D62" s="42">
        <f>0*Deflactores!$T$5</f>
        <v>0</v>
      </c>
      <c r="E62" s="42">
        <f>0*Deflactores!$U$5</f>
        <v>0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</row>
    <row r="63" spans="3:11" x14ac:dyDescent="0.2">
      <c r="C63" s="88" t="s">
        <v>128</v>
      </c>
      <c r="D63" s="50">
        <f>2.88480179123999*Deflactores!$T$5</f>
        <v>4.4868611196681787</v>
      </c>
      <c r="E63" s="50">
        <f>3.48691293764999*Deflactores!$U$5</f>
        <v>5.3374190416046066</v>
      </c>
      <c r="F63" s="50">
        <f>4.20654736953*Deflactores!$V$5</f>
        <v>6.0963489462762075</v>
      </c>
      <c r="G63" s="50">
        <f>4.93625700979*Deflactores!$W$5</f>
        <v>6.3241534713432053</v>
      </c>
      <c r="H63" s="50">
        <f>3.80838277876999*Deflactores!$X$5</f>
        <v>4.46482605056742</v>
      </c>
      <c r="I63" s="50">
        <f>2.75182467234*Deflactores!$Y$5</f>
        <v>3.0666836032328786</v>
      </c>
      <c r="J63" s="50">
        <f>3.9810793465*Deflactores!$Z$5</f>
        <v>4.2212601065215241</v>
      </c>
      <c r="K63" s="50">
        <f>2.71455015604*Deflactores!$AA$5</f>
        <v>2.7145501560400001</v>
      </c>
    </row>
    <row r="64" spans="3:11" x14ac:dyDescent="0.2">
      <c r="C64" s="87" t="s">
        <v>129</v>
      </c>
      <c r="D64" s="42">
        <f>1994.92906809165*Deflactores!$T$5</f>
        <v>3102.8023135928702</v>
      </c>
      <c r="E64" s="42">
        <f>1801.13938940051*Deflactores!$U$5</f>
        <v>2757.0047906184218</v>
      </c>
      <c r="F64" s="42">
        <f>1762.10630138961*Deflactores!$V$5</f>
        <v>2553.7368178748147</v>
      </c>
      <c r="G64" s="42">
        <f>2517.34238723151*Deflactores!$W$5</f>
        <v>3225.1277770171901</v>
      </c>
      <c r="H64" s="42">
        <f>2318.18430862054*Deflactores!$X$5</f>
        <v>2717.7650704765788</v>
      </c>
      <c r="I64" s="42">
        <f>2557.75080101413*Deflactores!$Y$5</f>
        <v>2850.4041414658323</v>
      </c>
      <c r="J64" s="42">
        <f>2591.16656565197*Deflactores!$Z$5</f>
        <v>2747.4931044906884</v>
      </c>
      <c r="K64" s="42">
        <f>1521.61458345855*Deflactores!$AA$5</f>
        <v>1521.61458345855</v>
      </c>
    </row>
    <row r="65" spans="3:11" x14ac:dyDescent="0.2">
      <c r="C65" s="88" t="s">
        <v>130</v>
      </c>
      <c r="D65" s="50">
        <f>0*Deflactores!$T$5</f>
        <v>0</v>
      </c>
      <c r="E65" s="50">
        <f>0*Deflactores!$U$5</f>
        <v>0</v>
      </c>
      <c r="F65" s="50">
        <f>0*Deflactores!$V$5</f>
        <v>0</v>
      </c>
      <c r="G65" s="50">
        <f>0*Deflactores!$W$5</f>
        <v>0</v>
      </c>
      <c r="H65" s="50">
        <f>0*Deflactores!$X$5</f>
        <v>0</v>
      </c>
      <c r="I65" s="50">
        <f>0*Deflactores!$Y$5</f>
        <v>0</v>
      </c>
      <c r="J65" s="50">
        <f>0*Deflactores!$Z$5</f>
        <v>0</v>
      </c>
      <c r="K65" s="50">
        <f>0*Deflactores!$AA$5</f>
        <v>0</v>
      </c>
    </row>
    <row r="66" spans="3:11" x14ac:dyDescent="0.2">
      <c r="C66" s="87" t="s">
        <v>131</v>
      </c>
      <c r="D66" s="42">
        <f>13.55138631989*Deflactores!$T$5</f>
        <v>21.077076623064048</v>
      </c>
      <c r="E66" s="42">
        <f>13.0555598677*Deflactores!$U$5</f>
        <v>19.984150761055094</v>
      </c>
      <c r="F66" s="42">
        <f>14.9628052668199*Deflactores!$V$5</f>
        <v>21.684881711413006</v>
      </c>
      <c r="G66" s="42">
        <f>18.37510635954*Deflactores!$W$5</f>
        <v>23.5415199086097</v>
      </c>
      <c r="H66" s="42">
        <f>20.9382675282*Deflactores!$X$5</f>
        <v>24.547354545030991</v>
      </c>
      <c r="I66" s="42">
        <f>27.39759694801*Deflactores!$Y$5</f>
        <v>30.532381722197311</v>
      </c>
      <c r="J66" s="42">
        <f>35.28134630775*Deflactores!$Z$5</f>
        <v>37.409889808955995</v>
      </c>
      <c r="K66" s="42">
        <f>20.62390234691*Deflactores!$AA$5</f>
        <v>20.62390234691</v>
      </c>
    </row>
    <row r="67" spans="3:11" x14ac:dyDescent="0.2">
      <c r="C67" s="88" t="s">
        <v>132</v>
      </c>
      <c r="D67" s="50">
        <f>56.84781587905*Deflactores!$T$5</f>
        <v>88.417948013033993</v>
      </c>
      <c r="E67" s="50">
        <f>54.60947867311*Deflactores!$U$5</f>
        <v>83.59075105511441</v>
      </c>
      <c r="F67" s="50">
        <f>62.48851234716*Deflactores!$V$5</f>
        <v>90.56162760970895</v>
      </c>
      <c r="G67" s="50">
        <f>107.18058638526*Deflactores!$W$5</f>
        <v>137.31588045448601</v>
      </c>
      <c r="H67" s="50">
        <f>130.18242896214*Deflactores!$X$5</f>
        <v>152.62171213368197</v>
      </c>
      <c r="I67" s="50">
        <f>141.06959015706*Deflactores!$Y$5</f>
        <v>157.21052412891024</v>
      </c>
      <c r="J67" s="50">
        <f>154.669905045909*Deflactores!$Z$5</f>
        <v>164.00122756251318</v>
      </c>
      <c r="K67" s="50">
        <f>84.57738293195*Deflactores!$AA$5</f>
        <v>84.577382931949998</v>
      </c>
    </row>
    <row r="68" spans="3:11" x14ac:dyDescent="0.2">
      <c r="C68" s="87" t="s">
        <v>133</v>
      </c>
      <c r="D68" s="42">
        <f>9.83768054737*Deflactores!$T$5</f>
        <v>15.300984105648851</v>
      </c>
      <c r="E68" s="42">
        <f>10.76858734012*Deflactores!$U$5</f>
        <v>16.483480989655892</v>
      </c>
      <c r="F68" s="42">
        <f>14.60461502976*Deflactores!$V$5</f>
        <v>21.165773644287988</v>
      </c>
      <c r="G68" s="42">
        <f>14.87513921492*Deflactores!$W$5</f>
        <v>19.057488926564588</v>
      </c>
      <c r="H68" s="42">
        <f>17.57692989348*Deflactores!$X$5</f>
        <v>20.606629909914961</v>
      </c>
      <c r="I68" s="42">
        <f>18.64101389746*Deflactores!$Y$5</f>
        <v>20.773885866197244</v>
      </c>
      <c r="J68" s="42">
        <f>20.75269195792*Deflactores!$Z$5</f>
        <v>22.004713556366127</v>
      </c>
      <c r="K68" s="42">
        <f>14.77303127615*Deflactores!$AA$5</f>
        <v>14.77303127615</v>
      </c>
    </row>
    <row r="69" spans="3:11" x14ac:dyDescent="0.2">
      <c r="C69" s="88" t="s">
        <v>134</v>
      </c>
      <c r="D69" s="50">
        <f>194.35944013853*Deflactores!$T$5</f>
        <v>302.29592128171868</v>
      </c>
      <c r="E69" s="50">
        <f>207.82726675106*Deflactores!$U$5</f>
        <v>318.12128113222576</v>
      </c>
      <c r="F69" s="50">
        <f>226.64329356223*Deflactores!$V$5</f>
        <v>328.46334119447886</v>
      </c>
      <c r="G69" s="50">
        <f>251.234670822859*Deflactores!$W$5</f>
        <v>321.87274942431418</v>
      </c>
      <c r="H69" s="50">
        <f>282.107841877519*Deflactores!$X$5</f>
        <v>330.73420258740578</v>
      </c>
      <c r="I69" s="50">
        <f>315.71200651541*Deflactores!$Y$5</f>
        <v>351.83521808504793</v>
      </c>
      <c r="J69" s="50">
        <f>345.45254931019*Deflactores!$Z$5</f>
        <v>366.29389624733136</v>
      </c>
      <c r="K69" s="50">
        <f>198.220647358199*Deflactores!$AA$5</f>
        <v>198.22064735819899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884.21173110629*Deflactores!$Y$5</f>
        <v>985.38167959080954</v>
      </c>
      <c r="J70" s="42">
        <f>1132.28453313007*Deflactores!$Z$5</f>
        <v>1200.595896973367</v>
      </c>
      <c r="K70" s="42">
        <f>529.67457528769*Deflactores!$AA$5</f>
        <v>529.67457528769</v>
      </c>
    </row>
    <row r="71" spans="3:11" x14ac:dyDescent="0.2">
      <c r="C71" s="88" t="s">
        <v>136</v>
      </c>
      <c r="D71" s="50">
        <f>573.5275036828*Deflactores!$T$5</f>
        <v>892.03295184747913</v>
      </c>
      <c r="E71" s="50">
        <f>597.50635358736*Deflactores!$U$5</f>
        <v>914.6032166969552</v>
      </c>
      <c r="F71" s="50">
        <f>617.7963821701*Deflactores!$V$5</f>
        <v>895.34290062606681</v>
      </c>
      <c r="G71" s="50">
        <f>700.01234859974*Deflactores!$W$5</f>
        <v>896.83043561147349</v>
      </c>
      <c r="H71" s="50">
        <f>738.05660335117*Deflactores!$X$5</f>
        <v>865.27393407127647</v>
      </c>
      <c r="I71" s="50">
        <f>1.78110219585*Deflactores!$Y$5</f>
        <v>1.9848927711846629</v>
      </c>
      <c r="J71" s="50">
        <f>31.62720305825*Deflactores!$Z$5</f>
        <v>33.535290038371073</v>
      </c>
      <c r="K71" s="50">
        <f>2.28632313326*Deflactores!$AA$5</f>
        <v>2.2863231332599998</v>
      </c>
    </row>
    <row r="72" spans="3:11" x14ac:dyDescent="0.2">
      <c r="C72" s="87" t="s">
        <v>137</v>
      </c>
      <c r="D72" s="42">
        <f>3.52410440795*Deflactores!$T$5</f>
        <v>5.4811970436573638</v>
      </c>
      <c r="E72" s="42">
        <f>5.16975902275*Deflactores!$U$5</f>
        <v>7.9133522235658491</v>
      </c>
      <c r="F72" s="42">
        <f>6.56614803276999*Deflactores!$V$5</f>
        <v>9.5160059127406047</v>
      </c>
      <c r="G72" s="42">
        <f>6.31634048772*Deflactores!$W$5</f>
        <v>8.0922663755912172</v>
      </c>
      <c r="H72" s="42">
        <f>2.04148818456*Deflactores!$X$5</f>
        <v>2.3933753926103383</v>
      </c>
      <c r="I72" s="42">
        <f>8.31679048944999*Deflactores!$Y$5</f>
        <v>9.2683830048777835</v>
      </c>
      <c r="J72" s="42">
        <f>7.9873882236*Deflactores!$Z$5</f>
        <v>8.4692718554391426</v>
      </c>
      <c r="K72" s="42">
        <f>7.98577605198999*Deflactores!$AA$5</f>
        <v>7.9857760519899896</v>
      </c>
    </row>
    <row r="73" spans="3:11" x14ac:dyDescent="0.2">
      <c r="C73" s="88" t="s">
        <v>138</v>
      </c>
      <c r="D73" s="50">
        <f>0*Deflactores!$T$5</f>
        <v>0</v>
      </c>
      <c r="E73" s="50">
        <f>0*Deflactores!$U$5</f>
        <v>0</v>
      </c>
      <c r="F73" s="50">
        <f>0*Deflactores!$V$5</f>
        <v>0</v>
      </c>
      <c r="G73" s="50">
        <f>0*Deflactores!$W$5</f>
        <v>0</v>
      </c>
      <c r="H73" s="50">
        <f>0*Deflactores!$X$5</f>
        <v>0</v>
      </c>
      <c r="I73" s="50">
        <f>0*Deflactores!$Y$5</f>
        <v>0</v>
      </c>
      <c r="J73" s="50">
        <f>0*Deflactores!$Z$5</f>
        <v>0</v>
      </c>
      <c r="K73" s="50">
        <f>0*Deflactores!$AA$5</f>
        <v>0</v>
      </c>
    </row>
    <row r="74" spans="3:11" x14ac:dyDescent="0.2">
      <c r="C74" s="87" t="s">
        <v>160</v>
      </c>
      <c r="D74" s="42">
        <f>105.34285262394*Deflactores!$T$5</f>
        <v>163.84444543419599</v>
      </c>
      <c r="E74" s="42">
        <f>114.65188405367*Deflactores!$U$5</f>
        <v>175.49768521502668</v>
      </c>
      <c r="F74" s="42">
        <f>130.98816436786*Deflactores!$V$5</f>
        <v>189.83491392559318</v>
      </c>
      <c r="G74" s="42">
        <f>162.83769024*Deflactores!$W$5</f>
        <v>208.62174355071031</v>
      </c>
      <c r="H74" s="42">
        <f>161.1216549083*Deflactores!$X$5</f>
        <v>188.89387016329624</v>
      </c>
      <c r="I74" s="42">
        <f>203.592628587*Deflactores!$Y$5</f>
        <v>226.88733846401556</v>
      </c>
      <c r="J74" s="42">
        <f>206.78910705747*Deflactores!$Z$5</f>
        <v>219.26481039679189</v>
      </c>
      <c r="K74" s="42">
        <f>202.02463735467*Deflactores!$AA$5</f>
        <v>202.02463735467001</v>
      </c>
    </row>
    <row r="75" spans="3:11" x14ac:dyDescent="0.2">
      <c r="C75" s="88" t="s">
        <v>161</v>
      </c>
      <c r="D75" s="50">
        <f>356.28663884951*Deflactores!$T$5</f>
        <v>554.14852838953129</v>
      </c>
      <c r="E75" s="50">
        <f>394.12874294657*Deflactores!$U$5</f>
        <v>603.29302596939942</v>
      </c>
      <c r="F75" s="50">
        <f>396.377859088859*Deflactores!$V$5</f>
        <v>574.45157068410163</v>
      </c>
      <c r="G75" s="50">
        <f>444.00451440856*Deflactores!$W$5</f>
        <v>568.84248237479949</v>
      </c>
      <c r="H75" s="50">
        <f>665.16416154065*Deflactores!$X$5</f>
        <v>779.81716882716091</v>
      </c>
      <c r="I75" s="50">
        <f>567.30810453735*Deflactores!$Y$5</f>
        <v>632.21849838508194</v>
      </c>
      <c r="J75" s="50">
        <f>563.51699006391*Deflactores!$Z$5</f>
        <v>597.51428757509427</v>
      </c>
      <c r="K75" s="50">
        <f>299.76619416666*Deflactores!$AA$5</f>
        <v>299.76619416666</v>
      </c>
    </row>
    <row r="76" spans="3:11" x14ac:dyDescent="0.2">
      <c r="C76" s="87" t="s">
        <v>140</v>
      </c>
      <c r="D76" s="42">
        <f>450.84923393479*Deflactores!$T$5</f>
        <v>701.22595760892102</v>
      </c>
      <c r="E76" s="42">
        <f>927.75444734521*Deflactores!$U$5</f>
        <v>1420.114107159488</v>
      </c>
      <c r="F76" s="42">
        <f>948.09470274612*Deflactores!$V$5</f>
        <v>1374.0285403471294</v>
      </c>
      <c r="G76" s="42">
        <f>634.59372967311*Deflactores!$W$5</f>
        <v>813.018473399051</v>
      </c>
      <c r="H76" s="42">
        <f>1433.01014668255*Deflactores!$X$5</f>
        <v>1680.0152204506408</v>
      </c>
      <c r="I76" s="42">
        <f>4148.71786395374*Deflactores!$Y$5</f>
        <v>4623.4068528092275</v>
      </c>
      <c r="J76" s="42">
        <f>3394.36981278354*Deflactores!$Z$5</f>
        <v>3599.1540560680187</v>
      </c>
      <c r="K76" s="42">
        <f>1769.40080512914*Deflactores!$AA$5</f>
        <v>1769.4008051291401</v>
      </c>
    </row>
    <row r="77" spans="3:11" x14ac:dyDescent="0.2">
      <c r="C77" s="88" t="s">
        <v>141</v>
      </c>
      <c r="D77" s="50">
        <f>17.3557480164*Deflactores!$T$5</f>
        <v>26.994170349592988</v>
      </c>
      <c r="E77" s="50">
        <f>15.01673610455*Deflactores!$U$5</f>
        <v>22.986124018684041</v>
      </c>
      <c r="F77" s="50">
        <f>15.0011632230599*Deflactores!$V$5</f>
        <v>21.740472072239289</v>
      </c>
      <c r="G77" s="50">
        <f>16.50460117378*Deflactores!$W$5</f>
        <v>21.145096497059498</v>
      </c>
      <c r="H77" s="50">
        <f>25.5308261296699*Deflactores!$X$5</f>
        <v>29.93152322600136</v>
      </c>
      <c r="I77" s="50">
        <f>17.309933012*Deflactores!$Y$5</f>
        <v>19.290505050897782</v>
      </c>
      <c r="J77" s="50">
        <f>17.4729732990599*Deflactores!$Z$5</f>
        <v>18.527127622935293</v>
      </c>
      <c r="K77" s="50">
        <f>6.348155179*Deflactores!$AA$5</f>
        <v>6.3481551789999999</v>
      </c>
    </row>
    <row r="78" spans="3:11" x14ac:dyDescent="0.2">
      <c r="C78" s="87" t="s">
        <v>142</v>
      </c>
      <c r="D78" s="42">
        <f>113.770180735949*Deflactores!$T$5</f>
        <v>176.95184538218575</v>
      </c>
      <c r="E78" s="42">
        <f>284.60970579113*Deflactores!$U$5</f>
        <v>435.65219157403146</v>
      </c>
      <c r="F78" s="42">
        <f>274.31652586448*Deflactores!$V$5</f>
        <v>397.55388837732806</v>
      </c>
      <c r="G78" s="42">
        <f>178.89646683094*Deflactores!$W$5</f>
        <v>229.19566575972405</v>
      </c>
      <c r="H78" s="42">
        <f>274.336422537109*Deflactores!$X$5</f>
        <v>321.62323934222684</v>
      </c>
      <c r="I78" s="42">
        <f>236.92098174276*Deflactores!$Y$5</f>
        <v>264.02906307055173</v>
      </c>
      <c r="J78" s="42">
        <f>209.899957456349*Deflactores!$Z$5</f>
        <v>222.56334015297205</v>
      </c>
      <c r="K78" s="42">
        <f>122.391010272009*Deflactores!$AA$5</f>
        <v>122.391010272009</v>
      </c>
    </row>
    <row r="79" spans="3:11" x14ac:dyDescent="0.2">
      <c r="C79" s="88" t="s">
        <v>143</v>
      </c>
      <c r="D79" s="50">
        <f>0.067335387*Deflactores!$T$5</f>
        <v>0.1047297359650648</v>
      </c>
      <c r="E79" s="50">
        <f>0*Deflactores!$U$5</f>
        <v>0</v>
      </c>
      <c r="F79" s="50">
        <f>0.01336564379*Deflactores!$V$5</f>
        <v>1.9370191579364912E-2</v>
      </c>
      <c r="G79" s="50">
        <f>0*Deflactores!$W$5</f>
        <v>0</v>
      </c>
      <c r="H79" s="50">
        <f>0.003899899*Deflactores!$X$5</f>
        <v>4.5721167385925372E-3</v>
      </c>
      <c r="I79" s="50">
        <f>0*Deflactores!$Y$5</f>
        <v>0</v>
      </c>
      <c r="J79" s="50">
        <f>0*Deflactores!$Z$5</f>
        <v>0</v>
      </c>
      <c r="K79" s="50">
        <f>0*Deflactores!$AA$5</f>
        <v>0</v>
      </c>
    </row>
    <row r="80" spans="3:11" x14ac:dyDescent="0.2">
      <c r="C80" s="87" t="s">
        <v>144</v>
      </c>
      <c r="D80" s="42">
        <f>0*Deflactores!$T$5</f>
        <v>0</v>
      </c>
      <c r="E80" s="42">
        <f>0*Deflactores!$U$5</f>
        <v>0</v>
      </c>
      <c r="F80" s="42">
        <f>0*Deflactores!$V$5</f>
        <v>0</v>
      </c>
      <c r="G80" s="42">
        <f>0*Deflactores!$W$5</f>
        <v>0</v>
      </c>
      <c r="H80" s="42">
        <f>0*Deflactores!$X$5</f>
        <v>0</v>
      </c>
      <c r="I80" s="42">
        <f>0*Deflactores!$Y$5</f>
        <v>0</v>
      </c>
      <c r="J80" s="42">
        <f>0*Deflactores!$Z$5</f>
        <v>0</v>
      </c>
      <c r="K80" s="42">
        <f>0*Deflactores!$AA$5</f>
        <v>0</v>
      </c>
    </row>
    <row r="81" spans="1:11" x14ac:dyDescent="0.2">
      <c r="C81" s="88" t="s">
        <v>145</v>
      </c>
      <c r="D81" s="50">
        <f>46.05946159165*Deflactores!$T$5</f>
        <v>71.6383385631473</v>
      </c>
      <c r="E81" s="50">
        <f>44.30268957297*Deflactores!$U$5</f>
        <v>67.814144817860551</v>
      </c>
      <c r="F81" s="50">
        <f>50.7642537817399*Deflactores!$V$5</f>
        <v>73.570217535761643</v>
      </c>
      <c r="G81" s="50">
        <f>57.84630625542*Deflactores!$W$5</f>
        <v>74.110589822218301</v>
      </c>
      <c r="H81" s="50">
        <f>59.49940671554*Deflactores!$X$5</f>
        <v>69.755199655284827</v>
      </c>
      <c r="I81" s="50">
        <f>72.29122490594*Deflactores!$Y$5</f>
        <v>80.562659498270222</v>
      </c>
      <c r="J81" s="50">
        <f>84.30636134128*Deflactores!$Z$5</f>
        <v>89.392611621470905</v>
      </c>
      <c r="K81" s="50">
        <f>42.67986579048*Deflactores!$AA$5</f>
        <v>42.679865790480001</v>
      </c>
    </row>
    <row r="82" spans="1:11" x14ac:dyDescent="0.2">
      <c r="C82" s="87" t="s">
        <v>146</v>
      </c>
      <c r="D82" s="42">
        <f>208.685515397029*Deflactores!$T$5</f>
        <v>324.57790622432026</v>
      </c>
      <c r="E82" s="42">
        <f>167.505448204969*Deflactores!$U$5</f>
        <v>256.40065720260282</v>
      </c>
      <c r="F82" s="42">
        <f>217.890083149009*Deflactores!$V$5</f>
        <v>315.77772983878504</v>
      </c>
      <c r="G82" s="42">
        <f>192.57403503984*Deflactores!$W$5</f>
        <v>246.71887014237595</v>
      </c>
      <c r="H82" s="42">
        <f>204.33640947513*Deflactores!$X$5</f>
        <v>239.55746496643647</v>
      </c>
      <c r="I82" s="42">
        <f>342.76973073427*Deflactores!$Y$5</f>
        <v>381.98883943920771</v>
      </c>
      <c r="J82" s="42">
        <f>422.54889920085*Deflactores!$Z$5</f>
        <v>448.04151236505197</v>
      </c>
      <c r="K82" s="42">
        <f>403.045367298848*Deflactores!$AA$5</f>
        <v>403.04536729884802</v>
      </c>
    </row>
    <row r="83" spans="1:11" x14ac:dyDescent="0.2">
      <c r="C83" s="88" t="s">
        <v>162</v>
      </c>
      <c r="D83" s="50">
        <f>464.21390632858*Deflactores!$T$5</f>
        <v>722.0126297202911</v>
      </c>
      <c r="E83" s="50">
        <f>382.42027888954*Deflactores!$U$5</f>
        <v>585.37087530966642</v>
      </c>
      <c r="F83" s="50">
        <f>387.44718070486*Deflactores!$V$5</f>
        <v>561.50876344265907</v>
      </c>
      <c r="G83" s="50">
        <f>453.38776455714*Deflactores!$W$5</f>
        <v>580.86396218874222</v>
      </c>
      <c r="H83" s="50">
        <f>553.109694165699*Deflactores!$X$5</f>
        <v>648.44809852070307</v>
      </c>
      <c r="I83" s="50">
        <f>593.15699518599*Deflactores!$Y$5</f>
        <v>661.02497356161882</v>
      </c>
      <c r="J83" s="50">
        <f>672.7757823922*Deflactores!$Z$5</f>
        <v>713.36472440389218</v>
      </c>
      <c r="K83" s="50">
        <f>324.89187505326*Deflactores!$AA$5</f>
        <v>324.89187505325998</v>
      </c>
    </row>
    <row r="84" spans="1:11" x14ac:dyDescent="0.2">
      <c r="C84" s="87" t="s">
        <v>148</v>
      </c>
      <c r="D84" s="42">
        <f>0*Deflactores!$T$5</f>
        <v>0</v>
      </c>
      <c r="E84" s="42">
        <f>0*Deflactores!$U$5</f>
        <v>0</v>
      </c>
      <c r="F84" s="42">
        <f>0*Deflactores!$V$5</f>
        <v>0</v>
      </c>
      <c r="G84" s="42">
        <f>0*Deflactores!$W$5</f>
        <v>0</v>
      </c>
      <c r="H84" s="42">
        <f>0*Deflactores!$X$5</f>
        <v>0</v>
      </c>
      <c r="I84" s="42">
        <f>0*Deflactores!$Y$5</f>
        <v>0</v>
      </c>
      <c r="J84" s="42">
        <f>0*Deflactores!$Z$5</f>
        <v>0</v>
      </c>
      <c r="K84" s="42">
        <f>0*Deflactores!$AA$5</f>
        <v>0</v>
      </c>
    </row>
    <row r="85" spans="1:11" x14ac:dyDescent="0.2">
      <c r="C85" s="88" t="s">
        <v>149</v>
      </c>
      <c r="D85" s="50">
        <f>418.57557023022*Deflactores!$T$5</f>
        <v>651.02928645286295</v>
      </c>
      <c r="E85" s="50">
        <f>256.79074471542*Deflactores!$U$5</f>
        <v>393.06969662271752</v>
      </c>
      <c r="F85" s="50">
        <f>670.20207116943*Deflactores!$V$5</f>
        <v>971.29197211973712</v>
      </c>
      <c r="G85" s="50">
        <f>696.78460634573*Deflactores!$W$5</f>
        <v>892.69516928724966</v>
      </c>
      <c r="H85" s="50">
        <f>890.044665754299*Deflactores!$X$5</f>
        <v>1043.4598727788157</v>
      </c>
      <c r="I85" s="50">
        <f>643.41141223359*Deflactores!$Y$5</f>
        <v>717.02941247045794</v>
      </c>
      <c r="J85" s="50">
        <f>661.178754163859*Deflactores!$Z$5</f>
        <v>701.06804092845778</v>
      </c>
      <c r="K85" s="50">
        <f>357.94434752701*Deflactores!$AA$5</f>
        <v>357.94434752701</v>
      </c>
    </row>
    <row r="86" spans="1:11" x14ac:dyDescent="0.2">
      <c r="C86" s="87" t="s">
        <v>163</v>
      </c>
      <c r="D86" s="42">
        <f>77.58905108111*Deflactores!$T$5</f>
        <v>120.67771784700035</v>
      </c>
      <c r="E86" s="42">
        <f>77.4752650694899*Deflactores!$U$5</f>
        <v>118.59141952478764</v>
      </c>
      <c r="F86" s="42">
        <f>81.04657379448*Deflactores!$V$5</f>
        <v>117.4569430336594</v>
      </c>
      <c r="G86" s="42">
        <f>90.573974663*Deflactores!$W$5</f>
        <v>116.04009174204877</v>
      </c>
      <c r="H86" s="42">
        <f>99.7148851202*Deflactores!$X$5</f>
        <v>116.90253910290967</v>
      </c>
      <c r="I86" s="42">
        <f>112.15237258724*Deflactores!$Y$5</f>
        <v>124.9846494705963</v>
      </c>
      <c r="J86" s="42">
        <f>115.87165293186*Deflactores!$Z$5</f>
        <v>122.86225503844486</v>
      </c>
      <c r="K86" s="42">
        <f>53.2026318098*Deflactores!$AA$5</f>
        <v>53.202631809800003</v>
      </c>
    </row>
    <row r="87" spans="1:11" x14ac:dyDescent="0.2">
      <c r="C87" s="88" t="s">
        <v>150</v>
      </c>
      <c r="D87" s="50">
        <f>759.47538299688*Deflactores!$T$5</f>
        <v>1181.2459967480354</v>
      </c>
      <c r="E87" s="50">
        <f>698.41288070568*Deflactores!$U$5</f>
        <v>1069.060878500949</v>
      </c>
      <c r="F87" s="50">
        <f>651.93142940186*Deflactores!$V$5</f>
        <v>944.81320036161458</v>
      </c>
      <c r="G87" s="50">
        <f>744.15994874885*Deflactores!$W$5</f>
        <v>953.39073994342789</v>
      </c>
      <c r="H87" s="50">
        <f>1014.25672708026*Deflactores!$X$5</f>
        <v>1189.0821170275792</v>
      </c>
      <c r="I87" s="50">
        <f>894.386197543619*Deflactores!$Y$5</f>
        <v>996.72029055270184</v>
      </c>
      <c r="J87" s="50">
        <f>981.34732095084*Deflactores!$Z$5</f>
        <v>1040.5525577412791</v>
      </c>
      <c r="K87" s="50">
        <f>787.628284907429*Deflactores!$AA$5</f>
        <v>787.62828490742902</v>
      </c>
    </row>
    <row r="88" spans="1:11" x14ac:dyDescent="0.2">
      <c r="C88" s="87" t="s">
        <v>151</v>
      </c>
      <c r="D88" s="42">
        <f>0*Deflactores!$T$5</f>
        <v>0</v>
      </c>
      <c r="E88" s="42">
        <f>0*Deflactores!$U$5</f>
        <v>0</v>
      </c>
      <c r="F88" s="42">
        <f>0*Deflactores!$V$5</f>
        <v>0</v>
      </c>
      <c r="G88" s="42">
        <f>0*Deflactores!$W$5</f>
        <v>0</v>
      </c>
      <c r="H88" s="42">
        <f>0*Deflactores!$X$5</f>
        <v>0</v>
      </c>
      <c r="I88" s="42">
        <f>0*Deflactores!$Y$5</f>
        <v>0</v>
      </c>
      <c r="J88" s="42">
        <f>0*Deflactores!$Z$5</f>
        <v>0</v>
      </c>
      <c r="K88" s="42">
        <f>0*Deflactores!$AA$5</f>
        <v>0</v>
      </c>
    </row>
    <row r="89" spans="1:11" x14ac:dyDescent="0.2">
      <c r="C89" s="79" t="s">
        <v>179</v>
      </c>
      <c r="D89" s="44">
        <f t="shared" ref="D89:K89" si="1">+SUM(D58:D88)</f>
        <v>9486.3212451034142</v>
      </c>
      <c r="E89" s="44">
        <f t="shared" si="1"/>
        <v>9619.4447743202945</v>
      </c>
      <c r="F89" s="44">
        <f t="shared" si="1"/>
        <v>9881.6336412681267</v>
      </c>
      <c r="G89" s="44">
        <f t="shared" si="1"/>
        <v>9765.1592605944097</v>
      </c>
      <c r="H89" s="44">
        <f t="shared" si="1"/>
        <v>10849.989109811049</v>
      </c>
      <c r="I89" s="44">
        <f t="shared" si="1"/>
        <v>13612.970202588116</v>
      </c>
      <c r="J89" s="44">
        <f t="shared" si="1"/>
        <v>12835.166516089779</v>
      </c>
      <c r="K89" s="44">
        <f t="shared" si="1"/>
        <v>7058.6209151940648</v>
      </c>
    </row>
    <row r="90" spans="1:11" s="31" customFormat="1" x14ac:dyDescent="0.2">
      <c r="A90" s="5"/>
      <c r="B90" s="5"/>
      <c r="C90" s="72" t="str">
        <f>+'C1 Aprop Resumen 2000-2026'!B20</f>
        <v>* Información con corte a 30 de Junio</v>
      </c>
      <c r="D90" s="121">
        <f>+D89-'C7 Ejec. Prop 19-26'!D47</f>
        <v>2.9103830456733704E-11</v>
      </c>
      <c r="E90" s="121">
        <f>+E89-'C7 Ejec. Prop 19-26'!E47</f>
        <v>1.4551915228366852E-11</v>
      </c>
      <c r="F90" s="121">
        <f>+F89-'C7 Ejec. Prop 19-26'!F47</f>
        <v>2.5465851649641991E-11</v>
      </c>
      <c r="G90" s="121">
        <f>+G89-'C7 Ejec. Prop 19-26'!G47</f>
        <v>-1.6370904631912708E-11</v>
      </c>
      <c r="H90" s="121">
        <f>+H89-'C7 Ejec. Prop 19-26'!H47</f>
        <v>0</v>
      </c>
      <c r="I90" s="121">
        <f>+I89-'C7 Ejec. Prop 19-26'!I47</f>
        <v>0</v>
      </c>
      <c r="J90" s="121">
        <f>+J89-'C7 Ejec. Prop 19-26'!J47</f>
        <v>0</v>
      </c>
      <c r="K90" s="121">
        <f>+K89-'C7 Ejec. Prop 19-26'!K47</f>
        <v>0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1" t="s">
        <v>196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81" t="s">
        <v>120</v>
      </c>
      <c r="D98" s="155">
        <v>2019</v>
      </c>
      <c r="E98" s="155">
        <v>2020</v>
      </c>
      <c r="F98" s="155">
        <v>2021</v>
      </c>
      <c r="G98" s="155">
        <v>2022</v>
      </c>
      <c r="H98" s="155">
        <v>2023</v>
      </c>
      <c r="I98" s="155">
        <v>2024</v>
      </c>
      <c r="J98" s="155">
        <v>2025</v>
      </c>
      <c r="K98" s="155" t="s">
        <v>36</v>
      </c>
    </row>
    <row r="99" spans="3:11" ht="12" customHeight="1" thickBot="1" x14ac:dyDescent="0.25">
      <c r="C99" s="162"/>
      <c r="D99" s="156"/>
      <c r="E99" s="156"/>
      <c r="F99" s="156"/>
      <c r="G99" s="156"/>
      <c r="H99" s="156"/>
      <c r="I99" s="156"/>
      <c r="J99" s="156"/>
      <c r="K99" s="156"/>
    </row>
    <row r="100" spans="3:11" x14ac:dyDescent="0.2">
      <c r="C100" s="87" t="s">
        <v>123</v>
      </c>
      <c r="D100" s="47">
        <f t="shared" ref="D100:K109" si="2">+IFERROR(IF(D58&gt;0,+((D58/D15)*100)," "),"")</f>
        <v>78.10657389575691</v>
      </c>
      <c r="E100" s="47">
        <f t="shared" si="2"/>
        <v>72.774600818232543</v>
      </c>
      <c r="F100" s="47">
        <f t="shared" si="2"/>
        <v>98.661896696585544</v>
      </c>
      <c r="G100" s="47">
        <f t="shared" si="2"/>
        <v>98.481093455789875</v>
      </c>
      <c r="H100" s="47">
        <f t="shared" si="2"/>
        <v>77.024820701246853</v>
      </c>
      <c r="I100" s="47">
        <f t="shared" si="2"/>
        <v>93.900877531212288</v>
      </c>
      <c r="J100" s="47">
        <f t="shared" si="2"/>
        <v>98.568601002262355</v>
      </c>
      <c r="K100" s="47">
        <f t="shared" si="2"/>
        <v>41.860361675641627</v>
      </c>
    </row>
    <row r="101" spans="3:11" x14ac:dyDescent="0.2">
      <c r="C101" s="88" t="s">
        <v>124</v>
      </c>
      <c r="D101" s="116">
        <f t="shared" si="2"/>
        <v>96.354219762686839</v>
      </c>
      <c r="E101" s="116">
        <f t="shared" si="2"/>
        <v>99.558912497848738</v>
      </c>
      <c r="F101" s="116">
        <f t="shared" si="2"/>
        <v>99.798729009035412</v>
      </c>
      <c r="G101" s="116">
        <f t="shared" si="2"/>
        <v>99.316248577962781</v>
      </c>
      <c r="H101" s="116">
        <f t="shared" si="2"/>
        <v>95.388278189527568</v>
      </c>
      <c r="I101" s="116">
        <f t="shared" si="2"/>
        <v>99.051706381459127</v>
      </c>
      <c r="J101" s="116">
        <f t="shared" si="2"/>
        <v>98.691073123552314</v>
      </c>
      <c r="K101" s="116">
        <f t="shared" si="2"/>
        <v>99.072295579235686</v>
      </c>
    </row>
    <row r="102" spans="3:11" x14ac:dyDescent="0.2">
      <c r="C102" s="87" t="s">
        <v>125</v>
      </c>
      <c r="D102" s="47" t="str">
        <f t="shared" si="2"/>
        <v xml:space="preserve"> </v>
      </c>
      <c r="E102" s="47" t="str">
        <f t="shared" si="2"/>
        <v xml:space="preserve"> </v>
      </c>
      <c r="F102" s="47" t="str">
        <f t="shared" si="2"/>
        <v xml:space="preserve"> </v>
      </c>
      <c r="G102" s="47" t="str">
        <f t="shared" si="2"/>
        <v xml:space="preserve"> </v>
      </c>
      <c r="H102" s="47" t="str">
        <f t="shared" si="2"/>
        <v xml:space="preserve"> </v>
      </c>
      <c r="I102" s="47" t="str">
        <f t="shared" si="2"/>
        <v xml:space="preserve"> </v>
      </c>
      <c r="J102" s="47" t="str">
        <f t="shared" si="2"/>
        <v xml:space="preserve"> </v>
      </c>
      <c r="K102" s="47" t="str">
        <f t="shared" si="2"/>
        <v xml:space="preserve"> </v>
      </c>
    </row>
    <row r="103" spans="3:11" x14ac:dyDescent="0.2">
      <c r="C103" s="88" t="s">
        <v>126</v>
      </c>
      <c r="D103" s="116">
        <f t="shared" si="2"/>
        <v>94.823499055057965</v>
      </c>
      <c r="E103" s="116">
        <f t="shared" si="2"/>
        <v>91.300223467863944</v>
      </c>
      <c r="F103" s="116">
        <f t="shared" si="2"/>
        <v>87.86984587051775</v>
      </c>
      <c r="G103" s="116">
        <f t="shared" si="2"/>
        <v>92.650233488820945</v>
      </c>
      <c r="H103" s="116">
        <f t="shared" si="2"/>
        <v>88.53474113646314</v>
      </c>
      <c r="I103" s="116">
        <f t="shared" si="2"/>
        <v>89.261503066531034</v>
      </c>
      <c r="J103" s="116">
        <f t="shared" si="2"/>
        <v>87.871365824110427</v>
      </c>
      <c r="K103" s="116">
        <f t="shared" si="2"/>
        <v>43.063131084155479</v>
      </c>
    </row>
    <row r="104" spans="3:11" x14ac:dyDescent="0.2">
      <c r="C104" s="87" t="s">
        <v>127</v>
      </c>
      <c r="D104" s="47" t="str">
        <f t="shared" si="2"/>
        <v xml:space="preserve"> </v>
      </c>
      <c r="E104" s="47" t="str">
        <f t="shared" si="2"/>
        <v xml:space="preserve"> </v>
      </c>
      <c r="F104" s="47" t="str">
        <f t="shared" si="2"/>
        <v xml:space="preserve"> </v>
      </c>
      <c r="G104" s="47" t="str">
        <f t="shared" si="2"/>
        <v xml:space="preserve"> </v>
      </c>
      <c r="H104" s="47" t="str">
        <f t="shared" si="2"/>
        <v xml:space="preserve"> </v>
      </c>
      <c r="I104" s="47" t="str">
        <f t="shared" si="2"/>
        <v xml:space="preserve"> </v>
      </c>
      <c r="J104" s="47" t="str">
        <f t="shared" si="2"/>
        <v xml:space="preserve"> </v>
      </c>
      <c r="K104" s="47" t="str">
        <f t="shared" si="2"/>
        <v xml:space="preserve"> </v>
      </c>
    </row>
    <row r="105" spans="3:11" x14ac:dyDescent="0.2">
      <c r="C105" s="88" t="s">
        <v>128</v>
      </c>
      <c r="D105" s="116">
        <f t="shared" si="2"/>
        <v>95.878571599374382</v>
      </c>
      <c r="E105" s="116">
        <f t="shared" si="2"/>
        <v>96.808216720063683</v>
      </c>
      <c r="F105" s="116">
        <f t="shared" si="2"/>
        <v>79.554322943175777</v>
      </c>
      <c r="G105" s="116">
        <f t="shared" si="2"/>
        <v>93.956599999551045</v>
      </c>
      <c r="H105" s="116">
        <f t="shared" si="2"/>
        <v>94.585162915173257</v>
      </c>
      <c r="I105" s="116">
        <f t="shared" si="2"/>
        <v>73.46615122496118</v>
      </c>
      <c r="J105" s="116">
        <f t="shared" si="2"/>
        <v>97.441317379159443</v>
      </c>
      <c r="K105" s="116">
        <f t="shared" si="2"/>
        <v>61.390036431695719</v>
      </c>
    </row>
    <row r="106" spans="3:11" x14ac:dyDescent="0.2">
      <c r="C106" s="87" t="s">
        <v>129</v>
      </c>
      <c r="D106" s="47">
        <f t="shared" si="2"/>
        <v>93.69001311397534</v>
      </c>
      <c r="E106" s="47">
        <f t="shared" si="2"/>
        <v>97.995492117382511</v>
      </c>
      <c r="F106" s="47">
        <f t="shared" si="2"/>
        <v>77.395412264903115</v>
      </c>
      <c r="G106" s="47">
        <f t="shared" si="2"/>
        <v>93.743264033785749</v>
      </c>
      <c r="H106" s="47">
        <f t="shared" si="2"/>
        <v>89.633278190973854</v>
      </c>
      <c r="I106" s="47">
        <f t="shared" si="2"/>
        <v>90.118110093416703</v>
      </c>
      <c r="J106" s="47">
        <f t="shared" si="2"/>
        <v>97.547522380030287</v>
      </c>
      <c r="K106" s="47">
        <f t="shared" si="2"/>
        <v>49.124893208895671</v>
      </c>
    </row>
    <row r="107" spans="3:11" x14ac:dyDescent="0.2">
      <c r="C107" s="88" t="s">
        <v>130</v>
      </c>
      <c r="D107" s="116" t="str">
        <f t="shared" si="2"/>
        <v xml:space="preserve"> </v>
      </c>
      <c r="E107" s="116" t="str">
        <f t="shared" si="2"/>
        <v xml:space="preserve"> </v>
      </c>
      <c r="F107" s="116" t="str">
        <f t="shared" si="2"/>
        <v xml:space="preserve"> </v>
      </c>
      <c r="G107" s="116" t="str">
        <f t="shared" si="2"/>
        <v xml:space="preserve"> </v>
      </c>
      <c r="H107" s="116" t="str">
        <f t="shared" si="2"/>
        <v xml:space="preserve"> </v>
      </c>
      <c r="I107" s="116" t="str">
        <f t="shared" si="2"/>
        <v xml:space="preserve"> </v>
      </c>
      <c r="J107" s="116" t="str">
        <f t="shared" si="2"/>
        <v xml:space="preserve"> </v>
      </c>
      <c r="K107" s="116" t="str">
        <f t="shared" si="2"/>
        <v xml:space="preserve"> </v>
      </c>
    </row>
    <row r="108" spans="3:11" x14ac:dyDescent="0.2">
      <c r="C108" s="87" t="s">
        <v>131</v>
      </c>
      <c r="D108" s="47">
        <f t="shared" si="2"/>
        <v>92.908097776378142</v>
      </c>
      <c r="E108" s="47">
        <f t="shared" si="2"/>
        <v>85.265129012010007</v>
      </c>
      <c r="F108" s="47">
        <f t="shared" si="2"/>
        <v>82.945586928841578</v>
      </c>
      <c r="G108" s="47">
        <f t="shared" si="2"/>
        <v>91.435903406896273</v>
      </c>
      <c r="H108" s="47">
        <f t="shared" si="2"/>
        <v>91.573982253538261</v>
      </c>
      <c r="I108" s="47">
        <f t="shared" si="2"/>
        <v>90.580232729139396</v>
      </c>
      <c r="J108" s="47">
        <f t="shared" si="2"/>
        <v>95.127777699280287</v>
      </c>
      <c r="K108" s="47">
        <f t="shared" si="2"/>
        <v>55.351737337022385</v>
      </c>
    </row>
    <row r="109" spans="3:11" x14ac:dyDescent="0.2">
      <c r="C109" s="88" t="s">
        <v>132</v>
      </c>
      <c r="D109" s="116">
        <f t="shared" si="2"/>
        <v>92.0201204635582</v>
      </c>
      <c r="E109" s="116">
        <f t="shared" si="2"/>
        <v>85.693825596743693</v>
      </c>
      <c r="F109" s="116">
        <f t="shared" si="2"/>
        <v>46.42354853236759</v>
      </c>
      <c r="G109" s="116">
        <f t="shared" si="2"/>
        <v>76.691353032339123</v>
      </c>
      <c r="H109" s="116">
        <f t="shared" si="2"/>
        <v>88.475812327775941</v>
      </c>
      <c r="I109" s="116">
        <f t="shared" si="2"/>
        <v>84.26340596947685</v>
      </c>
      <c r="J109" s="116">
        <f t="shared" si="2"/>
        <v>88.02214225790182</v>
      </c>
      <c r="K109" s="116">
        <f t="shared" si="2"/>
        <v>42.861738551729204</v>
      </c>
    </row>
    <row r="110" spans="3:11" x14ac:dyDescent="0.2">
      <c r="C110" s="87" t="s">
        <v>133</v>
      </c>
      <c r="D110" s="47">
        <f t="shared" ref="D110:K119" si="3">+IFERROR(IF(D68&gt;0,+((D68/D25)*100)," "),"")</f>
        <v>99.219949387563403</v>
      </c>
      <c r="E110" s="47">
        <f t="shared" si="3"/>
        <v>94.341805663860754</v>
      </c>
      <c r="F110" s="47">
        <f t="shared" si="3"/>
        <v>77.598283178809368</v>
      </c>
      <c r="G110" s="47">
        <f t="shared" si="3"/>
        <v>86.094939198268278</v>
      </c>
      <c r="H110" s="47">
        <f t="shared" si="3"/>
        <v>95.015054210637274</v>
      </c>
      <c r="I110" s="47">
        <f t="shared" si="3"/>
        <v>92.982613234267674</v>
      </c>
      <c r="J110" s="47">
        <f t="shared" si="3"/>
        <v>98.845557241919863</v>
      </c>
      <c r="K110" s="47">
        <f t="shared" si="3"/>
        <v>56.433597039032115</v>
      </c>
    </row>
    <row r="111" spans="3:11" x14ac:dyDescent="0.2">
      <c r="C111" s="88" t="s">
        <v>134</v>
      </c>
      <c r="D111" s="116">
        <f t="shared" si="3"/>
        <v>90.332515401807953</v>
      </c>
      <c r="E111" s="116">
        <f t="shared" si="3"/>
        <v>84.085444668298521</v>
      </c>
      <c r="F111" s="116">
        <f t="shared" si="3"/>
        <v>83.37656985352983</v>
      </c>
      <c r="G111" s="116">
        <f t="shared" si="3"/>
        <v>88.542725422514295</v>
      </c>
      <c r="H111" s="116">
        <f t="shared" si="3"/>
        <v>86.404420830059379</v>
      </c>
      <c r="I111" s="116">
        <f t="shared" si="3"/>
        <v>75.437688381654311</v>
      </c>
      <c r="J111" s="116">
        <f t="shared" si="3"/>
        <v>92.5361667814539</v>
      </c>
      <c r="K111" s="116">
        <f t="shared" si="3"/>
        <v>38.235119438198844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82.8888771230868</v>
      </c>
      <c r="J112" s="47">
        <f t="shared" si="3"/>
        <v>98.88443542925657</v>
      </c>
      <c r="K112" s="47">
        <f t="shared" si="3"/>
        <v>41.373960476520359</v>
      </c>
    </row>
    <row r="113" spans="3:11" x14ac:dyDescent="0.2">
      <c r="C113" s="88" t="s">
        <v>136</v>
      </c>
      <c r="D113" s="116">
        <f t="shared" si="3"/>
        <v>90.59840826074111</v>
      </c>
      <c r="E113" s="116">
        <f t="shared" si="3"/>
        <v>95.822235453901754</v>
      </c>
      <c r="F113" s="116">
        <f t="shared" si="3"/>
        <v>84.161564745402274</v>
      </c>
      <c r="G113" s="116">
        <f t="shared" si="3"/>
        <v>93.560122451985066</v>
      </c>
      <c r="H113" s="116">
        <f t="shared" si="3"/>
        <v>85.963465528035101</v>
      </c>
      <c r="I113" s="116">
        <f t="shared" si="3"/>
        <v>2.7779151254255439</v>
      </c>
      <c r="J113" s="116">
        <f t="shared" si="3"/>
        <v>86.041566397993051</v>
      </c>
      <c r="K113" s="116">
        <f t="shared" si="3"/>
        <v>3.3802796590332815</v>
      </c>
    </row>
    <row r="114" spans="3:11" x14ac:dyDescent="0.2">
      <c r="C114" s="87" t="s">
        <v>137</v>
      </c>
      <c r="D114" s="47">
        <f t="shared" si="3"/>
        <v>89.376221353030687</v>
      </c>
      <c r="E114" s="47">
        <f t="shared" si="3"/>
        <v>89.4421976099581</v>
      </c>
      <c r="F114" s="47">
        <f t="shared" si="3"/>
        <v>67.734145169898795</v>
      </c>
      <c r="G114" s="47">
        <f t="shared" si="3"/>
        <v>53.297953655556483</v>
      </c>
      <c r="H114" s="47">
        <f t="shared" si="3"/>
        <v>39.395758096487832</v>
      </c>
      <c r="I114" s="47">
        <f t="shared" si="3"/>
        <v>90.656098642358742</v>
      </c>
      <c r="J114" s="47">
        <f t="shared" si="3"/>
        <v>77.093255728859958</v>
      </c>
      <c r="K114" s="47">
        <f t="shared" si="3"/>
        <v>53.925153973867182</v>
      </c>
    </row>
    <row r="115" spans="3:11" x14ac:dyDescent="0.2">
      <c r="C115" s="88" t="s">
        <v>138</v>
      </c>
      <c r="D115" s="116" t="str">
        <f t="shared" si="3"/>
        <v xml:space="preserve"> </v>
      </c>
      <c r="E115" s="116" t="str">
        <f t="shared" si="3"/>
        <v xml:space="preserve"> </v>
      </c>
      <c r="F115" s="116" t="str">
        <f t="shared" si="3"/>
        <v xml:space="preserve"> </v>
      </c>
      <c r="G115" s="116" t="str">
        <f t="shared" si="3"/>
        <v xml:space="preserve"> </v>
      </c>
      <c r="H115" s="116" t="str">
        <f t="shared" si="3"/>
        <v xml:space="preserve"> </v>
      </c>
      <c r="I115" s="116" t="str">
        <f t="shared" si="3"/>
        <v xml:space="preserve"> </v>
      </c>
      <c r="J115" s="116" t="str">
        <f t="shared" si="3"/>
        <v xml:space="preserve"> </v>
      </c>
      <c r="K115" s="116" t="str">
        <f t="shared" si="3"/>
        <v xml:space="preserve"> </v>
      </c>
    </row>
    <row r="116" spans="3:11" x14ac:dyDescent="0.2">
      <c r="C116" s="87" t="s">
        <v>160</v>
      </c>
      <c r="D116" s="47">
        <f t="shared" si="3"/>
        <v>98.848171235343656</v>
      </c>
      <c r="E116" s="47">
        <f t="shared" si="3"/>
        <v>98.778403110982453</v>
      </c>
      <c r="F116" s="47">
        <f t="shared" si="3"/>
        <v>99.881006839881508</v>
      </c>
      <c r="G116" s="47">
        <f t="shared" si="3"/>
        <v>99.179774109076234</v>
      </c>
      <c r="H116" s="47">
        <f t="shared" si="3"/>
        <v>92.813998018561179</v>
      </c>
      <c r="I116" s="47">
        <f t="shared" si="3"/>
        <v>88.912149402371483</v>
      </c>
      <c r="J116" s="47">
        <f t="shared" si="3"/>
        <v>94.872087580593529</v>
      </c>
      <c r="K116" s="47">
        <f t="shared" si="3"/>
        <v>86.206820799404724</v>
      </c>
    </row>
    <row r="117" spans="3:11" x14ac:dyDescent="0.2">
      <c r="C117" s="88" t="s">
        <v>161</v>
      </c>
      <c r="D117" s="116">
        <f t="shared" si="3"/>
        <v>93.388312483165777</v>
      </c>
      <c r="E117" s="116">
        <f t="shared" si="3"/>
        <v>92.429938866338617</v>
      </c>
      <c r="F117" s="116">
        <f t="shared" si="3"/>
        <v>82.033403593126977</v>
      </c>
      <c r="G117" s="116">
        <f t="shared" si="3"/>
        <v>86.906737376119423</v>
      </c>
      <c r="H117" s="116">
        <f t="shared" si="3"/>
        <v>72.172310809893531</v>
      </c>
      <c r="I117" s="116">
        <f t="shared" si="3"/>
        <v>72.02327405229056</v>
      </c>
      <c r="J117" s="116">
        <f t="shared" si="3"/>
        <v>95.933951981793598</v>
      </c>
      <c r="K117" s="116">
        <f t="shared" si="3"/>
        <v>36.038108910634065</v>
      </c>
    </row>
    <row r="118" spans="3:11" x14ac:dyDescent="0.2">
      <c r="C118" s="87" t="s">
        <v>140</v>
      </c>
      <c r="D118" s="47">
        <f t="shared" si="3"/>
        <v>90.210306412490638</v>
      </c>
      <c r="E118" s="47">
        <f t="shared" si="3"/>
        <v>94.31635181630206</v>
      </c>
      <c r="F118" s="47">
        <f t="shared" si="3"/>
        <v>91.310543584554907</v>
      </c>
      <c r="G118" s="47">
        <f t="shared" si="3"/>
        <v>90.47231173413418</v>
      </c>
      <c r="H118" s="47">
        <f t="shared" si="3"/>
        <v>97.252977940959624</v>
      </c>
      <c r="I118" s="47">
        <f t="shared" si="3"/>
        <v>99.344540914126682</v>
      </c>
      <c r="J118" s="47">
        <f t="shared" si="3"/>
        <v>98.652860060968393</v>
      </c>
      <c r="K118" s="47">
        <f t="shared" si="3"/>
        <v>60.827011523266542</v>
      </c>
    </row>
    <row r="119" spans="3:11" x14ac:dyDescent="0.2">
      <c r="C119" s="88" t="s">
        <v>141</v>
      </c>
      <c r="D119" s="116">
        <f t="shared" si="3"/>
        <v>83.734973784918225</v>
      </c>
      <c r="E119" s="116">
        <f t="shared" si="3"/>
        <v>70.345885157399152</v>
      </c>
      <c r="F119" s="116">
        <f t="shared" si="3"/>
        <v>71.662303836358447</v>
      </c>
      <c r="G119" s="116">
        <f t="shared" si="3"/>
        <v>53.975553973375369</v>
      </c>
      <c r="H119" s="116">
        <f t="shared" si="3"/>
        <v>51.251282002749974</v>
      </c>
      <c r="I119" s="116">
        <f t="shared" si="3"/>
        <v>97.520749363380276</v>
      </c>
      <c r="J119" s="116">
        <f t="shared" si="3"/>
        <v>93.568455066187752</v>
      </c>
      <c r="K119" s="116">
        <f t="shared" si="3"/>
        <v>29.895153736355489</v>
      </c>
    </row>
    <row r="120" spans="3:11" x14ac:dyDescent="0.2">
      <c r="C120" s="87" t="s">
        <v>142</v>
      </c>
      <c r="D120" s="47">
        <f t="shared" ref="D120:K129" si="4">+IFERROR(IF(D78&gt;0,+((D78/D35)*100)," "),"")</f>
        <v>95.657303628297598</v>
      </c>
      <c r="E120" s="47">
        <f t="shared" si="4"/>
        <v>88.708437031656317</v>
      </c>
      <c r="F120" s="47">
        <f t="shared" si="4"/>
        <v>39.06570866226847</v>
      </c>
      <c r="G120" s="47">
        <f t="shared" si="4"/>
        <v>65.244530458430972</v>
      </c>
      <c r="H120" s="47">
        <f t="shared" si="4"/>
        <v>91.775038341721455</v>
      </c>
      <c r="I120" s="47">
        <f t="shared" si="4"/>
        <v>89.624090778219283</v>
      </c>
      <c r="J120" s="47">
        <f t="shared" si="4"/>
        <v>94.94825149674358</v>
      </c>
      <c r="K120" s="47">
        <f t="shared" si="4"/>
        <v>37.913508119536836</v>
      </c>
    </row>
    <row r="121" spans="3:11" x14ac:dyDescent="0.2">
      <c r="C121" s="88" t="s">
        <v>143</v>
      </c>
      <c r="D121" s="116">
        <f t="shared" si="4"/>
        <v>79.592656028368793</v>
      </c>
      <c r="E121" s="116" t="str">
        <f t="shared" si="4"/>
        <v xml:space="preserve"> </v>
      </c>
      <c r="F121" s="116">
        <f t="shared" si="4"/>
        <v>74.253576611111114</v>
      </c>
      <c r="G121" s="116" t="str">
        <f t="shared" si="4"/>
        <v xml:space="preserve"> </v>
      </c>
      <c r="H121" s="116">
        <f t="shared" si="4"/>
        <v>97.497475000000009</v>
      </c>
      <c r="I121" s="116" t="str">
        <f t="shared" si="4"/>
        <v xml:space="preserve"> </v>
      </c>
      <c r="J121" s="116" t="str">
        <f t="shared" si="4"/>
        <v xml:space="preserve"> </v>
      </c>
      <c r="K121" s="116" t="str">
        <f t="shared" si="4"/>
        <v xml:space="preserve"> </v>
      </c>
    </row>
    <row r="122" spans="3:11" x14ac:dyDescent="0.2">
      <c r="C122" s="87" t="s">
        <v>144</v>
      </c>
      <c r="D122" s="47" t="str">
        <f t="shared" si="4"/>
        <v xml:space="preserve"> </v>
      </c>
      <c r="E122" s="47" t="str">
        <f t="shared" si="4"/>
        <v xml:space="preserve"> </v>
      </c>
      <c r="F122" s="47" t="str">
        <f t="shared" si="4"/>
        <v xml:space="preserve"> </v>
      </c>
      <c r="G122" s="47" t="str">
        <f t="shared" si="4"/>
        <v xml:space="preserve"> </v>
      </c>
      <c r="H122" s="47" t="str">
        <f t="shared" si="4"/>
        <v xml:space="preserve"> </v>
      </c>
      <c r="I122" s="47" t="str">
        <f t="shared" si="4"/>
        <v xml:space="preserve"> </v>
      </c>
      <c r="J122" s="47" t="str">
        <f t="shared" si="4"/>
        <v xml:space="preserve"> </v>
      </c>
      <c r="K122" s="47" t="str">
        <f t="shared" si="4"/>
        <v xml:space="preserve"> </v>
      </c>
    </row>
    <row r="123" spans="3:11" x14ac:dyDescent="0.2">
      <c r="C123" s="88" t="s">
        <v>145</v>
      </c>
      <c r="D123" s="116">
        <f t="shared" si="4"/>
        <v>97.128391193043299</v>
      </c>
      <c r="E123" s="116">
        <f t="shared" si="4"/>
        <v>94.030767118176868</v>
      </c>
      <c r="F123" s="116">
        <f t="shared" si="4"/>
        <v>94.317640959224221</v>
      </c>
      <c r="G123" s="116">
        <f t="shared" si="4"/>
        <v>78.193138784984328</v>
      </c>
      <c r="H123" s="116">
        <f t="shared" si="4"/>
        <v>73.31551943669848</v>
      </c>
      <c r="I123" s="116">
        <f t="shared" si="4"/>
        <v>75.214019097539747</v>
      </c>
      <c r="J123" s="116">
        <f t="shared" si="4"/>
        <v>96.697170712972991</v>
      </c>
      <c r="K123" s="116">
        <f t="shared" si="4"/>
        <v>48.14507355449912</v>
      </c>
    </row>
    <row r="124" spans="3:11" x14ac:dyDescent="0.2">
      <c r="C124" s="87" t="s">
        <v>146</v>
      </c>
      <c r="D124" s="47">
        <f t="shared" si="4"/>
        <v>97.605079089000782</v>
      </c>
      <c r="E124" s="47">
        <f t="shared" si="4"/>
        <v>89.817128667305155</v>
      </c>
      <c r="F124" s="47">
        <f t="shared" si="4"/>
        <v>96.353558543977528</v>
      </c>
      <c r="G124" s="47">
        <f t="shared" si="4"/>
        <v>96.700411780280689</v>
      </c>
      <c r="H124" s="47">
        <f t="shared" si="4"/>
        <v>95.557087629891001</v>
      </c>
      <c r="I124" s="47">
        <f t="shared" si="4"/>
        <v>97.037856240574925</v>
      </c>
      <c r="J124" s="47">
        <f t="shared" si="4"/>
        <v>97.064149472327983</v>
      </c>
      <c r="K124" s="47">
        <f t="shared" si="4"/>
        <v>86.506863373478836</v>
      </c>
    </row>
    <row r="125" spans="3:11" x14ac:dyDescent="0.2">
      <c r="C125" s="88" t="s">
        <v>162</v>
      </c>
      <c r="D125" s="116">
        <f t="shared" si="4"/>
        <v>93.458388301027625</v>
      </c>
      <c r="E125" s="116">
        <f t="shared" si="4"/>
        <v>90.946258935796351</v>
      </c>
      <c r="F125" s="116">
        <f t="shared" si="4"/>
        <v>84.96645995759458</v>
      </c>
      <c r="G125" s="116">
        <f t="shared" si="4"/>
        <v>88.387913457509981</v>
      </c>
      <c r="H125" s="116">
        <f t="shared" si="4"/>
        <v>91.176430873767785</v>
      </c>
      <c r="I125" s="116">
        <f t="shared" si="4"/>
        <v>90.839738612211818</v>
      </c>
      <c r="J125" s="116">
        <f t="shared" si="4"/>
        <v>94.204603588567508</v>
      </c>
      <c r="K125" s="116">
        <f t="shared" si="4"/>
        <v>42.973800158326895</v>
      </c>
    </row>
    <row r="126" spans="3:11" x14ac:dyDescent="0.2">
      <c r="C126" s="87" t="s">
        <v>148</v>
      </c>
      <c r="D126" s="47" t="str">
        <f t="shared" si="4"/>
        <v xml:space="preserve"> </v>
      </c>
      <c r="E126" s="47" t="str">
        <f t="shared" si="4"/>
        <v xml:space="preserve"> </v>
      </c>
      <c r="F126" s="47" t="str">
        <f t="shared" si="4"/>
        <v xml:space="preserve"> </v>
      </c>
      <c r="G126" s="47" t="str">
        <f t="shared" si="4"/>
        <v xml:space="preserve"> </v>
      </c>
      <c r="H126" s="47" t="str">
        <f t="shared" si="4"/>
        <v xml:space="preserve"> </v>
      </c>
      <c r="I126" s="47" t="str">
        <f t="shared" si="4"/>
        <v xml:space="preserve"> </v>
      </c>
      <c r="J126" s="47" t="str">
        <f t="shared" si="4"/>
        <v xml:space="preserve"> </v>
      </c>
      <c r="K126" s="47" t="str">
        <f t="shared" si="4"/>
        <v xml:space="preserve"> </v>
      </c>
    </row>
    <row r="127" spans="3:11" x14ac:dyDescent="0.2">
      <c r="C127" s="88" t="s">
        <v>149</v>
      </c>
      <c r="D127" s="116">
        <f t="shared" si="4"/>
        <v>96.036792922505214</v>
      </c>
      <c r="E127" s="116">
        <f t="shared" si="4"/>
        <v>97.650148072383374</v>
      </c>
      <c r="F127" s="116">
        <f t="shared" si="4"/>
        <v>86.655041656061428</v>
      </c>
      <c r="G127" s="116">
        <f t="shared" si="4"/>
        <v>84.535784165888984</v>
      </c>
      <c r="H127" s="116">
        <f t="shared" si="4"/>
        <v>96.675462015140894</v>
      </c>
      <c r="I127" s="116">
        <f t="shared" si="4"/>
        <v>95.603801996314104</v>
      </c>
      <c r="J127" s="116">
        <f t="shared" si="4"/>
        <v>95.703217456023339</v>
      </c>
      <c r="K127" s="116">
        <f t="shared" si="4"/>
        <v>76.283292685139131</v>
      </c>
    </row>
    <row r="128" spans="3:11" x14ac:dyDescent="0.2">
      <c r="C128" s="87" t="s">
        <v>163</v>
      </c>
      <c r="D128" s="47">
        <f t="shared" si="4"/>
        <v>87.962682717175966</v>
      </c>
      <c r="E128" s="47">
        <f t="shared" si="4"/>
        <v>84.70638667173975</v>
      </c>
      <c r="F128" s="47">
        <f t="shared" si="4"/>
        <v>86.564362015604573</v>
      </c>
      <c r="G128" s="47">
        <f t="shared" si="4"/>
        <v>91.11047688392145</v>
      </c>
      <c r="H128" s="47">
        <f t="shared" si="4"/>
        <v>87.675642078486732</v>
      </c>
      <c r="I128" s="47">
        <f t="shared" si="4"/>
        <v>90.00544113092144</v>
      </c>
      <c r="J128" s="47">
        <f t="shared" si="4"/>
        <v>90.531664427245104</v>
      </c>
      <c r="K128" s="47">
        <f t="shared" si="4"/>
        <v>38.883114551940608</v>
      </c>
    </row>
    <row r="129" spans="1:11" x14ac:dyDescent="0.2">
      <c r="C129" s="88" t="s">
        <v>150</v>
      </c>
      <c r="D129" s="116">
        <f t="shared" si="4"/>
        <v>95.019714123579647</v>
      </c>
      <c r="E129" s="116">
        <f t="shared" si="4"/>
        <v>94.155270061440746</v>
      </c>
      <c r="F129" s="116">
        <f t="shared" si="4"/>
        <v>83.814110448206335</v>
      </c>
      <c r="G129" s="116">
        <f t="shared" si="4"/>
        <v>88.973754406013114</v>
      </c>
      <c r="H129" s="116">
        <f t="shared" si="4"/>
        <v>90.945392160037585</v>
      </c>
      <c r="I129" s="116">
        <f t="shared" si="4"/>
        <v>88.621958209780345</v>
      </c>
      <c r="J129" s="116">
        <f t="shared" si="4"/>
        <v>93.979900406991717</v>
      </c>
      <c r="K129" s="116">
        <f t="shared" si="4"/>
        <v>46.337813782216024</v>
      </c>
    </row>
    <row r="130" spans="1:11" x14ac:dyDescent="0.2">
      <c r="C130" s="87" t="s">
        <v>151</v>
      </c>
      <c r="D130" s="47" t="str">
        <f t="shared" ref="D130:K131" si="5">+IFERROR(IF(D88&gt;0,+((D88/D45)*100)," "),"")</f>
        <v xml:space="preserve"> </v>
      </c>
      <c r="E130" s="47" t="str">
        <f t="shared" si="5"/>
        <v xml:space="preserve"> </v>
      </c>
      <c r="F130" s="47" t="str">
        <f t="shared" si="5"/>
        <v xml:space="preserve"> </v>
      </c>
      <c r="G130" s="47" t="str">
        <f t="shared" si="5"/>
        <v xml:space="preserve"> </v>
      </c>
      <c r="H130" s="47" t="str">
        <f t="shared" si="5"/>
        <v xml:space="preserve"> </v>
      </c>
      <c r="I130" s="47" t="str">
        <f t="shared" si="5"/>
        <v xml:space="preserve"> </v>
      </c>
      <c r="J130" s="47" t="str">
        <f t="shared" si="5"/>
        <v xml:space="preserve"> </v>
      </c>
      <c r="K130" s="47" t="str">
        <f t="shared" si="5"/>
        <v xml:space="preserve"> </v>
      </c>
    </row>
    <row r="131" spans="1:11" x14ac:dyDescent="0.2">
      <c r="C131" s="91" t="s">
        <v>179</v>
      </c>
      <c r="D131" s="64">
        <f t="shared" si="5"/>
        <v>93.474930703835767</v>
      </c>
      <c r="E131" s="64">
        <f t="shared" si="5"/>
        <v>94.129827370826376</v>
      </c>
      <c r="F131" s="64">
        <f t="shared" si="5"/>
        <v>79.830139529867978</v>
      </c>
      <c r="G131" s="64">
        <f t="shared" si="5"/>
        <v>89.79237654816896</v>
      </c>
      <c r="H131" s="64">
        <f t="shared" si="5"/>
        <v>89.492278963697061</v>
      </c>
      <c r="I131" s="64">
        <f t="shared" si="5"/>
        <v>90.698786586978812</v>
      </c>
      <c r="J131" s="64">
        <f t="shared" si="5"/>
        <v>96.500703445251176</v>
      </c>
      <c r="K131" s="64">
        <f t="shared" si="5"/>
        <v>51.295027429354164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Junio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64" t="s">
        <v>197</v>
      </c>
      <c r="E138" s="182"/>
      <c r="F138" s="182"/>
      <c r="G138" s="182"/>
      <c r="H138" s="182"/>
      <c r="I138" s="182"/>
      <c r="J138" s="182"/>
      <c r="K138" s="182"/>
    </row>
    <row r="139" spans="1:11" ht="15.75" customHeight="1" x14ac:dyDescent="0.2">
      <c r="C139" s="2"/>
      <c r="D139" s="2"/>
      <c r="E139" s="2"/>
      <c r="F139" s="2"/>
      <c r="G139" s="2"/>
      <c r="H139" s="2"/>
      <c r="I139" s="2"/>
      <c r="J139" s="2"/>
    </row>
    <row r="140" spans="1:11" x14ac:dyDescent="0.2">
      <c r="C140" s="181" t="s">
        <v>120</v>
      </c>
      <c r="D140" s="155">
        <v>2019</v>
      </c>
      <c r="E140" s="155">
        <v>2020</v>
      </c>
      <c r="F140" s="155">
        <v>2021</v>
      </c>
      <c r="G140" s="155">
        <v>2022</v>
      </c>
      <c r="H140" s="155">
        <v>2023</v>
      </c>
      <c r="I140" s="155">
        <v>2024</v>
      </c>
      <c r="J140" s="155">
        <v>2025</v>
      </c>
      <c r="K140" s="155" t="s">
        <v>36</v>
      </c>
    </row>
    <row r="141" spans="1:11" ht="12" customHeight="1" thickBot="1" x14ac:dyDescent="0.25">
      <c r="C141" s="162"/>
      <c r="D141" s="156"/>
      <c r="E141" s="156"/>
      <c r="F141" s="156"/>
      <c r="G141" s="156"/>
      <c r="H141" s="156"/>
      <c r="I141" s="156"/>
      <c r="J141" s="156"/>
      <c r="K141" s="156"/>
    </row>
    <row r="142" spans="1:11" x14ac:dyDescent="0.2">
      <c r="C142" s="87" t="s">
        <v>123</v>
      </c>
      <c r="D142" s="42">
        <f>7.6464849391*Deflactores!$T$5</f>
        <v>11.892919672872566</v>
      </c>
      <c r="E142" s="42">
        <f>9.07287513388*Deflactores!$U$5</f>
        <v>13.887853630870595</v>
      </c>
      <c r="F142" s="42">
        <f>12.51805175545*Deflactores!$V$5</f>
        <v>18.141816773905788</v>
      </c>
      <c r="G142" s="42">
        <f>11.51762701382*Deflactores!$W$5</f>
        <v>14.755966052137302</v>
      </c>
      <c r="H142" s="42">
        <f>9.51136611451*Deflactores!$X$5</f>
        <v>11.150821141530342</v>
      </c>
      <c r="I142" s="42">
        <f>13.15051443721*Deflactores!$Y$5</f>
        <v>14.655173130770732</v>
      </c>
      <c r="J142" s="42">
        <f>25.1339372374*Deflactores!$Z$5</f>
        <v>26.650281832068586</v>
      </c>
      <c r="K142" s="42">
        <f>9.09349569152*Deflactores!$AA$5</f>
        <v>9.0934956915199994</v>
      </c>
    </row>
    <row r="143" spans="1:11" x14ac:dyDescent="0.2">
      <c r="C143" s="88" t="s">
        <v>124</v>
      </c>
      <c r="D143" s="50">
        <f>28.804955961*Deflactores!$T$5</f>
        <v>44.801635019649467</v>
      </c>
      <c r="E143" s="50">
        <f>31.792820814*Deflactores!$U$5</f>
        <v>48.665283657277314</v>
      </c>
      <c r="F143" s="50">
        <f>53.650168*Deflactores!$V$5</f>
        <v>77.752635694409221</v>
      </c>
      <c r="G143" s="50">
        <f>74.76395442*Deflactores!$W$5</f>
        <v>95.784867145056324</v>
      </c>
      <c r="H143" s="50">
        <f>82.011565*Deflactores!$X$5</f>
        <v>96.14773333736845</v>
      </c>
      <c r="I143" s="50">
        <f>93.368973295*Deflactores!$Y$5</f>
        <v>104.05208672360042</v>
      </c>
      <c r="J143" s="50">
        <f>97.483247939*Deflactores!$Z$5</f>
        <v>103.36446721184366</v>
      </c>
      <c r="K143" s="50">
        <f>100.177381747*Deflactores!$AA$5</f>
        <v>100.177381747</v>
      </c>
    </row>
    <row r="144" spans="1:11" x14ac:dyDescent="0.2">
      <c r="C144" s="87" t="s">
        <v>125</v>
      </c>
      <c r="D144" s="42">
        <f>0*Deflactores!$T$5</f>
        <v>0</v>
      </c>
      <c r="E144" s="42">
        <f>0*Deflactores!$U$5</f>
        <v>0</v>
      </c>
      <c r="F144" s="42">
        <f>0*Deflactores!$V$5</f>
        <v>0</v>
      </c>
      <c r="G144" s="42">
        <f>0*Deflactores!$W$5</f>
        <v>0</v>
      </c>
      <c r="H144" s="42">
        <f>0*Deflactores!$X$5</f>
        <v>0</v>
      </c>
      <c r="I144" s="42">
        <f>0*Deflactores!$Y$5</f>
        <v>0</v>
      </c>
      <c r="J144" s="42">
        <f>0*Deflactores!$Z$5</f>
        <v>0</v>
      </c>
      <c r="K144" s="42">
        <f>0*Deflactores!$AA$5</f>
        <v>0</v>
      </c>
    </row>
    <row r="145" spans="3:11" x14ac:dyDescent="0.2">
      <c r="C145" s="88" t="s">
        <v>126</v>
      </c>
      <c r="D145" s="50">
        <f>193.937822103079*Deflactores!$T$5</f>
        <v>301.64015991316973</v>
      </c>
      <c r="E145" s="50">
        <f>184.49187699465*Deflactores!$U$5</f>
        <v>282.40179060973827</v>
      </c>
      <c r="F145" s="50">
        <f>216.6162734016*Deflactores!$V$5</f>
        <v>313.93165798241586</v>
      </c>
      <c r="G145" s="50">
        <f>239.46755125012*Deflactores!$W$5</f>
        <v>306.79714255334744</v>
      </c>
      <c r="H145" s="50">
        <f>265.11573272401*Deflactores!$X$5</f>
        <v>310.81319779093548</v>
      </c>
      <c r="I145" s="50">
        <f>316.17279731337*Deflactores!$Y$5</f>
        <v>352.34873175429738</v>
      </c>
      <c r="J145" s="50">
        <f>324.42803242002*Deflactores!$Z$5</f>
        <v>344.00095840739908</v>
      </c>
      <c r="K145" s="50">
        <f>149.83304975662*Deflactores!$AA$5</f>
        <v>149.83304975662</v>
      </c>
    </row>
    <row r="146" spans="3:11" x14ac:dyDescent="0.2">
      <c r="C146" s="87" t="s">
        <v>127</v>
      </c>
      <c r="D146" s="42">
        <f>0*Deflactores!$T$5</f>
        <v>0</v>
      </c>
      <c r="E146" s="42">
        <f>0*Deflactores!$U$5</f>
        <v>0</v>
      </c>
      <c r="F146" s="42">
        <f>0*Deflactores!$V$5</f>
        <v>0</v>
      </c>
      <c r="G146" s="42">
        <f>0*Deflactores!$W$5</f>
        <v>0</v>
      </c>
      <c r="H146" s="42">
        <f>0*Deflactores!$X$5</f>
        <v>0</v>
      </c>
      <c r="I146" s="42">
        <f>0*Deflactores!$Y$5</f>
        <v>0</v>
      </c>
      <c r="J146" s="42">
        <f>0*Deflactores!$Z$5</f>
        <v>0</v>
      </c>
      <c r="K146" s="42">
        <f>0*Deflactores!$AA$5</f>
        <v>0</v>
      </c>
    </row>
    <row r="147" spans="3:11" x14ac:dyDescent="0.2">
      <c r="C147" s="88" t="s">
        <v>128</v>
      </c>
      <c r="D147" s="50">
        <f>2.85596771840999*Deflactores!$T$5</f>
        <v>4.4420141978812238</v>
      </c>
      <c r="E147" s="50">
        <f>3.22782674068999*Deflactores!$U$5</f>
        <v>4.9408356953042549</v>
      </c>
      <c r="F147" s="50">
        <f>3.82398311638*Deflactores!$V$5</f>
        <v>5.5419167773988294</v>
      </c>
      <c r="G147" s="50">
        <f>4.52224737555*Deflactores!$W$5</f>
        <v>5.7937393416988865</v>
      </c>
      <c r="H147" s="50">
        <f>3.39386203925999*Deflactores!$X$5</f>
        <v>3.9788552057820992</v>
      </c>
      <c r="I147" s="50">
        <f>2.46970990521*Deflactores!$Y$5</f>
        <v>2.7522897614726936</v>
      </c>
      <c r="J147" s="50">
        <f>3.87299725617999*Deflactores!$Z$5</f>
        <v>4.1066573627961507</v>
      </c>
      <c r="K147" s="50">
        <f>0.89127438834*Deflactores!$AA$5</f>
        <v>0.89127438833999995</v>
      </c>
    </row>
    <row r="148" spans="3:11" x14ac:dyDescent="0.2">
      <c r="C148" s="87" t="s">
        <v>129</v>
      </c>
      <c r="D148" s="42">
        <f>1967.79075430916*Deflactores!$T$5</f>
        <v>3060.5928816194973</v>
      </c>
      <c r="E148" s="42">
        <f>1759.5993810492*Deflactores!$U$5</f>
        <v>2693.4194830620704</v>
      </c>
      <c r="F148" s="42">
        <f>1699.72851822951*Deflactores!$V$5</f>
        <v>2463.3356648071835</v>
      </c>
      <c r="G148" s="42">
        <f>2404.83119930438*Deflactores!$W$5</f>
        <v>3080.9825231774635</v>
      </c>
      <c r="H148" s="42">
        <f>2224.9921064134*Deflactores!$X$5</f>
        <v>2608.5095160077158</v>
      </c>
      <c r="I148" s="42">
        <f>2449.10332959084*Deflactores!$Y$5</f>
        <v>2729.325417775492</v>
      </c>
      <c r="J148" s="42">
        <f>2520.72401620361*Deflactores!$Z$5</f>
        <v>2672.8007163448819</v>
      </c>
      <c r="K148" s="42">
        <f>1012.39702598365*Deflactores!$AA$5</f>
        <v>1012.39702598365</v>
      </c>
    </row>
    <row r="149" spans="3:11" x14ac:dyDescent="0.2">
      <c r="C149" s="88" t="s">
        <v>130</v>
      </c>
      <c r="D149" s="50">
        <f>0*Deflactores!$T$5</f>
        <v>0</v>
      </c>
      <c r="E149" s="50">
        <f>0*Deflactores!$U$5</f>
        <v>0</v>
      </c>
      <c r="F149" s="50">
        <f>0*Deflactores!$V$5</f>
        <v>0</v>
      </c>
      <c r="G149" s="50">
        <f>0*Deflactores!$W$5</f>
        <v>0</v>
      </c>
      <c r="H149" s="50">
        <f>0*Deflactores!$X$5</f>
        <v>0</v>
      </c>
      <c r="I149" s="50">
        <f>0*Deflactores!$Y$5</f>
        <v>0</v>
      </c>
      <c r="J149" s="50">
        <f>0*Deflactores!$Z$5</f>
        <v>0</v>
      </c>
      <c r="K149" s="50">
        <f>0*Deflactores!$AA$5</f>
        <v>0</v>
      </c>
    </row>
    <row r="150" spans="3:11" x14ac:dyDescent="0.2">
      <c r="C150" s="87" t="s">
        <v>131</v>
      </c>
      <c r="D150" s="42">
        <f>12.9941842986999*Deflactores!$T$5</f>
        <v>20.210435423564597</v>
      </c>
      <c r="E150" s="42">
        <f>12.44949422983*Deflactores!$U$5</f>
        <v>19.056445844450639</v>
      </c>
      <c r="F150" s="42">
        <f>13.79958564559*Deflactores!$V$5</f>
        <v>19.999082862804048</v>
      </c>
      <c r="G150" s="42">
        <f>15.95328194999*Deflactores!$W$5</f>
        <v>20.438766300711375</v>
      </c>
      <c r="H150" s="42">
        <f>19.30180503897*Deflactores!$X$5</f>
        <v>22.628818311377938</v>
      </c>
      <c r="I150" s="42">
        <f>23.83921027867*Deflactores!$Y$5</f>
        <v>26.566850719254415</v>
      </c>
      <c r="J150" s="42">
        <f>27.3494436025999*Deflactores!$Z$5</f>
        <v>28.99945094455687</v>
      </c>
      <c r="K150" s="42">
        <f>13.31805304133*Deflactores!$AA$5</f>
        <v>13.31805304133</v>
      </c>
    </row>
    <row r="151" spans="3:11" x14ac:dyDescent="0.2">
      <c r="C151" s="88" t="s">
        <v>132</v>
      </c>
      <c r="D151" s="50">
        <f>55.39538034006*Deflactores!$T$5</f>
        <v>86.158910124015847</v>
      </c>
      <c r="E151" s="50">
        <f>54.1587955223*Deflactores!$U$5</f>
        <v>82.900890174192952</v>
      </c>
      <c r="F151" s="50">
        <f>62.1693219265699*Deflactores!$V$5</f>
        <v>90.099040120900213</v>
      </c>
      <c r="G151" s="50">
        <f>105.374940198*Deflactores!$W$5</f>
        <v>135.00255203975186</v>
      </c>
      <c r="H151" s="50">
        <f>128.051898649389*Deflactores!$X$5</f>
        <v>150.12394660052132</v>
      </c>
      <c r="I151" s="50">
        <f>139.95432156124*Deflactores!$Y$5</f>
        <v>155.96764846521711</v>
      </c>
      <c r="J151" s="50">
        <f>153.82060118174*Deflactores!$Z$5</f>
        <v>163.10068471769824</v>
      </c>
      <c r="K151" s="50">
        <f>70.34188962251*Deflactores!$AA$5</f>
        <v>70.341889622509996</v>
      </c>
    </row>
    <row r="152" spans="3:11" x14ac:dyDescent="0.2">
      <c r="C152" s="87" t="s">
        <v>133</v>
      </c>
      <c r="D152" s="42">
        <f>9.66461261669*Deflactores!$T$5</f>
        <v>15.031803820338595</v>
      </c>
      <c r="E152" s="42">
        <f>10.24907646836*Deflactores!$U$5</f>
        <v>15.688265488485051</v>
      </c>
      <c r="F152" s="42">
        <f>14.29359432778*Deflactores!$V$5</f>
        <v>20.71502613992844</v>
      </c>
      <c r="G152" s="42">
        <f>14.84230009392*Deflactores!$W$5</f>
        <v>19.015416635625094</v>
      </c>
      <c r="H152" s="42">
        <f>17.56368072218*Deflactores!$X$5</f>
        <v>20.591097005633795</v>
      </c>
      <c r="I152" s="42">
        <f>18.63997552246*Deflactores!$Y$5</f>
        <v>20.772728682159133</v>
      </c>
      <c r="J152" s="42">
        <f>20.52119907792*Deflactores!$Z$5</f>
        <v>21.759254580486413</v>
      </c>
      <c r="K152" s="42">
        <f>11.19113743967*Deflactores!$AA$5</f>
        <v>11.191137439669999</v>
      </c>
    </row>
    <row r="153" spans="3:11" x14ac:dyDescent="0.2">
      <c r="C153" s="88" t="s">
        <v>134</v>
      </c>
      <c r="D153" s="50">
        <f>193.02027147867*Deflactores!$T$5</f>
        <v>300.21305243060738</v>
      </c>
      <c r="E153" s="50">
        <f>206.9281353998*Deflactores!$U$5</f>
        <v>316.74498040980131</v>
      </c>
      <c r="F153" s="50">
        <f>222.65485905494*Deflactores!$V$5</f>
        <v>322.68309284117771</v>
      </c>
      <c r="G153" s="50">
        <f>249.83784078031*Deflactores!$W$5</f>
        <v>320.08318142877772</v>
      </c>
      <c r="H153" s="50">
        <f>281.94875096679*Deflactores!$X$5</f>
        <v>330.54768949670728</v>
      </c>
      <c r="I153" s="50">
        <f>308.18506763113*Deflactores!$Y$5</f>
        <v>343.44706011445703</v>
      </c>
      <c r="J153" s="50">
        <f>329.21709806982*Deflactores!$Z$5</f>
        <v>349.07895108613991</v>
      </c>
      <c r="K153" s="50">
        <f>163.39726255889*Deflactores!$AA$5</f>
        <v>163.39726255888999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873.98480035634*Deflactores!$Y$5</f>
        <v>973.98460144207672</v>
      </c>
      <c r="J154" s="42">
        <f>1100.7778398429*Deflactores!$Z$5</f>
        <v>1167.1883871284638</v>
      </c>
      <c r="K154" s="42">
        <f>498.37337059064*Deflactores!$AA$5</f>
        <v>498.37337059063998</v>
      </c>
    </row>
    <row r="155" spans="3:11" x14ac:dyDescent="0.2">
      <c r="C155" s="88" t="s">
        <v>136</v>
      </c>
      <c r="D155" s="50">
        <f>569.14941813913*Deflactores!$T$5</f>
        <v>885.22351978732001</v>
      </c>
      <c r="E155" s="50">
        <f>593.14604010114*Deflactores!$U$5</f>
        <v>907.92888308299325</v>
      </c>
      <c r="F155" s="50">
        <f>611.53728016372*Deflactores!$V$5</f>
        <v>886.27188190947663</v>
      </c>
      <c r="G155" s="50">
        <f>694.87629841027*Deflactores!$W$5</f>
        <v>890.25031436367169</v>
      </c>
      <c r="H155" s="50">
        <f>711.81685197018*Deflactores!$X$5</f>
        <v>834.51128957573155</v>
      </c>
      <c r="I155" s="50">
        <f>0.83410458289*Deflactores!$Y$5</f>
        <v>0.92954135975350327</v>
      </c>
      <c r="J155" s="50">
        <f>31.62720305825*Deflactores!$Z$5</f>
        <v>33.535290038371073</v>
      </c>
      <c r="K155" s="50">
        <f>0.216073099259999*Deflactores!$AA$5</f>
        <v>0.21607309925999901</v>
      </c>
    </row>
    <row r="156" spans="3:11" x14ac:dyDescent="0.2">
      <c r="C156" s="87" t="s">
        <v>137</v>
      </c>
      <c r="D156" s="42">
        <f>3.51778778794999*Deflactores!$T$5</f>
        <v>5.4713725223429961</v>
      </c>
      <c r="E156" s="42">
        <f>4.69765763896*Deflactores!$U$5</f>
        <v>7.1907064447736619</v>
      </c>
      <c r="F156" s="42">
        <f>6.05003456187999*Deflactores!$V$5</f>
        <v>8.7680272171457041</v>
      </c>
      <c r="G156" s="42">
        <f>6.11363826428*Deflactores!$W$5</f>
        <v>7.8325716377615926</v>
      </c>
      <c r="H156" s="42">
        <f>2.03745771056*Deflactores!$X$5</f>
        <v>2.3886501939218951</v>
      </c>
      <c r="I156" s="42">
        <f>7.73560488025*Deflactores!$Y$5</f>
        <v>8.6206991621957041</v>
      </c>
      <c r="J156" s="42">
        <f>7.69936788033*Deflactores!$Z$5</f>
        <v>8.1638750825812547</v>
      </c>
      <c r="K156" s="42">
        <f>4.07522889229*Deflactores!$AA$5</f>
        <v>4.0752288922900002</v>
      </c>
    </row>
    <row r="157" spans="3:11" x14ac:dyDescent="0.2">
      <c r="C157" s="88" t="s">
        <v>138</v>
      </c>
      <c r="D157" s="50">
        <f>0*Deflactores!$T$5</f>
        <v>0</v>
      </c>
      <c r="E157" s="50">
        <f>0*Deflactores!$U$5</f>
        <v>0</v>
      </c>
      <c r="F157" s="50">
        <f>0*Deflactores!$V$5</f>
        <v>0</v>
      </c>
      <c r="G157" s="50">
        <f>0*Deflactores!$W$5</f>
        <v>0</v>
      </c>
      <c r="H157" s="50">
        <f>0*Deflactores!$X$5</f>
        <v>0</v>
      </c>
      <c r="I157" s="50">
        <f>0*Deflactores!$Y$5</f>
        <v>0</v>
      </c>
      <c r="J157" s="50">
        <f>0*Deflactores!$Z$5</f>
        <v>0</v>
      </c>
      <c r="K157" s="50">
        <f>0*Deflactores!$AA$5</f>
        <v>0</v>
      </c>
    </row>
    <row r="158" spans="3:11" x14ac:dyDescent="0.2">
      <c r="C158" s="87" t="s">
        <v>160</v>
      </c>
      <c r="D158" s="42">
        <f>84.2431983062399*Deflactores!$T$5</f>
        <v>131.02721033540803</v>
      </c>
      <c r="E158" s="42">
        <f>54.02429625702*Deflactores!$U$5</f>
        <v>82.69501209452082</v>
      </c>
      <c r="F158" s="42">
        <f>106.49085893182*Deflactores!$V$5</f>
        <v>154.33213479052898</v>
      </c>
      <c r="G158" s="42">
        <f>109.88018076664*Deflactores!$W$5</f>
        <v>140.77450287717653</v>
      </c>
      <c r="H158" s="42">
        <f>140.13500993934*Deflactores!$X$5</f>
        <v>164.28979945544435</v>
      </c>
      <c r="I158" s="42">
        <f>182.97525315366*Deflactores!$Y$5</f>
        <v>203.91095925692187</v>
      </c>
      <c r="J158" s="42">
        <f>161.13235430921*Deflactores!$Z$5</f>
        <v>170.85356003098687</v>
      </c>
      <c r="K158" s="42">
        <f>66.60845186588*Deflactores!$AA$5</f>
        <v>66.608451865879999</v>
      </c>
    </row>
    <row r="159" spans="3:11" x14ac:dyDescent="0.2">
      <c r="C159" s="88" t="s">
        <v>161</v>
      </c>
      <c r="D159" s="50">
        <f>348.76989340074*Deflactores!$T$5</f>
        <v>542.45739834276583</v>
      </c>
      <c r="E159" s="50">
        <f>383.2317400375*Deflactores!$U$5</f>
        <v>586.61297921650021</v>
      </c>
      <c r="F159" s="50">
        <f>383.718435685859*Deflactores!$V$5</f>
        <v>556.10487070816237</v>
      </c>
      <c r="G159" s="50">
        <f>434.03434883998*Deflactores!$W$5</f>
        <v>556.06906780879331</v>
      </c>
      <c r="H159" s="50">
        <f>495.97291429342*Deflactores!$X$5</f>
        <v>581.46276694075084</v>
      </c>
      <c r="I159" s="50">
        <f>555.38728272839*Deflactores!$Y$5</f>
        <v>618.93371714663476</v>
      </c>
      <c r="J159" s="50">
        <f>552.01937972539*Deflactores!$Z$5</f>
        <v>585.32301992678845</v>
      </c>
      <c r="K159" s="50">
        <f>233.0189971984*Deflactores!$AA$5</f>
        <v>233.0189971984</v>
      </c>
    </row>
    <row r="160" spans="3:11" x14ac:dyDescent="0.2">
      <c r="C160" s="87" t="s">
        <v>140</v>
      </c>
      <c r="D160" s="42">
        <f>446.57921146084*Deflactores!$T$5</f>
        <v>694.58460086938555</v>
      </c>
      <c r="E160" s="42">
        <f>919.259392171769*Deflactores!$U$5</f>
        <v>1407.1107227753732</v>
      </c>
      <c r="F160" s="42">
        <f>942.90338686451*Deflactores!$V$5</f>
        <v>1366.5050132536555</v>
      </c>
      <c r="G160" s="42">
        <f>627.61065973369*Deflactores!$W$5</f>
        <v>804.07201742837731</v>
      </c>
      <c r="H160" s="42">
        <f>1422.94609232775*Deflactores!$X$5</f>
        <v>1668.2164453096213</v>
      </c>
      <c r="I160" s="42">
        <f>4139.03895948901*Deflactores!$Y$5</f>
        <v>4612.6205051477673</v>
      </c>
      <c r="J160" s="42">
        <f>3375.75107520864*Deflactores!$Z$5</f>
        <v>3579.4120395649275</v>
      </c>
      <c r="K160" s="42">
        <f>1729.18173079717*Deflactores!$AA$5</f>
        <v>1729.1817307971701</v>
      </c>
    </row>
    <row r="161" spans="1:11" x14ac:dyDescent="0.2">
      <c r="C161" s="88" t="s">
        <v>141</v>
      </c>
      <c r="D161" s="50">
        <f>16.4553359166*Deflactores!$T$5</f>
        <v>25.593719180109048</v>
      </c>
      <c r="E161" s="50">
        <f>12.89562348719*Deflactores!$U$5</f>
        <v>19.739336078829417</v>
      </c>
      <c r="F161" s="50">
        <f>11.9064471589599*Deflactores!$V$5</f>
        <v>17.255447333647542</v>
      </c>
      <c r="G161" s="50">
        <f>16.07636319398*Deflactores!$W$5</f>
        <v>20.596453527063819</v>
      </c>
      <c r="H161" s="50">
        <f>23.34408193986*Deflactores!$X$5</f>
        <v>27.367854342973921</v>
      </c>
      <c r="I161" s="50">
        <f>17.14936840246*Deflactores!$Y$5</f>
        <v>19.111568921614118</v>
      </c>
      <c r="J161" s="50">
        <f>17.2380957990599*Deflactores!$Z$5</f>
        <v>18.278079831023991</v>
      </c>
      <c r="K161" s="50">
        <f>6.348155179*Deflactores!$AA$5</f>
        <v>6.3481551789999999</v>
      </c>
    </row>
    <row r="162" spans="1:11" x14ac:dyDescent="0.2">
      <c r="C162" s="87" t="s">
        <v>142</v>
      </c>
      <c r="D162" s="42">
        <f>112.60238270445*Deflactores!$T$5</f>
        <v>175.13551692625197</v>
      </c>
      <c r="E162" s="42">
        <f>284.60970579113*Deflactores!$U$5</f>
        <v>435.65219157403146</v>
      </c>
      <c r="F162" s="42">
        <f>271.35872099519*Deflactores!$V$5</f>
        <v>393.26728251885146</v>
      </c>
      <c r="G162" s="42">
        <f>176.88042031112*Deflactores!$W$5</f>
        <v>226.61278006892175</v>
      </c>
      <c r="H162" s="42">
        <f>273.153220098639*Deflactores!$X$5</f>
        <v>320.23609068169168</v>
      </c>
      <c r="I162" s="42">
        <f>236.1582745021*Deflactores!$Y$5</f>
        <v>263.17908821113957</v>
      </c>
      <c r="J162" s="42">
        <f>209.451621709349*Deflactores!$Z$5</f>
        <v>222.08795605775111</v>
      </c>
      <c r="K162" s="42">
        <f>97.3755803353699*Deflactores!$AA$5</f>
        <v>97.375580335369904</v>
      </c>
    </row>
    <row r="163" spans="1:11" x14ac:dyDescent="0.2">
      <c r="C163" s="88" t="s">
        <v>143</v>
      </c>
      <c r="D163" s="50">
        <f>0.067335387*Deflactores!$T$5</f>
        <v>0.1047297359650648</v>
      </c>
      <c r="E163" s="50">
        <f>0*Deflactores!$U$5</f>
        <v>0</v>
      </c>
      <c r="F163" s="50">
        <f>0.01336564379*Deflactores!$V$5</f>
        <v>1.9370191579364912E-2</v>
      </c>
      <c r="G163" s="50">
        <f>0*Deflactores!$W$5</f>
        <v>0</v>
      </c>
      <c r="H163" s="50">
        <f>0.003899899*Deflactores!$X$5</f>
        <v>4.5721167385925372E-3</v>
      </c>
      <c r="I163" s="50">
        <f>0*Deflactores!$Y$5</f>
        <v>0</v>
      </c>
      <c r="J163" s="50">
        <f>0*Deflactores!$Z$5</f>
        <v>0</v>
      </c>
      <c r="K163" s="50">
        <f>0*Deflactores!$AA$5</f>
        <v>0</v>
      </c>
    </row>
    <row r="164" spans="1:11" x14ac:dyDescent="0.2">
      <c r="C164" s="87" t="s">
        <v>144</v>
      </c>
      <c r="D164" s="42">
        <f>0*Deflactores!$T$5</f>
        <v>0</v>
      </c>
      <c r="E164" s="42">
        <f>0*Deflactores!$U$5</f>
        <v>0</v>
      </c>
      <c r="F164" s="42">
        <f>0*Deflactores!$V$5</f>
        <v>0</v>
      </c>
      <c r="G164" s="42">
        <f>0*Deflactores!$W$5</f>
        <v>0</v>
      </c>
      <c r="H164" s="42">
        <f>0*Deflactores!$X$5</f>
        <v>0</v>
      </c>
      <c r="I164" s="42">
        <f>0*Deflactores!$Y$5</f>
        <v>0</v>
      </c>
      <c r="J164" s="42">
        <f>0*Deflactores!$Z$5</f>
        <v>0</v>
      </c>
      <c r="K164" s="42">
        <f>0*Deflactores!$AA$5</f>
        <v>0</v>
      </c>
    </row>
    <row r="165" spans="1:11" x14ac:dyDescent="0.2">
      <c r="C165" s="88" t="s">
        <v>145</v>
      </c>
      <c r="D165" s="50">
        <f>45.80368788565*Deflactores!$T$5</f>
        <v>71.240522290164634</v>
      </c>
      <c r="E165" s="50">
        <f>43.21990011293*Deflactores!$U$5</f>
        <v>66.156718554169188</v>
      </c>
      <c r="F165" s="50">
        <f>46.12627600079*Deflactores!$V$5</f>
        <v>66.848617022582218</v>
      </c>
      <c r="G165" s="50">
        <f>50.4344259645699*Deflactores!$W$5</f>
        <v>64.614757579773112</v>
      </c>
      <c r="H165" s="50">
        <f>54.94913255206*Deflactores!$X$5</f>
        <v>64.420603895745401</v>
      </c>
      <c r="I165" s="50">
        <f>62.51405678749*Deflactores!$Y$5</f>
        <v>69.666805028949852</v>
      </c>
      <c r="J165" s="50">
        <f>68.41556716933*Deflactores!$Z$5</f>
        <v>72.543116883826329</v>
      </c>
      <c r="K165" s="50">
        <f>31.29521945053*Deflactores!$AA$5</f>
        <v>31.295219450529999</v>
      </c>
    </row>
    <row r="166" spans="1:11" x14ac:dyDescent="0.2">
      <c r="C166" s="87" t="s">
        <v>146</v>
      </c>
      <c r="D166" s="42">
        <f>206.249979592119*Deflactores!$T$5</f>
        <v>320.78980856652129</v>
      </c>
      <c r="E166" s="42">
        <f>116.39285340561*Deflactores!$U$5</f>
        <v>178.16258770500886</v>
      </c>
      <c r="F166" s="42">
        <f>216.97794504316*Deflactores!$V$5</f>
        <v>314.4558114834303</v>
      </c>
      <c r="G166" s="42">
        <f>191.12423212231*Deflactores!$W$5</f>
        <v>244.86143522043477</v>
      </c>
      <c r="H166" s="42">
        <f>203.02532275056*Deflactores!$X$5</f>
        <v>238.0203888628879</v>
      </c>
      <c r="I166" s="42">
        <f>336.39314580315*Deflactores!$Y$5</f>
        <v>374.88265689442397</v>
      </c>
      <c r="J166" s="42">
        <f>405.537070851549*Deflactores!$Z$5</f>
        <v>430.003350826516</v>
      </c>
      <c r="K166" s="42">
        <f>236.39685486699*Deflactores!$AA$5</f>
        <v>236.39685486699</v>
      </c>
    </row>
    <row r="167" spans="1:11" x14ac:dyDescent="0.2">
      <c r="C167" s="88" t="s">
        <v>162</v>
      </c>
      <c r="D167" s="50">
        <f>451.54826925685*Deflactores!$T$5</f>
        <v>702.31319847841507</v>
      </c>
      <c r="E167" s="50">
        <f>369.14715030488*Deflactores!$U$5</f>
        <v>565.05369202571092</v>
      </c>
      <c r="F167" s="50">
        <f>378.14752896741*Deflactores!$V$5</f>
        <v>548.03122067658921</v>
      </c>
      <c r="G167" s="50">
        <f>436.9492661533*Deflactores!$W$5</f>
        <v>559.80355416336329</v>
      </c>
      <c r="H167" s="50">
        <f>521.02793789608*Deflactores!$X$5</f>
        <v>610.83647451614002</v>
      </c>
      <c r="I167" s="50">
        <f>562.36649444827*Deflactores!$Y$5</f>
        <v>626.71147797565106</v>
      </c>
      <c r="J167" s="50">
        <f>627.71374335144*Deflactores!$Z$5</f>
        <v>665.58406715863839</v>
      </c>
      <c r="K167" s="50">
        <f>264.56813419968*Deflactores!$AA$5</f>
        <v>264.56813419968</v>
      </c>
    </row>
    <row r="168" spans="1:11" x14ac:dyDescent="0.2">
      <c r="C168" s="87" t="s">
        <v>148</v>
      </c>
      <c r="D168" s="42">
        <f>0*Deflactores!$T$5</f>
        <v>0</v>
      </c>
      <c r="E168" s="42">
        <f>0*Deflactores!$U$5</f>
        <v>0</v>
      </c>
      <c r="F168" s="42">
        <f>0*Deflactores!$V$5</f>
        <v>0</v>
      </c>
      <c r="G168" s="42">
        <f>0*Deflactores!$W$5</f>
        <v>0</v>
      </c>
      <c r="H168" s="42">
        <f>0*Deflactores!$X$5</f>
        <v>0</v>
      </c>
      <c r="I168" s="42">
        <f>0*Deflactores!$Y$5</f>
        <v>0</v>
      </c>
      <c r="J168" s="42">
        <f>0*Deflactores!$Z$5</f>
        <v>0</v>
      </c>
      <c r="K168" s="42">
        <f>0*Deflactores!$AA$5</f>
        <v>0</v>
      </c>
    </row>
    <row r="169" spans="1:11" x14ac:dyDescent="0.2">
      <c r="C169" s="88" t="s">
        <v>149</v>
      </c>
      <c r="D169" s="50">
        <f>408.69218935593*Deflactores!$T$5</f>
        <v>635.65722258685196</v>
      </c>
      <c r="E169" s="50">
        <f>252.0163010353*Deflactores!$U$5</f>
        <v>385.76145375373562</v>
      </c>
      <c r="F169" s="50">
        <f>639.75492561429*Deflactores!$V$5</f>
        <v>927.16637280598559</v>
      </c>
      <c r="G169" s="50">
        <f>688.91628249799*Deflactores!$W$5</f>
        <v>882.61455811229496</v>
      </c>
      <c r="H169" s="50">
        <f>883.06879453558*Deflactores!$X$5</f>
        <v>1035.2815846833107</v>
      </c>
      <c r="I169" s="50">
        <f>634.04363844667*Deflactores!$Y$5</f>
        <v>706.58979451081746</v>
      </c>
      <c r="J169" s="50">
        <f>560.78563422102*Deflactores!$Z$5</f>
        <v>594.61814749528332</v>
      </c>
      <c r="K169" s="50">
        <f>338.91244936565*Deflactores!$AA$5</f>
        <v>338.91244936564999</v>
      </c>
    </row>
    <row r="170" spans="1:11" x14ac:dyDescent="0.2">
      <c r="C170" s="87" t="s">
        <v>163</v>
      </c>
      <c r="D170" s="42">
        <f>77.0888089405*Deflactores!$T$5</f>
        <v>119.89966889475058</v>
      </c>
      <c r="E170" s="42">
        <f>75.30889882667*Deflactores!$U$5</f>
        <v>115.27536184216908</v>
      </c>
      <c r="F170" s="42">
        <f>80.23067035824*Deflactores!$V$5</f>
        <v>116.27449300592072</v>
      </c>
      <c r="G170" s="42">
        <f>89.88705561508*Deflactores!$W$5</f>
        <v>115.16003596844961</v>
      </c>
      <c r="H170" s="42">
        <f>98.49861177788*Deflactores!$X$5</f>
        <v>115.47661917341274</v>
      </c>
      <c r="I170" s="42">
        <f>109.716192537369*Deflactores!$Y$5</f>
        <v>122.26972599143819</v>
      </c>
      <c r="J170" s="42">
        <f>114.01231235824*Deflactores!$Z$5</f>
        <v>120.89073940041588</v>
      </c>
      <c r="K170" s="42">
        <f>48.00842470835*Deflactores!$AA$5</f>
        <v>48.008424708349999</v>
      </c>
    </row>
    <row r="171" spans="1:11" x14ac:dyDescent="0.2">
      <c r="C171" s="88" t="s">
        <v>150</v>
      </c>
      <c r="D171" s="50">
        <f>750.08784332285*Deflactores!$T$5</f>
        <v>1166.6451368551127</v>
      </c>
      <c r="E171" s="50">
        <f>685.30124338799*Deflactores!$U$5</f>
        <v>1048.9908899645513</v>
      </c>
      <c r="F171" s="50">
        <f>635.29654340575*Deflactores!$V$5</f>
        <v>920.70505161036419</v>
      </c>
      <c r="G171" s="50">
        <f>711.83397983944*Deflactores!$W$5</f>
        <v>911.97588085332654</v>
      </c>
      <c r="H171" s="50">
        <f>983.818971140559*Deflactores!$X$5</f>
        <v>1153.3978663797802</v>
      </c>
      <c r="I171" s="50">
        <f>878.01093505745*Deflactores!$Y$5</f>
        <v>978.47139938251451</v>
      </c>
      <c r="J171" s="50">
        <f>961.74391547848*Deflactores!$Z$5</f>
        <v>1019.7664677716857</v>
      </c>
      <c r="K171" s="50">
        <f>738.24726900751*Deflactores!$AA$5</f>
        <v>738.24726900751</v>
      </c>
    </row>
    <row r="172" spans="1:11" x14ac:dyDescent="0.2">
      <c r="C172" s="87" t="s">
        <v>151</v>
      </c>
      <c r="D172" s="42">
        <f>0*Deflactores!$T$5</f>
        <v>0</v>
      </c>
      <c r="E172" s="42">
        <f>0*Deflactores!$U$5</f>
        <v>0</v>
      </c>
      <c r="F172" s="42">
        <f>0*Deflactores!$V$5</f>
        <v>0</v>
      </c>
      <c r="G172" s="42">
        <f>0*Deflactores!$W$5</f>
        <v>0</v>
      </c>
      <c r="H172" s="42">
        <f>0*Deflactores!$X$5</f>
        <v>0</v>
      </c>
      <c r="I172" s="42">
        <f>0*Deflactores!$Y$5</f>
        <v>0</v>
      </c>
      <c r="J172" s="42">
        <f>0*Deflactores!$Z$5</f>
        <v>0</v>
      </c>
      <c r="K172" s="42">
        <f>0*Deflactores!$AA$5</f>
        <v>0</v>
      </c>
    </row>
    <row r="173" spans="1:11" x14ac:dyDescent="0.2">
      <c r="C173" s="79" t="s">
        <v>179</v>
      </c>
      <c r="D173" s="44">
        <f t="shared" ref="D173:K173" si="6">+SUM(D142:D172)</f>
        <v>9321.1274375929625</v>
      </c>
      <c r="E173" s="44">
        <f t="shared" si="6"/>
        <v>9284.0363636845559</v>
      </c>
      <c r="F173" s="44">
        <f t="shared" si="6"/>
        <v>9608.2055285280458</v>
      </c>
      <c r="G173" s="44">
        <f t="shared" si="6"/>
        <v>9423.8920842839761</v>
      </c>
      <c r="H173" s="44">
        <f t="shared" si="6"/>
        <v>10370.402681025724</v>
      </c>
      <c r="I173" s="44">
        <f t="shared" si="6"/>
        <v>13329.770527558623</v>
      </c>
      <c r="J173" s="44">
        <f t="shared" si="6"/>
        <v>12402.109519685127</v>
      </c>
      <c r="K173" s="44">
        <f t="shared" si="6"/>
        <v>5823.2665097862491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Junio</v>
      </c>
      <c r="D174" s="121">
        <f>+D173-'C7 Ejec. Prop 19-26'!D79</f>
        <v>1.6370904631912708E-11</v>
      </c>
      <c r="E174" s="121">
        <f>+E173-'C7 Ejec. Prop 19-26'!E79</f>
        <v>0</v>
      </c>
      <c r="F174" s="121">
        <f>+F173-'C7 Ejec. Prop 19-26'!F79</f>
        <v>2.9103830456733704E-11</v>
      </c>
      <c r="G174" s="121">
        <f>+G173-'C7 Ejec. Prop 19-26'!G79</f>
        <v>0</v>
      </c>
      <c r="H174" s="121">
        <f>+H173-'C7 Ejec. Prop 19-26'!H79</f>
        <v>-1.4551915228366852E-11</v>
      </c>
      <c r="I174" s="121">
        <f>+I173-'C7 Ejec. Prop 19-26'!I79</f>
        <v>0</v>
      </c>
      <c r="J174" s="121">
        <f>+J173-'C7 Ejec. Prop 19-26'!J79</f>
        <v>0</v>
      </c>
      <c r="K174" s="121">
        <f>+K173-'C7 Ejec. Prop 19-26'!K79</f>
        <v>1.0004441719502211E-11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customHeight="1" x14ac:dyDescent="0.2">
      <c r="D179" s="131" t="s">
        <v>198</v>
      </c>
      <c r="E179" s="131"/>
      <c r="F179" s="131"/>
      <c r="G179" s="131"/>
      <c r="H179" s="131"/>
      <c r="I179" s="131"/>
      <c r="J179" s="131"/>
      <c r="K179" s="131"/>
    </row>
    <row r="180" spans="3:11" ht="0.75" customHeight="1" x14ac:dyDescent="0.2">
      <c r="D180" s="28"/>
      <c r="E180" s="28"/>
      <c r="F180" s="28"/>
    </row>
    <row r="181" spans="3:11" x14ac:dyDescent="0.2">
      <c r="E181" s="29"/>
      <c r="F181" s="29"/>
    </row>
    <row r="182" spans="3:11" x14ac:dyDescent="0.2">
      <c r="C182" s="181" t="s">
        <v>120</v>
      </c>
      <c r="D182" s="155">
        <v>2019</v>
      </c>
      <c r="E182" s="155">
        <v>2020</v>
      </c>
      <c r="F182" s="155">
        <v>2021</v>
      </c>
      <c r="G182" s="155">
        <v>2022</v>
      </c>
      <c r="H182" s="155">
        <v>2023</v>
      </c>
      <c r="I182" s="155">
        <v>2024</v>
      </c>
      <c r="J182" s="155">
        <v>2025</v>
      </c>
      <c r="K182" s="155" t="s">
        <v>36</v>
      </c>
    </row>
    <row r="183" spans="3:11" ht="12" customHeight="1" thickBot="1" x14ac:dyDescent="0.25">
      <c r="C183" s="162"/>
      <c r="D183" s="156"/>
      <c r="E183" s="156"/>
      <c r="F183" s="156"/>
      <c r="G183" s="156"/>
      <c r="H183" s="156"/>
      <c r="I183" s="156"/>
      <c r="J183" s="156"/>
      <c r="K183" s="156"/>
    </row>
    <row r="184" spans="3:11" x14ac:dyDescent="0.2">
      <c r="C184" s="87" t="s">
        <v>123</v>
      </c>
      <c r="D184" s="47">
        <f t="shared" ref="D184:K193" si="7">+IFERROR(IF(D142&gt;0,+((D142/D15)*100)," "),"")</f>
        <v>77.437673969637061</v>
      </c>
      <c r="E184" s="47">
        <f t="shared" si="7"/>
        <v>71.683839135869576</v>
      </c>
      <c r="F184" s="47">
        <f t="shared" si="7"/>
        <v>97.682014562269643</v>
      </c>
      <c r="G184" s="47">
        <f t="shared" si="7"/>
        <v>97.740515509405142</v>
      </c>
      <c r="H184" s="47">
        <f t="shared" si="7"/>
        <v>72.885237905163805</v>
      </c>
      <c r="I184" s="47">
        <f t="shared" si="7"/>
        <v>93.385029717007555</v>
      </c>
      <c r="J184" s="47">
        <f t="shared" si="7"/>
        <v>95.365507936806068</v>
      </c>
      <c r="K184" s="47">
        <f t="shared" si="7"/>
        <v>34.310243573679081</v>
      </c>
    </row>
    <row r="185" spans="3:11" x14ac:dyDescent="0.2">
      <c r="C185" s="88" t="s">
        <v>124</v>
      </c>
      <c r="D185" s="116">
        <f t="shared" si="7"/>
        <v>96.354219762686839</v>
      </c>
      <c r="E185" s="116">
        <f t="shared" si="7"/>
        <v>99.558912497848738</v>
      </c>
      <c r="F185" s="116">
        <f t="shared" si="7"/>
        <v>99.798729009035412</v>
      </c>
      <c r="G185" s="116">
        <f t="shared" si="7"/>
        <v>99.316248577962781</v>
      </c>
      <c r="H185" s="116">
        <f t="shared" si="7"/>
        <v>95.388278189527568</v>
      </c>
      <c r="I185" s="116">
        <f t="shared" si="7"/>
        <v>99.051706381459127</v>
      </c>
      <c r="J185" s="116">
        <f t="shared" si="7"/>
        <v>98.691073123552314</v>
      </c>
      <c r="K185" s="116">
        <f t="shared" si="7"/>
        <v>98.984274790808996</v>
      </c>
    </row>
    <row r="186" spans="3:11" x14ac:dyDescent="0.2">
      <c r="C186" s="87" t="s">
        <v>125</v>
      </c>
      <c r="D186" s="47" t="str">
        <f t="shared" si="7"/>
        <v xml:space="preserve"> </v>
      </c>
      <c r="E186" s="47" t="str">
        <f t="shared" si="7"/>
        <v xml:space="preserve"> </v>
      </c>
      <c r="F186" s="47" t="str">
        <f t="shared" si="7"/>
        <v xml:space="preserve"> </v>
      </c>
      <c r="G186" s="47" t="str">
        <f t="shared" si="7"/>
        <v xml:space="preserve"> </v>
      </c>
      <c r="H186" s="47" t="str">
        <f t="shared" si="7"/>
        <v xml:space="preserve"> </v>
      </c>
      <c r="I186" s="47" t="str">
        <f t="shared" si="7"/>
        <v xml:space="preserve"> </v>
      </c>
      <c r="J186" s="47" t="str">
        <f t="shared" si="7"/>
        <v xml:space="preserve"> </v>
      </c>
      <c r="K186" s="47" t="str">
        <f t="shared" si="7"/>
        <v xml:space="preserve"> </v>
      </c>
    </row>
    <row r="187" spans="3:11" x14ac:dyDescent="0.2">
      <c r="C187" s="88" t="s">
        <v>126</v>
      </c>
      <c r="D187" s="116">
        <f t="shared" si="7"/>
        <v>94.342779497842429</v>
      </c>
      <c r="E187" s="116">
        <f t="shared" si="7"/>
        <v>90.217468498638482</v>
      </c>
      <c r="F187" s="116">
        <f t="shared" si="7"/>
        <v>87.035271898475457</v>
      </c>
      <c r="G187" s="116">
        <f t="shared" si="7"/>
        <v>91.192471022954805</v>
      </c>
      <c r="H187" s="116">
        <f t="shared" si="7"/>
        <v>87.037676782627244</v>
      </c>
      <c r="I187" s="116">
        <f t="shared" si="7"/>
        <v>88.450077800543653</v>
      </c>
      <c r="J187" s="116">
        <f t="shared" si="7"/>
        <v>86.879873096376798</v>
      </c>
      <c r="K187" s="116">
        <f t="shared" si="7"/>
        <v>33.009741003529456</v>
      </c>
    </row>
    <row r="188" spans="3:11" x14ac:dyDescent="0.2">
      <c r="C188" s="87" t="s">
        <v>127</v>
      </c>
      <c r="D188" s="47" t="str">
        <f t="shared" si="7"/>
        <v xml:space="preserve"> </v>
      </c>
      <c r="E188" s="47" t="str">
        <f t="shared" si="7"/>
        <v xml:space="preserve"> </v>
      </c>
      <c r="F188" s="47" t="str">
        <f t="shared" si="7"/>
        <v xml:space="preserve"> </v>
      </c>
      <c r="G188" s="47" t="str">
        <f t="shared" si="7"/>
        <v xml:space="preserve"> </v>
      </c>
      <c r="H188" s="47" t="str">
        <f t="shared" si="7"/>
        <v xml:space="preserve"> </v>
      </c>
      <c r="I188" s="47" t="str">
        <f t="shared" si="7"/>
        <v xml:space="preserve"> </v>
      </c>
      <c r="J188" s="47" t="str">
        <f t="shared" si="7"/>
        <v xml:space="preserve"> </v>
      </c>
      <c r="K188" s="47" t="str">
        <f t="shared" si="7"/>
        <v xml:space="preserve"> </v>
      </c>
    </row>
    <row r="189" spans="3:11" x14ac:dyDescent="0.2">
      <c r="C189" s="88" t="s">
        <v>128</v>
      </c>
      <c r="D189" s="116">
        <f t="shared" si="7"/>
        <v>94.920249358751946</v>
      </c>
      <c r="E189" s="116">
        <f t="shared" si="7"/>
        <v>89.615128405852843</v>
      </c>
      <c r="F189" s="116">
        <f t="shared" si="7"/>
        <v>72.319258775810781</v>
      </c>
      <c r="G189" s="116">
        <f t="shared" si="7"/>
        <v>86.076350344174401</v>
      </c>
      <c r="H189" s="116">
        <f t="shared" si="7"/>
        <v>84.29010751873686</v>
      </c>
      <c r="I189" s="116">
        <f t="shared" si="7"/>
        <v>65.93446275908839</v>
      </c>
      <c r="J189" s="116">
        <f t="shared" si="7"/>
        <v>94.79588875309247</v>
      </c>
      <c r="K189" s="116">
        <f t="shared" si="7"/>
        <v>20.156329419475153</v>
      </c>
    </row>
    <row r="190" spans="3:11" x14ac:dyDescent="0.2">
      <c r="C190" s="87" t="s">
        <v>129</v>
      </c>
      <c r="D190" s="47">
        <f t="shared" si="7"/>
        <v>92.415487109597223</v>
      </c>
      <c r="E190" s="47">
        <f t="shared" si="7"/>
        <v>95.735404094821604</v>
      </c>
      <c r="F190" s="47">
        <f t="shared" si="7"/>
        <v>74.655648925972045</v>
      </c>
      <c r="G190" s="47">
        <f t="shared" si="7"/>
        <v>89.553462102151286</v>
      </c>
      <c r="H190" s="47">
        <f t="shared" si="7"/>
        <v>86.029974279977807</v>
      </c>
      <c r="I190" s="47">
        <f t="shared" si="7"/>
        <v>86.290096517108452</v>
      </c>
      <c r="J190" s="47">
        <f t="shared" si="7"/>
        <v>94.895629499075596</v>
      </c>
      <c r="K190" s="47">
        <f t="shared" si="7"/>
        <v>32.684949478735838</v>
      </c>
    </row>
    <row r="191" spans="3:11" x14ac:dyDescent="0.2">
      <c r="C191" s="88" t="s">
        <v>130</v>
      </c>
      <c r="D191" s="116" t="str">
        <f t="shared" si="7"/>
        <v xml:space="preserve"> </v>
      </c>
      <c r="E191" s="116" t="str">
        <f t="shared" si="7"/>
        <v xml:space="preserve"> </v>
      </c>
      <c r="F191" s="116" t="str">
        <f t="shared" si="7"/>
        <v xml:space="preserve"> </v>
      </c>
      <c r="G191" s="116" t="str">
        <f t="shared" si="7"/>
        <v xml:space="preserve"> </v>
      </c>
      <c r="H191" s="116" t="str">
        <f t="shared" si="7"/>
        <v xml:space="preserve"> </v>
      </c>
      <c r="I191" s="116" t="str">
        <f t="shared" si="7"/>
        <v xml:space="preserve"> </v>
      </c>
      <c r="J191" s="116" t="str">
        <f t="shared" si="7"/>
        <v xml:space="preserve"> </v>
      </c>
      <c r="K191" s="116" t="str">
        <f t="shared" si="7"/>
        <v xml:space="preserve"> </v>
      </c>
    </row>
    <row r="192" spans="3:11" x14ac:dyDescent="0.2">
      <c r="C192" s="87" t="s">
        <v>131</v>
      </c>
      <c r="D192" s="47">
        <f t="shared" si="7"/>
        <v>89.087929223590123</v>
      </c>
      <c r="E192" s="47">
        <f t="shared" si="7"/>
        <v>81.30694833447501</v>
      </c>
      <c r="F192" s="47">
        <f t="shared" si="7"/>
        <v>76.497335248121473</v>
      </c>
      <c r="G192" s="47">
        <f t="shared" si="7"/>
        <v>79.384724031539406</v>
      </c>
      <c r="H192" s="47">
        <f t="shared" si="7"/>
        <v>84.416876884361997</v>
      </c>
      <c r="I192" s="47">
        <f t="shared" si="7"/>
        <v>78.815715816918157</v>
      </c>
      <c r="J192" s="47">
        <f t="shared" si="7"/>
        <v>73.741284375410345</v>
      </c>
      <c r="K192" s="47">
        <f t="shared" si="7"/>
        <v>35.743835545006782</v>
      </c>
    </row>
    <row r="193" spans="3:11" x14ac:dyDescent="0.2">
      <c r="C193" s="88" t="s">
        <v>132</v>
      </c>
      <c r="D193" s="116">
        <f t="shared" si="7"/>
        <v>89.66904872585458</v>
      </c>
      <c r="E193" s="116">
        <f t="shared" si="7"/>
        <v>84.986608383481411</v>
      </c>
      <c r="F193" s="116">
        <f t="shared" si="7"/>
        <v>46.186417715442253</v>
      </c>
      <c r="G193" s="116">
        <f t="shared" si="7"/>
        <v>75.399351804608429</v>
      </c>
      <c r="H193" s="116">
        <f t="shared" si="7"/>
        <v>87.027841187489287</v>
      </c>
      <c r="I193" s="116">
        <f t="shared" si="7"/>
        <v>83.597235958279114</v>
      </c>
      <c r="J193" s="116">
        <f t="shared" si="7"/>
        <v>87.538806178204354</v>
      </c>
      <c r="K193" s="116">
        <f t="shared" si="7"/>
        <v>35.647540485621697</v>
      </c>
    </row>
    <row r="194" spans="3:11" x14ac:dyDescent="0.2">
      <c r="C194" s="87" t="s">
        <v>133</v>
      </c>
      <c r="D194" s="47">
        <f t="shared" ref="D194:K203" si="8">+IFERROR(IF(D152&gt;0,+((D152/D25)*100)," "),"")</f>
        <v>97.474437196961659</v>
      </c>
      <c r="E194" s="47">
        <f t="shared" si="8"/>
        <v>89.790457176279233</v>
      </c>
      <c r="F194" s="47">
        <f t="shared" si="8"/>
        <v>75.945745781723801</v>
      </c>
      <c r="G194" s="47">
        <f t="shared" si="8"/>
        <v>85.904871590498686</v>
      </c>
      <c r="H194" s="47">
        <f t="shared" si="8"/>
        <v>94.943433584228416</v>
      </c>
      <c r="I194" s="47">
        <f t="shared" si="8"/>
        <v>92.9774337509226</v>
      </c>
      <c r="J194" s="47">
        <f t="shared" si="8"/>
        <v>97.742951239405357</v>
      </c>
      <c r="K194" s="47">
        <f t="shared" si="8"/>
        <v>42.750612848045918</v>
      </c>
    </row>
    <row r="195" spans="3:11" x14ac:dyDescent="0.2">
      <c r="C195" s="88" t="s">
        <v>134</v>
      </c>
      <c r="D195" s="116">
        <f t="shared" si="8"/>
        <v>89.710109443516458</v>
      </c>
      <c r="E195" s="116">
        <f t="shared" si="8"/>
        <v>83.72166247230561</v>
      </c>
      <c r="F195" s="116">
        <f t="shared" si="8"/>
        <v>81.909321548598243</v>
      </c>
      <c r="G195" s="116">
        <f t="shared" si="8"/>
        <v>88.050440108093923</v>
      </c>
      <c r="H195" s="116">
        <f t="shared" si="8"/>
        <v>86.355694222853501</v>
      </c>
      <c r="I195" s="116">
        <f t="shared" si="8"/>
        <v>73.639166759726834</v>
      </c>
      <c r="J195" s="116">
        <f t="shared" si="8"/>
        <v>88.187186214510575</v>
      </c>
      <c r="K195" s="116">
        <f t="shared" si="8"/>
        <v>31.517977229305416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81.930171446089815</v>
      </c>
      <c r="J196" s="47">
        <f t="shared" si="8"/>
        <v>96.132899497442651</v>
      </c>
      <c r="K196" s="47">
        <f t="shared" si="8"/>
        <v>38.928959590268988</v>
      </c>
    </row>
    <row r="197" spans="3:11" x14ac:dyDescent="0.2">
      <c r="C197" s="88" t="s">
        <v>136</v>
      </c>
      <c r="D197" s="116">
        <f t="shared" si="8"/>
        <v>89.906815304973762</v>
      </c>
      <c r="E197" s="116">
        <f t="shared" si="8"/>
        <v>95.12297094730549</v>
      </c>
      <c r="F197" s="116">
        <f t="shared" si="8"/>
        <v>83.30889575289757</v>
      </c>
      <c r="G197" s="116">
        <f t="shared" si="8"/>
        <v>92.873663869350651</v>
      </c>
      <c r="H197" s="116">
        <f t="shared" si="8"/>
        <v>82.907250119810243</v>
      </c>
      <c r="I197" s="116">
        <f t="shared" si="8"/>
        <v>1.3009201506773245</v>
      </c>
      <c r="J197" s="116">
        <f t="shared" si="8"/>
        <v>86.041566397993051</v>
      </c>
      <c r="K197" s="116">
        <f t="shared" si="8"/>
        <v>0.3194594375867667</v>
      </c>
    </row>
    <row r="198" spans="3:11" x14ac:dyDescent="0.2">
      <c r="C198" s="87" t="s">
        <v>137</v>
      </c>
      <c r="D198" s="47">
        <f t="shared" si="8"/>
        <v>89.216023026882823</v>
      </c>
      <c r="E198" s="47">
        <f t="shared" si="8"/>
        <v>81.274353601163611</v>
      </c>
      <c r="F198" s="47">
        <f t="shared" si="8"/>
        <v>62.410094510831328</v>
      </c>
      <c r="G198" s="47">
        <f t="shared" si="8"/>
        <v>51.587530708632165</v>
      </c>
      <c r="H198" s="47">
        <f t="shared" si="8"/>
        <v>39.317979748359704</v>
      </c>
      <c r="I198" s="47">
        <f t="shared" si="8"/>
        <v>84.320960107368649</v>
      </c>
      <c r="J198" s="47">
        <f t="shared" si="8"/>
        <v>74.313319990514131</v>
      </c>
      <c r="K198" s="47">
        <f t="shared" si="8"/>
        <v>27.518596071915731</v>
      </c>
    </row>
    <row r="199" spans="3:11" x14ac:dyDescent="0.2">
      <c r="C199" s="88" t="s">
        <v>138</v>
      </c>
      <c r="D199" s="116" t="str">
        <f t="shared" si="8"/>
        <v xml:space="preserve"> </v>
      </c>
      <c r="E199" s="116" t="str">
        <f t="shared" si="8"/>
        <v xml:space="preserve"> </v>
      </c>
      <c r="F199" s="116" t="str">
        <f t="shared" si="8"/>
        <v xml:space="preserve"> </v>
      </c>
      <c r="G199" s="116" t="str">
        <f t="shared" si="8"/>
        <v xml:space="preserve"> </v>
      </c>
      <c r="H199" s="116" t="str">
        <f t="shared" si="8"/>
        <v xml:space="preserve"> </v>
      </c>
      <c r="I199" s="116" t="str">
        <f t="shared" si="8"/>
        <v xml:space="preserve"> </v>
      </c>
      <c r="J199" s="116" t="str">
        <f t="shared" si="8"/>
        <v xml:space="preserve"> 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>
        <f t="shared" si="8"/>
        <v>79.049369598101933</v>
      </c>
      <c r="E200" s="47">
        <f t="shared" si="8"/>
        <v>46.544666557463714</v>
      </c>
      <c r="F200" s="47">
        <f t="shared" si="8"/>
        <v>81.201338003968402</v>
      </c>
      <c r="G200" s="47">
        <f t="shared" si="8"/>
        <v>66.924871578796342</v>
      </c>
      <c r="H200" s="47">
        <f t="shared" si="8"/>
        <v>80.724658285339771</v>
      </c>
      <c r="I200" s="47">
        <f t="shared" si="8"/>
        <v>79.908212582377189</v>
      </c>
      <c r="J200" s="47">
        <f t="shared" si="8"/>
        <v>73.925377635303136</v>
      </c>
      <c r="K200" s="47">
        <f t="shared" si="8"/>
        <v>28.422785205385537</v>
      </c>
    </row>
    <row r="201" spans="3:11" x14ac:dyDescent="0.2">
      <c r="C201" s="88" t="s">
        <v>161</v>
      </c>
      <c r="D201" s="116">
        <f t="shared" si="8"/>
        <v>91.418055683492057</v>
      </c>
      <c r="E201" s="116">
        <f t="shared" si="8"/>
        <v>89.874405095364196</v>
      </c>
      <c r="F201" s="116">
        <f t="shared" si="8"/>
        <v>79.413439925979347</v>
      </c>
      <c r="G201" s="116">
        <f t="shared" si="8"/>
        <v>84.955237937382392</v>
      </c>
      <c r="H201" s="116">
        <f t="shared" si="8"/>
        <v>53.814551945739233</v>
      </c>
      <c r="I201" s="116">
        <f t="shared" si="8"/>
        <v>70.509851964348726</v>
      </c>
      <c r="J201" s="116">
        <f t="shared" si="8"/>
        <v>93.976582075349683</v>
      </c>
      <c r="K201" s="116">
        <f t="shared" si="8"/>
        <v>28.01371256231084</v>
      </c>
    </row>
    <row r="202" spans="3:11" x14ac:dyDescent="0.2">
      <c r="C202" s="87" t="s">
        <v>140</v>
      </c>
      <c r="D202" s="47">
        <f t="shared" si="8"/>
        <v>89.355918721950687</v>
      </c>
      <c r="E202" s="47">
        <f t="shared" si="8"/>
        <v>93.45273686438253</v>
      </c>
      <c r="F202" s="47">
        <f t="shared" si="8"/>
        <v>90.810570455609081</v>
      </c>
      <c r="G202" s="47">
        <f t="shared" si="8"/>
        <v>89.476754339096715</v>
      </c>
      <c r="H202" s="47">
        <f t="shared" si="8"/>
        <v>96.5699686416676</v>
      </c>
      <c r="I202" s="47">
        <f t="shared" si="8"/>
        <v>99.112771400717577</v>
      </c>
      <c r="J202" s="47">
        <f t="shared" si="8"/>
        <v>98.111731128707987</v>
      </c>
      <c r="K202" s="47">
        <f t="shared" si="8"/>
        <v>59.444393130218344</v>
      </c>
    </row>
    <row r="203" spans="3:11" x14ac:dyDescent="0.2">
      <c r="C203" s="88" t="s">
        <v>141</v>
      </c>
      <c r="D203" s="116">
        <f t="shared" si="8"/>
        <v>79.390823161094218</v>
      </c>
      <c r="E203" s="116">
        <f t="shared" si="8"/>
        <v>60.409535237691479</v>
      </c>
      <c r="F203" s="116">
        <f t="shared" si="8"/>
        <v>56.878484770122284</v>
      </c>
      <c r="G203" s="116">
        <f t="shared" si="8"/>
        <v>52.575072862152595</v>
      </c>
      <c r="H203" s="116">
        <f t="shared" si="8"/>
        <v>46.861551620716654</v>
      </c>
      <c r="I203" s="116">
        <f t="shared" si="8"/>
        <v>96.616160013859158</v>
      </c>
      <c r="J203" s="116">
        <f t="shared" si="8"/>
        <v>92.310676871906921</v>
      </c>
      <c r="K203" s="116">
        <f t="shared" si="8"/>
        <v>29.895153736355489</v>
      </c>
    </row>
    <row r="204" spans="3:11" x14ac:dyDescent="0.2">
      <c r="C204" s="87" t="s">
        <v>142</v>
      </c>
      <c r="D204" s="47">
        <f t="shared" ref="D204:K213" si="9">+IFERROR(IF(D162&gt;0,+((D162/D35)*100)," "),"")</f>
        <v>94.675425862498003</v>
      </c>
      <c r="E204" s="47">
        <f t="shared" si="9"/>
        <v>88.708437031656317</v>
      </c>
      <c r="F204" s="47">
        <f t="shared" si="9"/>
        <v>38.644484520050341</v>
      </c>
      <c r="G204" s="47">
        <f t="shared" si="9"/>
        <v>64.509267147209087</v>
      </c>
      <c r="H204" s="47">
        <f t="shared" si="9"/>
        <v>91.379216131340627</v>
      </c>
      <c r="I204" s="47">
        <f t="shared" si="9"/>
        <v>89.335568662232362</v>
      </c>
      <c r="J204" s="47">
        <f t="shared" si="9"/>
        <v>94.745446809324847</v>
      </c>
      <c r="K204" s="47">
        <f t="shared" si="9"/>
        <v>30.164387461829701</v>
      </c>
    </row>
    <row r="205" spans="3:11" x14ac:dyDescent="0.2">
      <c r="C205" s="88" t="s">
        <v>143</v>
      </c>
      <c r="D205" s="116">
        <f t="shared" si="9"/>
        <v>79.592656028368793</v>
      </c>
      <c r="E205" s="116" t="str">
        <f t="shared" si="9"/>
        <v xml:space="preserve"> </v>
      </c>
      <c r="F205" s="116">
        <f t="shared" si="9"/>
        <v>74.253576611111114</v>
      </c>
      <c r="G205" s="116" t="str">
        <f t="shared" si="9"/>
        <v xml:space="preserve"> </v>
      </c>
      <c r="H205" s="116">
        <f t="shared" si="9"/>
        <v>97.497475000000009</v>
      </c>
      <c r="I205" s="116" t="str">
        <f t="shared" si="9"/>
        <v xml:space="preserve"> </v>
      </c>
      <c r="J205" s="116" t="str">
        <f t="shared" si="9"/>
        <v xml:space="preserve"> </v>
      </c>
      <c r="K205" s="116" t="str">
        <f t="shared" si="9"/>
        <v xml:space="preserve"> </v>
      </c>
    </row>
    <row r="206" spans="3:11" x14ac:dyDescent="0.2">
      <c r="C206" s="87" t="s">
        <v>144</v>
      </c>
      <c r="D206" s="47" t="str">
        <f t="shared" si="9"/>
        <v xml:space="preserve"> </v>
      </c>
      <c r="E206" s="47" t="str">
        <f t="shared" si="9"/>
        <v xml:space="preserve"> </v>
      </c>
      <c r="F206" s="47" t="str">
        <f t="shared" si="9"/>
        <v xml:space="preserve"> </v>
      </c>
      <c r="G206" s="47" t="str">
        <f t="shared" si="9"/>
        <v xml:space="preserve"> </v>
      </c>
      <c r="H206" s="47" t="str">
        <f t="shared" si="9"/>
        <v xml:space="preserve"> </v>
      </c>
      <c r="I206" s="47" t="str">
        <f t="shared" si="9"/>
        <v xml:space="preserve"> </v>
      </c>
      <c r="J206" s="47" t="str">
        <f t="shared" si="9"/>
        <v xml:space="preserve"> </v>
      </c>
      <c r="K206" s="47" t="str">
        <f t="shared" si="9"/>
        <v xml:space="preserve"> </v>
      </c>
    </row>
    <row r="207" spans="3:11" x14ac:dyDescent="0.2">
      <c r="C207" s="88" t="s">
        <v>145</v>
      </c>
      <c r="D207" s="116">
        <f t="shared" si="9"/>
        <v>96.589025605283894</v>
      </c>
      <c r="E207" s="116">
        <f t="shared" si="9"/>
        <v>91.732587830724341</v>
      </c>
      <c r="F207" s="116">
        <f t="shared" si="9"/>
        <v>85.700492266341385</v>
      </c>
      <c r="G207" s="116">
        <f t="shared" si="9"/>
        <v>68.174207209974227</v>
      </c>
      <c r="H207" s="116">
        <f t="shared" si="9"/>
        <v>67.70864480902604</v>
      </c>
      <c r="I207" s="116">
        <f t="shared" si="9"/>
        <v>65.041551961483108</v>
      </c>
      <c r="J207" s="116">
        <f t="shared" si="9"/>
        <v>78.470849325557325</v>
      </c>
      <c r="K207" s="116">
        <f t="shared" si="9"/>
        <v>35.302609660174689</v>
      </c>
    </row>
    <row r="208" spans="3:11" x14ac:dyDescent="0.2">
      <c r="C208" s="87" t="s">
        <v>146</v>
      </c>
      <c r="D208" s="47">
        <f t="shared" si="9"/>
        <v>96.465945573145277</v>
      </c>
      <c r="E208" s="47">
        <f t="shared" si="9"/>
        <v>62.410339498296651</v>
      </c>
      <c r="F208" s="47">
        <f t="shared" si="9"/>
        <v>95.950200341016028</v>
      </c>
      <c r="G208" s="47">
        <f t="shared" si="9"/>
        <v>95.972398062873779</v>
      </c>
      <c r="H208" s="47">
        <f t="shared" si="9"/>
        <v>94.943963276028015</v>
      </c>
      <c r="I208" s="47">
        <f t="shared" si="9"/>
        <v>95.23264978163138</v>
      </c>
      <c r="J208" s="47">
        <f t="shared" si="9"/>
        <v>93.156344593846313</v>
      </c>
      <c r="K208" s="47">
        <f t="shared" si="9"/>
        <v>50.738582018573823</v>
      </c>
    </row>
    <row r="209" spans="1:11" x14ac:dyDescent="0.2">
      <c r="C209" s="88" t="s">
        <v>162</v>
      </c>
      <c r="D209" s="116">
        <f t="shared" si="9"/>
        <v>90.908464631373974</v>
      </c>
      <c r="E209" s="116">
        <f t="shared" si="9"/>
        <v>87.789675836558359</v>
      </c>
      <c r="F209" s="116">
        <f t="shared" si="9"/>
        <v>82.927063295752475</v>
      </c>
      <c r="G209" s="116">
        <f t="shared" si="9"/>
        <v>85.183229326456612</v>
      </c>
      <c r="H209" s="116">
        <f t="shared" si="9"/>
        <v>85.887968090199763</v>
      </c>
      <c r="I209" s="116">
        <f t="shared" si="9"/>
        <v>86.124290490628809</v>
      </c>
      <c r="J209" s="116">
        <f t="shared" si="9"/>
        <v>87.894846852626245</v>
      </c>
      <c r="K209" s="116">
        <f t="shared" si="9"/>
        <v>34.994713627401865</v>
      </c>
    </row>
    <row r="210" spans="1:11" x14ac:dyDescent="0.2">
      <c r="C210" s="87" t="s">
        <v>148</v>
      </c>
      <c r="D210" s="47" t="str">
        <f t="shared" si="9"/>
        <v xml:space="preserve"> </v>
      </c>
      <c r="E210" s="47" t="str">
        <f t="shared" si="9"/>
        <v xml:space="preserve"> </v>
      </c>
      <c r="F210" s="47" t="str">
        <f t="shared" si="9"/>
        <v xml:space="preserve"> </v>
      </c>
      <c r="G210" s="47" t="str">
        <f t="shared" si="9"/>
        <v xml:space="preserve"> </v>
      </c>
      <c r="H210" s="47" t="str">
        <f t="shared" si="9"/>
        <v xml:space="preserve"> </v>
      </c>
      <c r="I210" s="47" t="str">
        <f t="shared" si="9"/>
        <v xml:space="preserve"> </v>
      </c>
      <c r="J210" s="47" t="str">
        <f t="shared" si="9"/>
        <v xml:space="preserve"> </v>
      </c>
      <c r="K210" s="47" t="str">
        <f t="shared" si="9"/>
        <v xml:space="preserve"> </v>
      </c>
    </row>
    <row r="211" spans="1:11" x14ac:dyDescent="0.2">
      <c r="C211" s="88" t="s">
        <v>149</v>
      </c>
      <c r="D211" s="116">
        <f t="shared" si="9"/>
        <v>93.769178016369182</v>
      </c>
      <c r="E211" s="116">
        <f t="shared" si="9"/>
        <v>95.834564209173465</v>
      </c>
      <c r="F211" s="116">
        <f t="shared" si="9"/>
        <v>82.718320508982444</v>
      </c>
      <c r="G211" s="116">
        <f t="shared" si="9"/>
        <v>83.581177935380751</v>
      </c>
      <c r="H211" s="116">
        <f t="shared" si="9"/>
        <v>95.917752206885069</v>
      </c>
      <c r="I211" s="116">
        <f t="shared" si="9"/>
        <v>94.211854677316566</v>
      </c>
      <c r="J211" s="116">
        <f t="shared" si="9"/>
        <v>81.171678853987387</v>
      </c>
      <c r="K211" s="116">
        <f t="shared" si="9"/>
        <v>72.227310609078444</v>
      </c>
    </row>
    <row r="212" spans="1:11" x14ac:dyDescent="0.2">
      <c r="C212" s="87" t="s">
        <v>163</v>
      </c>
      <c r="D212" s="47">
        <f t="shared" si="9"/>
        <v>87.395558360283928</v>
      </c>
      <c r="E212" s="47">
        <f t="shared" si="9"/>
        <v>82.337823537785781</v>
      </c>
      <c r="F212" s="47">
        <f t="shared" si="9"/>
        <v>85.692910489429579</v>
      </c>
      <c r="G212" s="47">
        <f t="shared" si="9"/>
        <v>90.419488967475203</v>
      </c>
      <c r="H212" s="47">
        <f t="shared" si="9"/>
        <v>86.606217527655545</v>
      </c>
      <c r="I212" s="47">
        <f t="shared" si="9"/>
        <v>88.050337952944304</v>
      </c>
      <c r="J212" s="47">
        <f t="shared" si="9"/>
        <v>89.078943312047798</v>
      </c>
      <c r="K212" s="47">
        <f t="shared" si="9"/>
        <v>35.086931113981784</v>
      </c>
    </row>
    <row r="213" spans="1:11" x14ac:dyDescent="0.2">
      <c r="C213" s="88" t="s">
        <v>150</v>
      </c>
      <c r="D213" s="116">
        <f t="shared" si="9"/>
        <v>93.845217416878938</v>
      </c>
      <c r="E213" s="116">
        <f t="shared" si="9"/>
        <v>92.387648377047711</v>
      </c>
      <c r="F213" s="116">
        <f t="shared" si="9"/>
        <v>81.675483425038436</v>
      </c>
      <c r="G213" s="116">
        <f t="shared" si="9"/>
        <v>85.108775077956111</v>
      </c>
      <c r="H213" s="116">
        <f t="shared" si="9"/>
        <v>88.21612887146533</v>
      </c>
      <c r="I213" s="116">
        <f t="shared" si="9"/>
        <v>86.999384167706452</v>
      </c>
      <c r="J213" s="116">
        <f t="shared" si="9"/>
        <v>92.102556825776034</v>
      </c>
      <c r="K213" s="116">
        <f t="shared" si="9"/>
        <v>43.432625683980028</v>
      </c>
    </row>
    <row r="214" spans="1:11" x14ac:dyDescent="0.2">
      <c r="C214" s="87" t="s">
        <v>151</v>
      </c>
      <c r="D214" s="47" t="str">
        <f t="shared" ref="D214:K215" si="10">+IFERROR(IF(D172&gt;0,+((D172/D45)*100)," "),"")</f>
        <v xml:space="preserve"> </v>
      </c>
      <c r="E214" s="47" t="str">
        <f t="shared" si="10"/>
        <v xml:space="preserve"> </v>
      </c>
      <c r="F214" s="47" t="str">
        <f t="shared" si="10"/>
        <v xml:space="preserve"> </v>
      </c>
      <c r="G214" s="47" t="str">
        <f t="shared" si="10"/>
        <v xml:space="preserve"> </v>
      </c>
      <c r="H214" s="47" t="str">
        <f t="shared" si="10"/>
        <v xml:space="preserve"> </v>
      </c>
      <c r="I214" s="47" t="str">
        <f t="shared" si="10"/>
        <v xml:space="preserve"> </v>
      </c>
      <c r="J214" s="47" t="str">
        <f t="shared" si="10"/>
        <v xml:space="preserve"> </v>
      </c>
      <c r="K214" s="47" t="str">
        <f t="shared" si="10"/>
        <v xml:space="preserve"> </v>
      </c>
    </row>
    <row r="215" spans="1:11" x14ac:dyDescent="0.2">
      <c r="C215" s="91" t="s">
        <v>179</v>
      </c>
      <c r="D215" s="64">
        <f t="shared" si="10"/>
        <v>91.847168022099396</v>
      </c>
      <c r="E215" s="64">
        <f t="shared" si="10"/>
        <v>90.847731934700107</v>
      </c>
      <c r="F215" s="64">
        <f t="shared" si="10"/>
        <v>77.62121282970466</v>
      </c>
      <c r="G215" s="64">
        <f t="shared" si="10"/>
        <v>86.654364153178946</v>
      </c>
      <c r="H215" s="64">
        <f t="shared" si="10"/>
        <v>85.536580756290576</v>
      </c>
      <c r="I215" s="64">
        <f t="shared" si="10"/>
        <v>88.81191939306413</v>
      </c>
      <c r="J215" s="64">
        <f t="shared" si="10"/>
        <v>93.244781152965416</v>
      </c>
      <c r="K215" s="64">
        <f t="shared" si="10"/>
        <v>42.317701848097165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Junio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64" t="s">
        <v>199</v>
      </c>
      <c r="E221" s="182"/>
      <c r="F221" s="182"/>
      <c r="G221" s="182"/>
      <c r="H221" s="182"/>
      <c r="I221" s="182"/>
      <c r="J221" s="182"/>
      <c r="K221" s="182"/>
    </row>
    <row r="222" spans="1:11" ht="15.75" customHeight="1" x14ac:dyDescent="0.2">
      <c r="C222" s="2"/>
      <c r="D222" s="2"/>
      <c r="E222" s="2"/>
      <c r="F222" s="2"/>
      <c r="G222" s="2"/>
      <c r="H222" s="2"/>
      <c r="I222" s="2"/>
      <c r="J222" s="2"/>
    </row>
    <row r="223" spans="1:11" x14ac:dyDescent="0.2">
      <c r="C223" s="181" t="s">
        <v>120</v>
      </c>
      <c r="D223" s="155">
        <v>2019</v>
      </c>
      <c r="E223" s="155">
        <v>2020</v>
      </c>
      <c r="F223" s="155">
        <v>2021</v>
      </c>
      <c r="G223" s="155">
        <v>2022</v>
      </c>
      <c r="H223" s="155">
        <v>2023</v>
      </c>
      <c r="I223" s="155">
        <v>2024</v>
      </c>
      <c r="J223" s="155">
        <v>2025</v>
      </c>
      <c r="K223" s="155" t="s">
        <v>36</v>
      </c>
    </row>
    <row r="224" spans="1:11" ht="12" customHeight="1" thickBot="1" x14ac:dyDescent="0.25">
      <c r="C224" s="162"/>
      <c r="D224" s="156"/>
      <c r="E224" s="156"/>
      <c r="F224" s="156"/>
      <c r="G224" s="156"/>
      <c r="H224" s="156"/>
      <c r="I224" s="156"/>
      <c r="J224" s="156"/>
      <c r="K224" s="156"/>
    </row>
    <row r="225" spans="3:11" x14ac:dyDescent="0.2">
      <c r="C225" s="87" t="s">
        <v>123</v>
      </c>
      <c r="D225" s="42">
        <f>7.6433122161*Deflactores!$T$5</f>
        <v>11.887984995032513</v>
      </c>
      <c r="E225" s="42">
        <f>8.92466547604*Deflactores!$U$5</f>
        <v>13.660989047770892</v>
      </c>
      <c r="F225" s="42">
        <f>12.49977829645*Deflactores!$V$5</f>
        <v>18.115333919266757</v>
      </c>
      <c r="G225" s="42">
        <f>11.4662582039399*Deflactores!$W$5</f>
        <v>14.69015419576967</v>
      </c>
      <c r="H225" s="42">
        <f>9.29820173368*Deflactores!$X$5</f>
        <v>10.900914045560787</v>
      </c>
      <c r="I225" s="42">
        <f>11.4271076543799*Deflactores!$Y$5</f>
        <v>12.734577180116947</v>
      </c>
      <c r="J225" s="42">
        <f>25.0782472574*Deflactores!$Z$5</f>
        <v>26.591232044197952</v>
      </c>
      <c r="K225" s="42">
        <f>9.07157145052*Deflactores!$AA$5</f>
        <v>9.0715714505200005</v>
      </c>
    </row>
    <row r="226" spans="3:11" x14ac:dyDescent="0.2">
      <c r="C226" s="88" t="s">
        <v>124</v>
      </c>
      <c r="D226" s="50">
        <f>28.802891787*Deflactores!$T$5</f>
        <v>44.798424517599393</v>
      </c>
      <c r="E226" s="50">
        <f>31.792820814*Deflactores!$U$5</f>
        <v>48.665283657277314</v>
      </c>
      <c r="F226" s="50">
        <f>53.650168*Deflactores!$V$5</f>
        <v>77.752635694409221</v>
      </c>
      <c r="G226" s="50">
        <f>74.76395442*Deflactores!$W$5</f>
        <v>95.784867145056324</v>
      </c>
      <c r="H226" s="50">
        <f>82.011565*Deflactores!$X$5</f>
        <v>96.14773333736845</v>
      </c>
      <c r="I226" s="50">
        <f>93.368973295*Deflactores!$Y$5</f>
        <v>104.05208672360042</v>
      </c>
      <c r="J226" s="50">
        <f>97.483247939*Deflactores!$Z$5</f>
        <v>103.36446721184366</v>
      </c>
      <c r="K226" s="50">
        <f>100.177381747*Deflactores!$AA$5</f>
        <v>100.177381747</v>
      </c>
    </row>
    <row r="227" spans="3:11" x14ac:dyDescent="0.2">
      <c r="C227" s="87" t="s">
        <v>125</v>
      </c>
      <c r="D227" s="42">
        <f>0*Deflactores!$T$5</f>
        <v>0</v>
      </c>
      <c r="E227" s="42">
        <f>0*Deflactores!$U$5</f>
        <v>0</v>
      </c>
      <c r="F227" s="42">
        <f>0*Deflactores!$V$5</f>
        <v>0</v>
      </c>
      <c r="G227" s="42">
        <f>0*Deflactores!$W$5</f>
        <v>0</v>
      </c>
      <c r="H227" s="42">
        <f>0*Deflactores!$X$5</f>
        <v>0</v>
      </c>
      <c r="I227" s="42">
        <f>0*Deflactores!$Y$5</f>
        <v>0</v>
      </c>
      <c r="J227" s="42">
        <f>0*Deflactores!$Z$5</f>
        <v>0</v>
      </c>
      <c r="K227" s="42">
        <f>0*Deflactores!$AA$5</f>
        <v>0</v>
      </c>
    </row>
    <row r="228" spans="3:11" x14ac:dyDescent="0.2">
      <c r="C228" s="88" t="s">
        <v>126</v>
      </c>
      <c r="D228" s="50">
        <f>190.72339047619*Deflactores!$T$5</f>
        <v>296.64061078216321</v>
      </c>
      <c r="E228" s="50">
        <f>177.98030566855*Deflactores!$U$5</f>
        <v>272.43452575163832</v>
      </c>
      <c r="F228" s="50">
        <f>215.22459463446*Deflactores!$V$5</f>
        <v>311.9147641642067</v>
      </c>
      <c r="G228" s="50">
        <f>237.23220970334*Deflactores!$W$5</f>
        <v>303.93330402657108</v>
      </c>
      <c r="H228" s="50">
        <f>261.92510772613*Deflactores!$X$5</f>
        <v>307.07261118615958</v>
      </c>
      <c r="I228" s="50">
        <f>306.9694224145*Deflactores!$Y$5</f>
        <v>342.09232291384257</v>
      </c>
      <c r="J228" s="50">
        <f>318.79860719928*Deflactores!$Z$5</f>
        <v>338.03190679132229</v>
      </c>
      <c r="K228" s="50">
        <f>149.787902675599*Deflactores!$AA$5</f>
        <v>149.78790267559901</v>
      </c>
    </row>
    <row r="229" spans="3:11" x14ac:dyDescent="0.2">
      <c r="C229" s="87" t="s">
        <v>127</v>
      </c>
      <c r="D229" s="42">
        <f>0*Deflactores!$T$5</f>
        <v>0</v>
      </c>
      <c r="E229" s="42">
        <f>0*Deflactores!$U$5</f>
        <v>0</v>
      </c>
      <c r="F229" s="42">
        <f>0*Deflactores!$V$5</f>
        <v>0</v>
      </c>
      <c r="G229" s="42">
        <f>0*Deflactores!$W$5</f>
        <v>0</v>
      </c>
      <c r="H229" s="42">
        <f>0*Deflactores!$X$5</f>
        <v>0</v>
      </c>
      <c r="I229" s="42">
        <f>0*Deflactores!$Y$5</f>
        <v>0</v>
      </c>
      <c r="J229" s="42">
        <f>0*Deflactores!$Z$5</f>
        <v>0</v>
      </c>
      <c r="K229" s="42">
        <f>0*Deflactores!$AA$5</f>
        <v>0</v>
      </c>
    </row>
    <row r="230" spans="3:11" x14ac:dyDescent="0.2">
      <c r="C230" s="88" t="s">
        <v>128</v>
      </c>
      <c r="D230" s="50">
        <f>2.85596771840999*Deflactores!$T$5</f>
        <v>4.4420141978812238</v>
      </c>
      <c r="E230" s="50">
        <f>3.22400627168999*Deflactores!$U$5</f>
        <v>4.9349877018633279</v>
      </c>
      <c r="F230" s="50">
        <f>3.80674399182*Deflactores!$V$5</f>
        <v>5.5169329344478761</v>
      </c>
      <c r="G230" s="50">
        <f>4.37055879621*Deflactores!$W$5</f>
        <v>5.599401434719244</v>
      </c>
      <c r="H230" s="50">
        <f>3.30665413691999*Deflactores!$X$5</f>
        <v>3.8766154528997148</v>
      </c>
      <c r="I230" s="50">
        <f>2.42843302132*Deflactores!$Y$5</f>
        <v>2.7062900492488877</v>
      </c>
      <c r="J230" s="50">
        <f>3.85291038163*Deflactores!$Z$5</f>
        <v>4.0853586357870748</v>
      </c>
      <c r="K230" s="50">
        <f>0.89127438834*Deflactores!$AA$5</f>
        <v>0.89127438833999995</v>
      </c>
    </row>
    <row r="231" spans="3:11" x14ac:dyDescent="0.2">
      <c r="C231" s="87" t="s">
        <v>129</v>
      </c>
      <c r="D231" s="42">
        <f>1788.78677301327*Deflactores!$T$5</f>
        <v>2782.1799915619417</v>
      </c>
      <c r="E231" s="42">
        <f>1654.53268533829*Deflactores!$U$5</f>
        <v>2532.5938495136083</v>
      </c>
      <c r="F231" s="42">
        <f>1642.2766971504*Deflactores!$V$5</f>
        <v>2380.0734741958809</v>
      </c>
      <c r="G231" s="42">
        <f>2373.56203356183*Deflactores!$W$5</f>
        <v>3040.9216019805817</v>
      </c>
      <c r="H231" s="42">
        <f>2126.02528123377*Deflactores!$X$5</f>
        <v>2492.4839784311916</v>
      </c>
      <c r="I231" s="42">
        <f>2268.09951929712*Deflactores!$Y$5</f>
        <v>2527.6114703972908</v>
      </c>
      <c r="J231" s="42">
        <f>2372.58737840405*Deflactores!$Z$5</f>
        <v>2515.7269117227083</v>
      </c>
      <c r="K231" s="42">
        <f>926.78761297727*Deflactores!$AA$5</f>
        <v>926.78761297726999</v>
      </c>
    </row>
    <row r="232" spans="3:11" x14ac:dyDescent="0.2">
      <c r="C232" s="88" t="s">
        <v>130</v>
      </c>
      <c r="D232" s="50">
        <f>0*Deflactores!$T$5</f>
        <v>0</v>
      </c>
      <c r="E232" s="50">
        <f>0*Deflactores!$U$5</f>
        <v>0</v>
      </c>
      <c r="F232" s="50">
        <f>0*Deflactores!$V$5</f>
        <v>0</v>
      </c>
      <c r="G232" s="50">
        <f>0*Deflactores!$W$5</f>
        <v>0</v>
      </c>
      <c r="H232" s="50">
        <f>0*Deflactores!$X$5</f>
        <v>0</v>
      </c>
      <c r="I232" s="50">
        <f>0*Deflactores!$Y$5</f>
        <v>0</v>
      </c>
      <c r="J232" s="50">
        <f>0*Deflactores!$Z$5</f>
        <v>0</v>
      </c>
      <c r="K232" s="50">
        <f>0*Deflactores!$AA$5</f>
        <v>0</v>
      </c>
    </row>
    <row r="233" spans="3:11" x14ac:dyDescent="0.2">
      <c r="C233" s="87" t="s">
        <v>131</v>
      </c>
      <c r="D233" s="42">
        <f>12.9184966726999*Deflactores!$T$5</f>
        <v>20.092715077102458</v>
      </c>
      <c r="E233" s="42">
        <f>12.23330837383*Deflactores!$U$5</f>
        <v>18.725530067380035</v>
      </c>
      <c r="F233" s="42">
        <f>13.54976569494*Deflactores!$V$5</f>
        <v>19.637030695286423</v>
      </c>
      <c r="G233" s="42">
        <f>15.54836412399*Deflactores!$W$5</f>
        <v>19.920000266076645</v>
      </c>
      <c r="H233" s="42">
        <f>19.26735193255*Deflactores!$X$5</f>
        <v>22.588426592372038</v>
      </c>
      <c r="I233" s="42">
        <f>23.68236938118*Deflactores!$Y$5</f>
        <v>26.392064362593143</v>
      </c>
      <c r="J233" s="42">
        <f>27.3446801015999*Deflactores!$Z$5</f>
        <v>28.994400058857654</v>
      </c>
      <c r="K233" s="42">
        <f>13.29153939933*Deflactores!$AA$5</f>
        <v>13.29153939933</v>
      </c>
    </row>
    <row r="234" spans="3:11" x14ac:dyDescent="0.2">
      <c r="C234" s="88" t="s">
        <v>132</v>
      </c>
      <c r="D234" s="50">
        <f>54.8841119691599*Deflactores!$T$5</f>
        <v>85.363711583140812</v>
      </c>
      <c r="E234" s="50">
        <f>53.58927134834*Deflactores!$U$5</f>
        <v>82.029119291150224</v>
      </c>
      <c r="F234" s="50">
        <f>61.6501419583099*Deflactores!$V$5</f>
        <v>89.346617296577378</v>
      </c>
      <c r="G234" s="50">
        <f>105.05815230397*Deflactores!$W$5</f>
        <v>134.59669487799223</v>
      </c>
      <c r="H234" s="50">
        <f>125.374838550019*Deflactores!$X$5</f>
        <v>146.98544704180256</v>
      </c>
      <c r="I234" s="50">
        <f>138.10571817588*Deflactores!$Y$5</f>
        <v>153.90753113734112</v>
      </c>
      <c r="J234" s="50">
        <f>153.407260434419*Deflactores!$Z$5</f>
        <v>162.66240689020407</v>
      </c>
      <c r="K234" s="50">
        <f>66.69987424483*Deflactores!$AA$5</f>
        <v>66.699874244829999</v>
      </c>
    </row>
    <row r="235" spans="3:11" x14ac:dyDescent="0.2">
      <c r="C235" s="87" t="s">
        <v>133</v>
      </c>
      <c r="D235" s="42">
        <f>9.10214169269*Deflactores!$T$5</f>
        <v>14.156967660882852</v>
      </c>
      <c r="E235" s="42">
        <f>8.41661627753*Deflactores!$U$5</f>
        <v>12.883317934471812</v>
      </c>
      <c r="F235" s="42">
        <f>14.27470357919*Deflactores!$V$5</f>
        <v>20.687648676858558</v>
      </c>
      <c r="G235" s="42">
        <f>14.75774493492*Deflactores!$W$5</f>
        <v>18.907087632242714</v>
      </c>
      <c r="H235" s="42">
        <f>17.55896451118*Deflactores!$X$5</f>
        <v>20.585567870839323</v>
      </c>
      <c r="I235" s="42">
        <f>18.63370373746*Deflactores!$Y$5</f>
        <v>20.765739290568956</v>
      </c>
      <c r="J235" s="42">
        <f>20.50514984792*Deflactores!$Z$5</f>
        <v>21.742237091397943</v>
      </c>
      <c r="K235" s="42">
        <f>10.97951904547*Deflactores!$AA$5</f>
        <v>10.979519045469999</v>
      </c>
    </row>
    <row r="236" spans="3:11" x14ac:dyDescent="0.2">
      <c r="C236" s="88" t="s">
        <v>134</v>
      </c>
      <c r="D236" s="50">
        <f>192.211700015229*Deflactores!$T$5</f>
        <v>298.955445106318</v>
      </c>
      <c r="E236" s="50">
        <f>206.11269131448*Deflactores!$U$5</f>
        <v>315.49677981914243</v>
      </c>
      <c r="F236" s="50">
        <f>222.45625189377*Deflactores!$V$5</f>
        <v>322.39526093264107</v>
      </c>
      <c r="G236" s="50">
        <f>248.589179642009*Deflactores!$W$5</f>
        <v>318.48344206013132</v>
      </c>
      <c r="H236" s="50">
        <f>278.22472687866*Deflactores!$X$5</f>
        <v>326.18176287443816</v>
      </c>
      <c r="I236" s="50">
        <f>306.46751002457*Deflactores!$Y$5</f>
        <v>341.53298259251721</v>
      </c>
      <c r="J236" s="50">
        <f>328.37787150234*Deflactores!$Z$5</f>
        <v>348.18909350700102</v>
      </c>
      <c r="K236" s="50">
        <f>163.32285998089*Deflactores!$AA$5</f>
        <v>163.32285998089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872.28240585576*Deflactores!$Y$5</f>
        <v>972.08742196198909</v>
      </c>
      <c r="J237" s="42">
        <f>1099.20366994319*Deflactores!$Z$5</f>
        <v>1165.5192466717747</v>
      </c>
      <c r="K237" s="42">
        <f>498.37337059064*Deflactores!$AA$5</f>
        <v>498.37337059063998</v>
      </c>
    </row>
    <row r="238" spans="3:11" x14ac:dyDescent="0.2">
      <c r="C238" s="88" t="s">
        <v>136</v>
      </c>
      <c r="D238" s="50">
        <f>568.16674490513*Deflactores!$T$5</f>
        <v>883.69512420036426</v>
      </c>
      <c r="E238" s="50">
        <f>591.786339662*Deflactores!$U$5</f>
        <v>905.84758907178275</v>
      </c>
      <c r="F238" s="50">
        <f>611.15252811131*Deflactores!$V$5</f>
        <v>885.71427906723181</v>
      </c>
      <c r="G238" s="50">
        <f>670.67752493621*Deflactores!$W$5</f>
        <v>859.24772333879014</v>
      </c>
      <c r="H238" s="50">
        <f>708.45883268428*Deflactores!$X$5</f>
        <v>830.57445526654055</v>
      </c>
      <c r="I238" s="50">
        <f>0.83410458289*Deflactores!$Y$5</f>
        <v>0.92954135975350327</v>
      </c>
      <c r="J238" s="50">
        <f>31.62720305825*Deflactores!$Z$5</f>
        <v>33.535290038371073</v>
      </c>
      <c r="K238" s="50">
        <f>0.216073099259999*Deflactores!$AA$5</f>
        <v>0.21607309925999901</v>
      </c>
    </row>
    <row r="239" spans="3:11" x14ac:dyDescent="0.2">
      <c r="C239" s="87" t="s">
        <v>137</v>
      </c>
      <c r="D239" s="42">
        <f>3.46078904031*Deflactores!$T$5</f>
        <v>5.3827198234184994</v>
      </c>
      <c r="E239" s="42">
        <f>4.68910216896*Deflactores!$U$5</f>
        <v>7.1776105833901385</v>
      </c>
      <c r="F239" s="42">
        <f>5.77385591295*Deflactores!$V$5</f>
        <v>8.3677746424132717</v>
      </c>
      <c r="G239" s="42">
        <f>5.95258738355*Deflactores!$W$5</f>
        <v>7.6262390897578101</v>
      </c>
      <c r="H239" s="42">
        <f>2.03506552484*Deflactores!$X$5</f>
        <v>2.3858456719657535</v>
      </c>
      <c r="I239" s="42">
        <f>7.61813131968*Deflactores!$Y$5</f>
        <v>8.4897844837881351</v>
      </c>
      <c r="J239" s="42">
        <f>7.68171184290999*Deflactores!$Z$5</f>
        <v>8.1451538464758091</v>
      </c>
      <c r="K239" s="42">
        <f>4.07506094929*Deflactores!$AA$5</f>
        <v>4.0750609492900001</v>
      </c>
    </row>
    <row r="240" spans="3:11" x14ac:dyDescent="0.2">
      <c r="C240" s="88" t="s">
        <v>138</v>
      </c>
      <c r="D240" s="50">
        <f>0*Deflactores!$T$5</f>
        <v>0</v>
      </c>
      <c r="E240" s="50">
        <f>0*Deflactores!$U$5</f>
        <v>0</v>
      </c>
      <c r="F240" s="50">
        <f>0*Deflactores!$V$5</f>
        <v>0</v>
      </c>
      <c r="G240" s="50">
        <f>0*Deflactores!$W$5</f>
        <v>0</v>
      </c>
      <c r="H240" s="50">
        <f>0*Deflactores!$X$5</f>
        <v>0</v>
      </c>
      <c r="I240" s="50">
        <f>0*Deflactores!$Y$5</f>
        <v>0</v>
      </c>
      <c r="J240" s="50">
        <f>0*Deflactores!$Z$5</f>
        <v>0</v>
      </c>
      <c r="K240" s="50">
        <f>0*Deflactores!$AA$5</f>
        <v>0</v>
      </c>
    </row>
    <row r="241" spans="3:11" x14ac:dyDescent="0.2">
      <c r="C241" s="87" t="s">
        <v>160</v>
      </c>
      <c r="D241" s="42">
        <f>80.4385918922399*Deflactores!$T$5</f>
        <v>125.10973598883284</v>
      </c>
      <c r="E241" s="42">
        <f>54.02429625702*Deflactores!$U$5</f>
        <v>82.69501209452082</v>
      </c>
      <c r="F241" s="42">
        <f>106.49085893182*Deflactores!$V$5</f>
        <v>154.33213479052898</v>
      </c>
      <c r="G241" s="42">
        <f>109.88018076664*Deflactores!$W$5</f>
        <v>140.77450287717653</v>
      </c>
      <c r="H241" s="42">
        <f>140.13500993934*Deflactores!$X$5</f>
        <v>164.28979945544435</v>
      </c>
      <c r="I241" s="42">
        <f>182.96925315366*Deflactores!$Y$5</f>
        <v>203.90427274749254</v>
      </c>
      <c r="J241" s="42">
        <f>160.82773407621*Deflactores!$Z$5</f>
        <v>170.53056188769875</v>
      </c>
      <c r="K241" s="42">
        <f>62.9808166528799*Deflactores!$AA$5</f>
        <v>62.980816652879902</v>
      </c>
    </row>
    <row r="242" spans="3:11" x14ac:dyDescent="0.2">
      <c r="C242" s="88" t="s">
        <v>161</v>
      </c>
      <c r="D242" s="50">
        <f>347.92618727841*Deflactores!$T$5</f>
        <v>541.14514451367995</v>
      </c>
      <c r="E242" s="50">
        <f>382.1185081361*Deflactores!$U$5</f>
        <v>584.90895469552709</v>
      </c>
      <c r="F242" s="50">
        <f>380.74700448393*Deflactores!$V$5</f>
        <v>551.79851685416168</v>
      </c>
      <c r="G242" s="50">
        <f>430.81910690281*Deflactores!$W$5</f>
        <v>551.94981643719041</v>
      </c>
      <c r="H242" s="50">
        <f>492.689909608969*Deflactores!$X$5</f>
        <v>577.61387734882658</v>
      </c>
      <c r="I242" s="50">
        <f>549.960979743179*Deflactores!$Y$5</f>
        <v>612.88654613382096</v>
      </c>
      <c r="J242" s="50">
        <f>547.9046920913*Deflactores!$Z$5</f>
        <v>580.96009086940819</v>
      </c>
      <c r="K242" s="50">
        <f>221.11016612488*Deflactores!$AA$5</f>
        <v>221.11016612488001</v>
      </c>
    </row>
    <row r="243" spans="3:11" x14ac:dyDescent="0.2">
      <c r="C243" s="87" t="s">
        <v>140</v>
      </c>
      <c r="D243" s="42">
        <f>441.82987522844*Deflactores!$T$5</f>
        <v>687.19774602545976</v>
      </c>
      <c r="E243" s="42">
        <f>918.47537870202*Deflactores!$U$5</f>
        <v>1405.9106330406598</v>
      </c>
      <c r="F243" s="42">
        <f>940.44410758597*Deflactores!$V$5</f>
        <v>1362.9408968129553</v>
      </c>
      <c r="G243" s="42">
        <f>627.11512782733*Deflactores!$W$5</f>
        <v>803.43715992003581</v>
      </c>
      <c r="H243" s="42">
        <f>1419.61396362005*Deflactores!$X$5</f>
        <v>1664.3099642854668</v>
      </c>
      <c r="I243" s="42">
        <f>4131.92321441098*Deflactores!$Y$5</f>
        <v>4604.6905890543039</v>
      </c>
      <c r="J243" s="42">
        <f>3369.26539849057*Deflactores!$Z$5</f>
        <v>3572.5350783162517</v>
      </c>
      <c r="K243" s="42">
        <f>1726.18344831766*Deflactores!$AA$5</f>
        <v>1726.1834483176599</v>
      </c>
    </row>
    <row r="244" spans="3:11" x14ac:dyDescent="0.2">
      <c r="C244" s="88" t="s">
        <v>141</v>
      </c>
      <c r="D244" s="50">
        <f>15.66657665377*Deflactores!$T$5</f>
        <v>24.366926656644605</v>
      </c>
      <c r="E244" s="50">
        <f>10.24848976612*Deflactores!$U$5</f>
        <v>15.687367423129384</v>
      </c>
      <c r="F244" s="50">
        <f>11.5963572428999*Deflactores!$V$5</f>
        <v>16.806048773033101</v>
      </c>
      <c r="G244" s="50">
        <f>15.18933317819*Deflactores!$W$5</f>
        <v>19.460022838301402</v>
      </c>
      <c r="H244" s="50">
        <f>19.92280871214*Deflactores!$X$5</f>
        <v>23.356863137366513</v>
      </c>
      <c r="I244" s="50">
        <f>16.9207066514599*Deflactores!$Y$5</f>
        <v>18.856744095916834</v>
      </c>
      <c r="J244" s="50">
        <f>17.07866379906*Deflactores!$Z$5</f>
        <v>18.109029208635821</v>
      </c>
      <c r="K244" s="50">
        <f>6.348155179*Deflactores!$AA$5</f>
        <v>6.3481551789999999</v>
      </c>
    </row>
    <row r="245" spans="3:11" x14ac:dyDescent="0.2">
      <c r="C245" s="87" t="s">
        <v>142</v>
      </c>
      <c r="D245" s="42">
        <f>110.72861228309*Deflactores!$T$5</f>
        <v>172.22115806932314</v>
      </c>
      <c r="E245" s="42">
        <f>271.357245933949*Deflactores!$U$5</f>
        <v>415.36664591957361</v>
      </c>
      <c r="F245" s="42">
        <f>268.0264349543*Deflactores!$V$5</f>
        <v>388.43795891697778</v>
      </c>
      <c r="G245" s="42">
        <f>171.74928832994*Deflactores!$W$5</f>
        <v>220.03895985122605</v>
      </c>
      <c r="H245" s="42">
        <f>270.295688310549*Deflactores!$X$5</f>
        <v>316.88601189262909</v>
      </c>
      <c r="I245" s="42">
        <f>231.93265660341*Deflactores!$Y$5</f>
        <v>258.46998255710071</v>
      </c>
      <c r="J245" s="42">
        <f>207.58117105576*Deflactores!$Z$5</f>
        <v>220.10466006236888</v>
      </c>
      <c r="K245" s="42">
        <f>96.39306191623*Deflactores!$AA$5</f>
        <v>96.393061916229996</v>
      </c>
    </row>
    <row r="246" spans="3:11" x14ac:dyDescent="0.2">
      <c r="C246" s="88" t="s">
        <v>143</v>
      </c>
      <c r="D246" s="50">
        <f>0.067335387*Deflactores!$T$5</f>
        <v>0.1047297359650648</v>
      </c>
      <c r="E246" s="50">
        <f>0*Deflactores!$U$5</f>
        <v>0</v>
      </c>
      <c r="F246" s="50">
        <f>0.01336564379*Deflactores!$V$5</f>
        <v>1.9370191579364912E-2</v>
      </c>
      <c r="G246" s="50">
        <f>0*Deflactores!$W$5</f>
        <v>0</v>
      </c>
      <c r="H246" s="50">
        <f>0.003899899*Deflactores!$X$5</f>
        <v>4.5721167385925372E-3</v>
      </c>
      <c r="I246" s="50">
        <f>0*Deflactores!$Y$5</f>
        <v>0</v>
      </c>
      <c r="J246" s="50">
        <f>0*Deflactores!$Z$5</f>
        <v>0</v>
      </c>
      <c r="K246" s="50">
        <f>0*Deflactores!$AA$5</f>
        <v>0</v>
      </c>
    </row>
    <row r="247" spans="3:11" x14ac:dyDescent="0.2">
      <c r="C247" s="87" t="s">
        <v>144</v>
      </c>
      <c r="D247" s="42">
        <f>0*Deflactores!$T$5</f>
        <v>0</v>
      </c>
      <c r="E247" s="42">
        <f>0*Deflactores!$U$5</f>
        <v>0</v>
      </c>
      <c r="F247" s="42">
        <f>0*Deflactores!$V$5</f>
        <v>0</v>
      </c>
      <c r="G247" s="42">
        <f>0*Deflactores!$W$5</f>
        <v>0</v>
      </c>
      <c r="H247" s="42">
        <f>0*Deflactores!$X$5</f>
        <v>0</v>
      </c>
      <c r="I247" s="42">
        <f>0*Deflactores!$Y$5</f>
        <v>0</v>
      </c>
      <c r="J247" s="42">
        <f>0*Deflactores!$Z$5</f>
        <v>0</v>
      </c>
      <c r="K247" s="42">
        <f>0*Deflactores!$AA$5</f>
        <v>0</v>
      </c>
    </row>
    <row r="248" spans="3:11" x14ac:dyDescent="0.2">
      <c r="C248" s="88" t="s">
        <v>145</v>
      </c>
      <c r="D248" s="50">
        <f>42.52678396565*Deflactores!$T$5</f>
        <v>66.143807210402983</v>
      </c>
      <c r="E248" s="50">
        <f>37.50261498622*Deflactores!$U$5</f>
        <v>57.405267902191987</v>
      </c>
      <c r="F248" s="50">
        <f>43.40157600079*Deflactores!$V$5</f>
        <v>62.899838959546955</v>
      </c>
      <c r="G248" s="50">
        <f>49.24727896457*Deflactores!$W$5</f>
        <v>63.093827894354767</v>
      </c>
      <c r="H248" s="50">
        <f>51.5333397631499*Deflactores!$X$5</f>
        <v>60.41603778115126</v>
      </c>
      <c r="I248" s="50">
        <f>59.5504648490499*Deflactores!$Y$5</f>
        <v>66.364124122117545</v>
      </c>
      <c r="J248" s="50">
        <f>68.40726089793*Deflactores!$Z$5</f>
        <v>72.534309490392786</v>
      </c>
      <c r="K248" s="50">
        <f>31.29521945053*Deflactores!$AA$5</f>
        <v>31.295219450529999</v>
      </c>
    </row>
    <row r="249" spans="3:11" x14ac:dyDescent="0.2">
      <c r="C249" s="87" t="s">
        <v>146</v>
      </c>
      <c r="D249" s="42">
        <f>190.99201701782*Deflactores!$T$5</f>
        <v>297.05841764466953</v>
      </c>
      <c r="E249" s="42">
        <f>115.68179876632*Deflactores!$U$5</f>
        <v>177.07417608153841</v>
      </c>
      <c r="F249" s="42">
        <f>213.840864598989*Deflactores!$V$5</f>
        <v>309.90939006458802</v>
      </c>
      <c r="G249" s="42">
        <f>190.46715052002*Deflactores!$W$5</f>
        <v>244.01960610014456</v>
      </c>
      <c r="H249" s="42">
        <f>198.532640218479*Deflactores!$X$5</f>
        <v>232.753311688297</v>
      </c>
      <c r="I249" s="42">
        <f>321.01488957699*Deflactores!$Y$5</f>
        <v>357.74484768400788</v>
      </c>
      <c r="J249" s="42">
        <f>402.98961933042*Deflactores!$Z$5</f>
        <v>427.30221011981456</v>
      </c>
      <c r="K249" s="42">
        <f>236.27286601864*Deflactores!$AA$5</f>
        <v>236.27286601864</v>
      </c>
    </row>
    <row r="250" spans="3:11" x14ac:dyDescent="0.2">
      <c r="C250" s="88" t="s">
        <v>162</v>
      </c>
      <c r="D250" s="50">
        <f>449.86175485462*Deflactores!$T$5</f>
        <v>699.69008727469054</v>
      </c>
      <c r="E250" s="50">
        <f>367.71861572415*Deflactores!$U$5</f>
        <v>562.86703356617465</v>
      </c>
      <c r="F250" s="50">
        <f>369.09569165557*Deflactores!$V$5</f>
        <v>534.91282356602369</v>
      </c>
      <c r="G250" s="50">
        <f>434.699942769329*Deflactores!$W$5</f>
        <v>556.9218026138185</v>
      </c>
      <c r="H250" s="50">
        <f>517.4973184685*Deflactores!$X$5</f>
        <v>606.69728932635996</v>
      </c>
      <c r="I250" s="50">
        <f>558.790369519*Deflactores!$Y$5</f>
        <v>622.72617913232796</v>
      </c>
      <c r="J250" s="50">
        <f>625.68953920662*Deflactores!$Z$5</f>
        <v>663.43774163727028</v>
      </c>
      <c r="K250" s="50">
        <f>264.02127997697*Deflactores!$AA$5</f>
        <v>264.02127997696999</v>
      </c>
    </row>
    <row r="251" spans="3:11" x14ac:dyDescent="0.2">
      <c r="C251" s="87" t="s">
        <v>148</v>
      </c>
      <c r="D251" s="42">
        <f>0*Deflactores!$T$5</f>
        <v>0</v>
      </c>
      <c r="E251" s="42">
        <f>0*Deflactores!$U$5</f>
        <v>0</v>
      </c>
      <c r="F251" s="42">
        <f>0*Deflactores!$V$5</f>
        <v>0</v>
      </c>
      <c r="G251" s="42">
        <f>0*Deflactores!$W$5</f>
        <v>0</v>
      </c>
      <c r="H251" s="42">
        <f>0*Deflactores!$X$5</f>
        <v>0</v>
      </c>
      <c r="I251" s="42">
        <f>0*Deflactores!$Y$5</f>
        <v>0</v>
      </c>
      <c r="J251" s="42">
        <f>0*Deflactores!$Z$5</f>
        <v>0</v>
      </c>
      <c r="K251" s="42">
        <f>0*Deflactores!$AA$5</f>
        <v>0</v>
      </c>
    </row>
    <row r="252" spans="3:11" x14ac:dyDescent="0.2">
      <c r="C252" s="88" t="s">
        <v>149</v>
      </c>
      <c r="D252" s="50">
        <f>386.02466532688*Deflactores!$T$5</f>
        <v>600.40140967314323</v>
      </c>
      <c r="E252" s="50">
        <f>239.70588712381*Deflactores!$U$5</f>
        <v>366.91789820872577</v>
      </c>
      <c r="F252" s="50">
        <f>635.74519314607*Deflactores!$V$5</f>
        <v>921.35525833131055</v>
      </c>
      <c r="G252" s="50">
        <f>679.22957799497*Deflactores!$W$5</f>
        <v>870.2043035839846</v>
      </c>
      <c r="H252" s="50">
        <f>873.89198747422*Deflactores!$X$5</f>
        <v>1024.5229898653224</v>
      </c>
      <c r="I252" s="50">
        <f>630.11494940374*Deflactores!$Y$5</f>
        <v>702.21159178909056</v>
      </c>
      <c r="J252" s="50">
        <f>558.336751096969*Deflactores!$Z$5</f>
        <v>592.02152187259173</v>
      </c>
      <c r="K252" s="50">
        <f>335.76485080709*Deflactores!$AA$5</f>
        <v>335.76485080709</v>
      </c>
    </row>
    <row r="253" spans="3:11" x14ac:dyDescent="0.2">
      <c r="C253" s="87" t="s">
        <v>163</v>
      </c>
      <c r="D253" s="42">
        <f>77.0240986925*Deflactores!$T$5</f>
        <v>119.79902215476416</v>
      </c>
      <c r="E253" s="42">
        <f>75.23271603567*Deflactores!$U$5</f>
        <v>115.15874881322432</v>
      </c>
      <c r="F253" s="42">
        <f>80.20836066489*Deflactores!$V$5</f>
        <v>116.24216062889074</v>
      </c>
      <c r="G253" s="42">
        <f>89.68235256408*Deflactores!$W$5</f>
        <v>114.8977778429086</v>
      </c>
      <c r="H253" s="42">
        <f>98.22651245726*Deflactores!$X$5</f>
        <v>115.15761864074091</v>
      </c>
      <c r="I253" s="42">
        <f>109.238246795799*Deflactores!$Y$5</f>
        <v>121.73709454015415</v>
      </c>
      <c r="J253" s="42">
        <f>113.88944135124*Deflactores!$Z$5</f>
        <v>120.76045551633473</v>
      </c>
      <c r="K253" s="42">
        <f>47.80021950135*Deflactores!$AA$5</f>
        <v>47.80021950135</v>
      </c>
    </row>
    <row r="254" spans="3:11" x14ac:dyDescent="0.2">
      <c r="C254" s="88" t="s">
        <v>150</v>
      </c>
      <c r="D254" s="50">
        <f>743.897461882489*Deflactores!$T$5</f>
        <v>1157.0169600129414</v>
      </c>
      <c r="E254" s="50">
        <f>672.86419500216*Deflactores!$U$5</f>
        <v>1029.953494978537</v>
      </c>
      <c r="F254" s="50">
        <f>616.01746409425*Deflactores!$V$5</f>
        <v>892.76479930340633</v>
      </c>
      <c r="G254" s="50">
        <f>693.599905134259*Deflactores!$W$5</f>
        <v>888.61504558587615</v>
      </c>
      <c r="H254" s="50">
        <f>968.605788453109*Deflactores!$X$5</f>
        <v>1135.5624180226414</v>
      </c>
      <c r="I254" s="50">
        <f>858.29699852552*Deflactores!$Y$5</f>
        <v>956.50182896426747</v>
      </c>
      <c r="J254" s="50">
        <f>947.908364953909*Deflactores!$Z$5</f>
        <v>1005.0962106886461</v>
      </c>
      <c r="K254" s="50">
        <f>718.03323226147*Deflactores!$AA$5</f>
        <v>718.03323226146995</v>
      </c>
    </row>
    <row r="255" spans="3:11" x14ac:dyDescent="0.2">
      <c r="C255" s="87" t="s">
        <v>151</v>
      </c>
      <c r="D255" s="42">
        <f>0*Deflactores!$T$5</f>
        <v>0</v>
      </c>
      <c r="E255" s="42">
        <f>0*Deflactores!$U$5</f>
        <v>0</v>
      </c>
      <c r="F255" s="42">
        <f>0*Deflactores!$V$5</f>
        <v>0</v>
      </c>
      <c r="G255" s="42">
        <f>0*Deflactores!$W$5</f>
        <v>0</v>
      </c>
      <c r="H255" s="42">
        <f>0*Deflactores!$X$5</f>
        <v>0</v>
      </c>
      <c r="I255" s="42">
        <f>0*Deflactores!$Y$5</f>
        <v>0</v>
      </c>
      <c r="J255" s="42">
        <f>0*Deflactores!$Z$5</f>
        <v>0</v>
      </c>
      <c r="K255" s="42">
        <f>0*Deflactores!$AA$5</f>
        <v>0</v>
      </c>
    </row>
    <row r="256" spans="3:11" x14ac:dyDescent="0.2">
      <c r="C256" s="79" t="s">
        <v>179</v>
      </c>
      <c r="D256" s="44">
        <f t="shared" ref="D256:K256" si="11">+SUM(D225:D255)</f>
        <v>8937.8508544663619</v>
      </c>
      <c r="E256" s="44">
        <f t="shared" si="11"/>
        <v>9028.3948151632794</v>
      </c>
      <c r="F256" s="44">
        <f t="shared" si="11"/>
        <v>9451.9409494122228</v>
      </c>
      <c r="G256" s="44">
        <f t="shared" si="11"/>
        <v>9293.123341592709</v>
      </c>
      <c r="H256" s="44">
        <f t="shared" si="11"/>
        <v>10181.354111332123</v>
      </c>
      <c r="I256" s="44">
        <f t="shared" si="11"/>
        <v>13039.395613273249</v>
      </c>
      <c r="J256" s="44">
        <f t="shared" si="11"/>
        <v>12199.979574179355</v>
      </c>
      <c r="K256" s="44">
        <f t="shared" si="11"/>
        <v>5689.877356755138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Junio</v>
      </c>
      <c r="D257" s="121">
        <f>+D256-'C7 Ejec. Prop 19-26'!D112</f>
        <v>0</v>
      </c>
      <c r="E257" s="121">
        <f>+E256-'C7 Ejec. Prop 19-26'!E112</f>
        <v>1.6370904631912708E-11</v>
      </c>
      <c r="F257" s="121">
        <f>+F256-'C7 Ejec. Prop 19-26'!F112</f>
        <v>0</v>
      </c>
      <c r="G257" s="121">
        <f>+G256-'C7 Ejec. Prop 19-26'!G112</f>
        <v>0</v>
      </c>
      <c r="H257" s="121">
        <f>+H256-'C7 Ejec. Prop 19-26'!H112</f>
        <v>-1.8189894035458565E-11</v>
      </c>
      <c r="I257" s="121">
        <f>+I256-'C7 Ejec. Prop 19-26'!I112</f>
        <v>0</v>
      </c>
      <c r="J257" s="121">
        <f>+J256-'C7 Ejec. Prop 19-26'!J112</f>
        <v>0</v>
      </c>
      <c r="K257" s="121">
        <f>+K256-'C7 Ejec. Prop 19-26'!K112</f>
        <v>8.1854523159563541E-12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D262" s="131" t="s">
        <v>200</v>
      </c>
      <c r="E262" s="131"/>
      <c r="F262" s="131"/>
      <c r="G262" s="131"/>
      <c r="H262" s="131"/>
      <c r="I262" s="131"/>
      <c r="J262" s="131"/>
      <c r="K262" s="131"/>
    </row>
    <row r="263" spans="1:11" ht="3.75" customHeight="1" x14ac:dyDescent="0.2">
      <c r="D263" s="28"/>
      <c r="E263" s="28"/>
      <c r="F263" s="28"/>
    </row>
    <row r="264" spans="1:11" x14ac:dyDescent="0.2">
      <c r="E264" s="29"/>
      <c r="F264" s="29"/>
    </row>
    <row r="265" spans="1:11" ht="13.5" customHeight="1" x14ac:dyDescent="0.2">
      <c r="C265" s="181" t="s">
        <v>120</v>
      </c>
      <c r="D265" s="155">
        <v>2019</v>
      </c>
      <c r="E265" s="155">
        <v>2020</v>
      </c>
      <c r="F265" s="155">
        <v>2021</v>
      </c>
      <c r="G265" s="155">
        <v>2022</v>
      </c>
      <c r="H265" s="155">
        <v>2023</v>
      </c>
      <c r="I265" s="155">
        <v>2024</v>
      </c>
      <c r="J265" s="155">
        <v>2025</v>
      </c>
      <c r="K265" s="155" t="s">
        <v>36</v>
      </c>
    </row>
    <row r="266" spans="1:11" ht="12" customHeight="1" thickBot="1" x14ac:dyDescent="0.25">
      <c r="C266" s="162"/>
      <c r="D266" s="156"/>
      <c r="E266" s="156"/>
      <c r="F266" s="156"/>
      <c r="G266" s="156"/>
      <c r="H266" s="156"/>
      <c r="I266" s="156"/>
      <c r="J266" s="156"/>
      <c r="K266" s="156"/>
    </row>
    <row r="267" spans="1:11" x14ac:dyDescent="0.2">
      <c r="C267" s="87" t="s">
        <v>123</v>
      </c>
      <c r="D267" s="47">
        <f t="shared" ref="D267:K276" si="12">+IFERROR(IF(D225&gt;0,+((D225/D15)*100)," "),"")</f>
        <v>77.405543089732546</v>
      </c>
      <c r="E267" s="47">
        <f t="shared" si="12"/>
        <v>70.512850103813818</v>
      </c>
      <c r="F267" s="47">
        <f t="shared" si="12"/>
        <v>97.539421423735618</v>
      </c>
      <c r="G267" s="47">
        <f t="shared" si="12"/>
        <v>97.304591169021379</v>
      </c>
      <c r="H267" s="47">
        <f t="shared" si="12"/>
        <v>71.251767337145182</v>
      </c>
      <c r="I267" s="47">
        <f t="shared" si="12"/>
        <v>81.146695285489599</v>
      </c>
      <c r="J267" s="47">
        <f t="shared" si="12"/>
        <v>95.154203866953139</v>
      </c>
      <c r="K267" s="47">
        <f t="shared" si="12"/>
        <v>34.227522244676919</v>
      </c>
    </row>
    <row r="268" spans="1:11" x14ac:dyDescent="0.2">
      <c r="C268" s="88" t="s">
        <v>124</v>
      </c>
      <c r="D268" s="116">
        <f t="shared" si="12"/>
        <v>96.347314982985267</v>
      </c>
      <c r="E268" s="116">
        <f t="shared" si="12"/>
        <v>99.558912497848738</v>
      </c>
      <c r="F268" s="116">
        <f t="shared" si="12"/>
        <v>99.798729009035412</v>
      </c>
      <c r="G268" s="116">
        <f t="shared" si="12"/>
        <v>99.316248577962781</v>
      </c>
      <c r="H268" s="116">
        <f t="shared" si="12"/>
        <v>95.388278189527568</v>
      </c>
      <c r="I268" s="116">
        <f t="shared" si="12"/>
        <v>99.051706381459127</v>
      </c>
      <c r="J268" s="116">
        <f t="shared" si="12"/>
        <v>98.691073123552314</v>
      </c>
      <c r="K268" s="116">
        <f t="shared" si="12"/>
        <v>98.984274790808996</v>
      </c>
    </row>
    <row r="269" spans="1:11" x14ac:dyDescent="0.2">
      <c r="C269" s="87" t="s">
        <v>125</v>
      </c>
      <c r="D269" s="47" t="str">
        <f t="shared" si="12"/>
        <v xml:space="preserve"> </v>
      </c>
      <c r="E269" s="47" t="str">
        <f t="shared" si="12"/>
        <v xml:space="preserve"> </v>
      </c>
      <c r="F269" s="47" t="str">
        <f t="shared" si="12"/>
        <v xml:space="preserve"> </v>
      </c>
      <c r="G269" s="47" t="str">
        <f t="shared" si="12"/>
        <v xml:space="preserve"> </v>
      </c>
      <c r="H269" s="47" t="str">
        <f t="shared" si="12"/>
        <v xml:space="preserve"> </v>
      </c>
      <c r="I269" s="47" t="str">
        <f t="shared" si="12"/>
        <v xml:space="preserve"> </v>
      </c>
      <c r="J269" s="47" t="str">
        <f t="shared" si="12"/>
        <v xml:space="preserve"> </v>
      </c>
      <c r="K269" s="47" t="str">
        <f t="shared" si="12"/>
        <v xml:space="preserve"> </v>
      </c>
    </row>
    <row r="270" spans="1:11" x14ac:dyDescent="0.2">
      <c r="C270" s="88" t="s">
        <v>126</v>
      </c>
      <c r="D270" s="116">
        <f t="shared" si="12"/>
        <v>92.779090626337549</v>
      </c>
      <c r="E270" s="116">
        <f t="shared" si="12"/>
        <v>87.033276920349621</v>
      </c>
      <c r="F270" s="116">
        <f t="shared" si="12"/>
        <v>86.476102737307201</v>
      </c>
      <c r="G270" s="116">
        <f t="shared" si="12"/>
        <v>90.341222834350617</v>
      </c>
      <c r="H270" s="116">
        <f t="shared" si="12"/>
        <v>85.990192408740057</v>
      </c>
      <c r="I270" s="116">
        <f t="shared" si="12"/>
        <v>85.875412197589213</v>
      </c>
      <c r="J270" s="116">
        <f t="shared" si="12"/>
        <v>85.372346927521463</v>
      </c>
      <c r="K270" s="116">
        <f t="shared" si="12"/>
        <v>32.999794643537527</v>
      </c>
    </row>
    <row r="271" spans="1:11" x14ac:dyDescent="0.2">
      <c r="C271" s="87" t="s">
        <v>127</v>
      </c>
      <c r="D271" s="47" t="str">
        <f t="shared" si="12"/>
        <v xml:space="preserve"> </v>
      </c>
      <c r="E271" s="47" t="str">
        <f t="shared" si="12"/>
        <v xml:space="preserve"> </v>
      </c>
      <c r="F271" s="47" t="str">
        <f t="shared" si="12"/>
        <v xml:space="preserve"> </v>
      </c>
      <c r="G271" s="47" t="str">
        <f t="shared" si="12"/>
        <v xml:space="preserve"> </v>
      </c>
      <c r="H271" s="47" t="str">
        <f t="shared" si="12"/>
        <v xml:space="preserve"> </v>
      </c>
      <c r="I271" s="47" t="str">
        <f t="shared" si="12"/>
        <v xml:space="preserve"> </v>
      </c>
      <c r="J271" s="47" t="str">
        <f t="shared" si="12"/>
        <v xml:space="preserve"> </v>
      </c>
      <c r="K271" s="47" t="str">
        <f t="shared" si="12"/>
        <v xml:space="preserve"> </v>
      </c>
    </row>
    <row r="272" spans="1:11" x14ac:dyDescent="0.2">
      <c r="C272" s="88" t="s">
        <v>128</v>
      </c>
      <c r="D272" s="116">
        <f t="shared" si="12"/>
        <v>94.920249358751946</v>
      </c>
      <c r="E272" s="116">
        <f t="shared" si="12"/>
        <v>89.509059571460455</v>
      </c>
      <c r="F272" s="116">
        <f t="shared" si="12"/>
        <v>71.993232046042337</v>
      </c>
      <c r="G272" s="116">
        <f t="shared" si="12"/>
        <v>83.18911348732469</v>
      </c>
      <c r="H272" s="116">
        <f t="shared" si="12"/>
        <v>82.1242082041245</v>
      </c>
      <c r="I272" s="116">
        <f t="shared" si="12"/>
        <v>64.832483470786116</v>
      </c>
      <c r="J272" s="116">
        <f t="shared" si="12"/>
        <v>94.304240296022229</v>
      </c>
      <c r="K272" s="116">
        <f t="shared" si="12"/>
        <v>20.156329419475153</v>
      </c>
    </row>
    <row r="273" spans="3:11" x14ac:dyDescent="0.2">
      <c r="C273" s="87" t="s">
        <v>129</v>
      </c>
      <c r="D273" s="47">
        <f t="shared" si="12"/>
        <v>84.008729384066257</v>
      </c>
      <c r="E273" s="47">
        <f t="shared" si="12"/>
        <v>90.018987801929981</v>
      </c>
      <c r="F273" s="47">
        <f t="shared" si="12"/>
        <v>72.132244194781521</v>
      </c>
      <c r="G273" s="47">
        <f t="shared" si="12"/>
        <v>88.389030249262262</v>
      </c>
      <c r="H273" s="47">
        <f t="shared" si="12"/>
        <v>82.20339287313449</v>
      </c>
      <c r="I273" s="47">
        <f t="shared" si="12"/>
        <v>79.912727268739957</v>
      </c>
      <c r="J273" s="47">
        <f t="shared" si="12"/>
        <v>89.318850999921438</v>
      </c>
      <c r="K273" s="47">
        <f t="shared" si="12"/>
        <v>29.92107397613934</v>
      </c>
    </row>
    <row r="274" spans="3:11" x14ac:dyDescent="0.2">
      <c r="C274" s="88" t="s">
        <v>130</v>
      </c>
      <c r="D274" s="116" t="str">
        <f t="shared" si="12"/>
        <v xml:space="preserve"> </v>
      </c>
      <c r="E274" s="116" t="str">
        <f t="shared" si="12"/>
        <v xml:space="preserve"> </v>
      </c>
      <c r="F274" s="116" t="str">
        <f t="shared" si="12"/>
        <v xml:space="preserve"> </v>
      </c>
      <c r="G274" s="116" t="str">
        <f t="shared" si="12"/>
        <v xml:space="preserve"> </v>
      </c>
      <c r="H274" s="116" t="str">
        <f t="shared" si="12"/>
        <v xml:space="preserve"> </v>
      </c>
      <c r="I274" s="116" t="str">
        <f t="shared" si="12"/>
        <v xml:space="preserve"> </v>
      </c>
      <c r="J274" s="116" t="str">
        <f t="shared" si="12"/>
        <v xml:space="preserve"> </v>
      </c>
      <c r="K274" s="116" t="str">
        <f t="shared" si="12"/>
        <v xml:space="preserve"> </v>
      </c>
    </row>
    <row r="275" spans="3:11" x14ac:dyDescent="0.2">
      <c r="C275" s="87" t="s">
        <v>131</v>
      </c>
      <c r="D275" s="47">
        <f t="shared" si="12"/>
        <v>88.569016014943088</v>
      </c>
      <c r="E275" s="47">
        <f t="shared" si="12"/>
        <v>79.895050638075475</v>
      </c>
      <c r="F275" s="47">
        <f t="shared" si="12"/>
        <v>75.112470440774942</v>
      </c>
      <c r="G275" s="47">
        <f t="shared" si="12"/>
        <v>77.369822648035608</v>
      </c>
      <c r="H275" s="47">
        <f t="shared" si="12"/>
        <v>84.266195451352559</v>
      </c>
      <c r="I275" s="47">
        <f t="shared" si="12"/>
        <v>78.297178186663572</v>
      </c>
      <c r="J275" s="47">
        <f t="shared" si="12"/>
        <v>73.728440725390712</v>
      </c>
      <c r="K275" s="47">
        <f t="shared" si="12"/>
        <v>35.672676550789966</v>
      </c>
    </row>
    <row r="276" spans="3:11" x14ac:dyDescent="0.2">
      <c r="C276" s="88" t="s">
        <v>132</v>
      </c>
      <c r="D276" s="116">
        <f t="shared" si="12"/>
        <v>88.841453569348801</v>
      </c>
      <c r="E276" s="116">
        <f t="shared" si="12"/>
        <v>84.092904462068788</v>
      </c>
      <c r="F276" s="116">
        <f t="shared" si="12"/>
        <v>45.800711998531447</v>
      </c>
      <c r="G276" s="116">
        <f t="shared" si="12"/>
        <v>75.172679297610756</v>
      </c>
      <c r="H276" s="116">
        <f t="shared" si="12"/>
        <v>85.208432310036869</v>
      </c>
      <c r="I276" s="116">
        <f t="shared" si="12"/>
        <v>82.493031874580339</v>
      </c>
      <c r="J276" s="116">
        <f t="shared" si="12"/>
        <v>87.303575296987503</v>
      </c>
      <c r="K276" s="116">
        <f t="shared" si="12"/>
        <v>33.801856621826857</v>
      </c>
    </row>
    <row r="277" spans="3:11" x14ac:dyDescent="0.2">
      <c r="C277" s="87" t="s">
        <v>133</v>
      </c>
      <c r="D277" s="47">
        <f t="shared" ref="D277:K286" si="13">+IFERROR(IF(D235&gt;0,+((D235/D25)*100)," "),"")</f>
        <v>91.801521071811024</v>
      </c>
      <c r="E277" s="47">
        <f t="shared" si="13"/>
        <v>73.736577707245871</v>
      </c>
      <c r="F277" s="47">
        <f t="shared" si="13"/>
        <v>75.845374107731757</v>
      </c>
      <c r="G277" s="47">
        <f t="shared" si="13"/>
        <v>85.415479782608699</v>
      </c>
      <c r="H277" s="47">
        <f t="shared" si="13"/>
        <v>94.917939311534084</v>
      </c>
      <c r="I277" s="47">
        <f t="shared" si="13"/>
        <v>92.946149671518384</v>
      </c>
      <c r="J277" s="47">
        <f t="shared" si="13"/>
        <v>97.66650838149225</v>
      </c>
      <c r="K277" s="47">
        <f t="shared" si="13"/>
        <v>41.94222173581629</v>
      </c>
    </row>
    <row r="278" spans="3:11" x14ac:dyDescent="0.2">
      <c r="C278" s="88" t="s">
        <v>134</v>
      </c>
      <c r="D278" s="116">
        <f t="shared" si="13"/>
        <v>89.334309358258523</v>
      </c>
      <c r="E278" s="116">
        <f t="shared" si="13"/>
        <v>83.391739553199926</v>
      </c>
      <c r="F278" s="116">
        <f t="shared" si="13"/>
        <v>81.836258791759349</v>
      </c>
      <c r="G278" s="116">
        <f t="shared" si="13"/>
        <v>87.610374013903012</v>
      </c>
      <c r="H278" s="116">
        <f t="shared" si="13"/>
        <v>85.215094435373075</v>
      </c>
      <c r="I278" s="116">
        <f t="shared" si="13"/>
        <v>73.228765594021127</v>
      </c>
      <c r="J278" s="116">
        <f t="shared" si="13"/>
        <v>87.962383098219135</v>
      </c>
      <c r="K278" s="116">
        <f t="shared" si="13"/>
        <v>31.503625588877167</v>
      </c>
    </row>
    <row r="279" spans="3:11" x14ac:dyDescent="0.2">
      <c r="C279" s="87" t="s">
        <v>135</v>
      </c>
      <c r="D279" s="47" t="str">
        <f t="shared" si="13"/>
        <v xml:space="preserve"> </v>
      </c>
      <c r="E279" s="47" t="str">
        <f t="shared" si="13"/>
        <v xml:space="preserve"> </v>
      </c>
      <c r="F279" s="47" t="str">
        <f t="shared" si="13"/>
        <v xml:space="preserve"> </v>
      </c>
      <c r="G279" s="47" t="str">
        <f t="shared" si="13"/>
        <v xml:space="preserve"> </v>
      </c>
      <c r="H279" s="47" t="str">
        <f t="shared" si="13"/>
        <v xml:space="preserve"> </v>
      </c>
      <c r="I279" s="47">
        <f t="shared" si="13"/>
        <v>81.770583460984668</v>
      </c>
      <c r="J279" s="47">
        <f t="shared" si="13"/>
        <v>95.995424421834016</v>
      </c>
      <c r="K279" s="47">
        <f t="shared" si="13"/>
        <v>38.928959590268988</v>
      </c>
    </row>
    <row r="280" spans="3:11" x14ac:dyDescent="0.2">
      <c r="C280" s="88" t="s">
        <v>136</v>
      </c>
      <c r="D280" s="116">
        <f t="shared" si="13"/>
        <v>89.751585380917533</v>
      </c>
      <c r="E280" s="116">
        <f t="shared" si="13"/>
        <v>94.90491546581346</v>
      </c>
      <c r="F280" s="116">
        <f t="shared" si="13"/>
        <v>83.256481501690587</v>
      </c>
      <c r="G280" s="116">
        <f t="shared" si="13"/>
        <v>89.639377768612945</v>
      </c>
      <c r="H280" s="116">
        <f t="shared" si="13"/>
        <v>82.516132455101015</v>
      </c>
      <c r="I280" s="116">
        <f t="shared" si="13"/>
        <v>1.3009201506773245</v>
      </c>
      <c r="J280" s="116">
        <f t="shared" si="13"/>
        <v>86.041566397993051</v>
      </c>
      <c r="K280" s="116">
        <f t="shared" si="13"/>
        <v>0.3194594375867667</v>
      </c>
    </row>
    <row r="281" spans="3:11" x14ac:dyDescent="0.2">
      <c r="C281" s="87" t="s">
        <v>137</v>
      </c>
      <c r="D281" s="47">
        <f t="shared" si="13"/>
        <v>87.770454991377136</v>
      </c>
      <c r="E281" s="47">
        <f t="shared" si="13"/>
        <v>81.126335089078481</v>
      </c>
      <c r="F281" s="47">
        <f t="shared" si="13"/>
        <v>59.561129698266981</v>
      </c>
      <c r="G281" s="47">
        <f t="shared" si="13"/>
        <v>50.228566226900682</v>
      </c>
      <c r="H281" s="47">
        <f t="shared" si="13"/>
        <v>39.271816380548039</v>
      </c>
      <c r="I281" s="47">
        <f t="shared" si="13"/>
        <v>83.040454759973827</v>
      </c>
      <c r="J281" s="47">
        <f t="shared" si="13"/>
        <v>74.142906161878969</v>
      </c>
      <c r="K281" s="47">
        <f t="shared" si="13"/>
        <v>27.517462011547032</v>
      </c>
    </row>
    <row r="282" spans="3:11" x14ac:dyDescent="0.2">
      <c r="C282" s="88" t="s">
        <v>138</v>
      </c>
      <c r="D282" s="116" t="str">
        <f t="shared" si="13"/>
        <v xml:space="preserve"> </v>
      </c>
      <c r="E282" s="116" t="str">
        <f t="shared" si="13"/>
        <v xml:space="preserve"> </v>
      </c>
      <c r="F282" s="116" t="str">
        <f t="shared" si="13"/>
        <v xml:space="preserve"> </v>
      </c>
      <c r="G282" s="116" t="str">
        <f t="shared" si="13"/>
        <v xml:space="preserve"> </v>
      </c>
      <c r="H282" s="116" t="str">
        <f t="shared" si="13"/>
        <v xml:space="preserve"> </v>
      </c>
      <c r="I282" s="116" t="str">
        <f t="shared" si="13"/>
        <v xml:space="preserve"> </v>
      </c>
      <c r="J282" s="116" t="str">
        <f t="shared" si="13"/>
        <v xml:space="preserve"> </v>
      </c>
      <c r="K282" s="116" t="str">
        <f t="shared" si="13"/>
        <v xml:space="preserve"> </v>
      </c>
    </row>
    <row r="283" spans="3:11" x14ac:dyDescent="0.2">
      <c r="C283" s="87" t="s">
        <v>160</v>
      </c>
      <c r="D283" s="47">
        <f t="shared" si="13"/>
        <v>75.479327806688616</v>
      </c>
      <c r="E283" s="47">
        <f t="shared" si="13"/>
        <v>46.544666557463714</v>
      </c>
      <c r="F283" s="47">
        <f t="shared" si="13"/>
        <v>81.201338003968402</v>
      </c>
      <c r="G283" s="47">
        <f t="shared" si="13"/>
        <v>66.924871578796342</v>
      </c>
      <c r="H283" s="47">
        <f t="shared" si="13"/>
        <v>80.724658285339771</v>
      </c>
      <c r="I283" s="47">
        <f t="shared" si="13"/>
        <v>79.905592286641934</v>
      </c>
      <c r="J283" s="47">
        <f t="shared" si="13"/>
        <v>73.785621930395692</v>
      </c>
      <c r="K283" s="47">
        <f t="shared" si="13"/>
        <v>26.874821042065726</v>
      </c>
    </row>
    <row r="284" spans="3:11" x14ac:dyDescent="0.2">
      <c r="C284" s="88" t="s">
        <v>161</v>
      </c>
      <c r="D284" s="116">
        <f t="shared" si="13"/>
        <v>91.196907084570284</v>
      </c>
      <c r="E284" s="116">
        <f t="shared" si="13"/>
        <v>89.613333152675651</v>
      </c>
      <c r="F284" s="116">
        <f t="shared" si="13"/>
        <v>78.798479706966688</v>
      </c>
      <c r="G284" s="116">
        <f t="shared" si="13"/>
        <v>84.325906077983319</v>
      </c>
      <c r="H284" s="116">
        <f t="shared" si="13"/>
        <v>53.458336069754985</v>
      </c>
      <c r="I284" s="116">
        <f t="shared" si="13"/>
        <v>69.820949225486316</v>
      </c>
      <c r="J284" s="116">
        <f t="shared" si="13"/>
        <v>93.276091668016818</v>
      </c>
      <c r="K284" s="116">
        <f t="shared" si="13"/>
        <v>26.58202426797552</v>
      </c>
    </row>
    <row r="285" spans="3:11" x14ac:dyDescent="0.2">
      <c r="C285" s="87" t="s">
        <v>140</v>
      </c>
      <c r="D285" s="47">
        <f t="shared" si="13"/>
        <v>88.405625265662565</v>
      </c>
      <c r="E285" s="47">
        <f t="shared" si="13"/>
        <v>93.373033349672184</v>
      </c>
      <c r="F285" s="47">
        <f t="shared" si="13"/>
        <v>90.573718454327661</v>
      </c>
      <c r="G285" s="47">
        <f t="shared" si="13"/>
        <v>89.406107695409403</v>
      </c>
      <c r="H285" s="47">
        <f t="shared" si="13"/>
        <v>96.34382967087484</v>
      </c>
      <c r="I285" s="47">
        <f t="shared" si="13"/>
        <v>98.942378896040211</v>
      </c>
      <c r="J285" s="47">
        <f t="shared" si="13"/>
        <v>97.923233530344149</v>
      </c>
      <c r="K285" s="47">
        <f t="shared" si="13"/>
        <v>59.341320631097446</v>
      </c>
    </row>
    <row r="286" spans="3:11" x14ac:dyDescent="0.2">
      <c r="C286" s="88" t="s">
        <v>141</v>
      </c>
      <c r="D286" s="116">
        <f t="shared" si="13"/>
        <v>75.585355593042891</v>
      </c>
      <c r="E286" s="116">
        <f t="shared" si="13"/>
        <v>48.00903998744554</v>
      </c>
      <c r="F286" s="116">
        <f t="shared" si="13"/>
        <v>55.397149126288816</v>
      </c>
      <c r="G286" s="116">
        <f t="shared" si="13"/>
        <v>49.674188679059547</v>
      </c>
      <c r="H286" s="116">
        <f t="shared" si="13"/>
        <v>39.99359372104788</v>
      </c>
      <c r="I286" s="116">
        <f t="shared" si="13"/>
        <v>95.327924796957191</v>
      </c>
      <c r="J286" s="116">
        <f t="shared" si="13"/>
        <v>91.456912279425936</v>
      </c>
      <c r="K286" s="116">
        <f t="shared" si="13"/>
        <v>29.895153736355489</v>
      </c>
    </row>
    <row r="287" spans="3:11" x14ac:dyDescent="0.2">
      <c r="C287" s="87" t="s">
        <v>142</v>
      </c>
      <c r="D287" s="47">
        <f t="shared" ref="D287:K296" si="14">+IFERROR(IF(D245&gt;0,+((D245/D35)*100)," "),"")</f>
        <v>93.099970633664739</v>
      </c>
      <c r="E287" s="47">
        <f t="shared" si="14"/>
        <v>84.577850558902469</v>
      </c>
      <c r="F287" s="47">
        <f t="shared" si="14"/>
        <v>38.169930115271008</v>
      </c>
      <c r="G287" s="47">
        <f t="shared" si="14"/>
        <v>62.637914946895947</v>
      </c>
      <c r="H287" s="47">
        <f t="shared" si="14"/>
        <v>90.423272742601668</v>
      </c>
      <c r="I287" s="47">
        <f t="shared" si="14"/>
        <v>87.737072997726571</v>
      </c>
      <c r="J287" s="47">
        <f t="shared" si="14"/>
        <v>93.899348405011693</v>
      </c>
      <c r="K287" s="47">
        <f t="shared" si="14"/>
        <v>29.860029159868901</v>
      </c>
    </row>
    <row r="288" spans="3:11" x14ac:dyDescent="0.2">
      <c r="C288" s="88" t="s">
        <v>143</v>
      </c>
      <c r="D288" s="116">
        <f t="shared" si="14"/>
        <v>79.592656028368793</v>
      </c>
      <c r="E288" s="116" t="str">
        <f t="shared" si="14"/>
        <v xml:space="preserve"> </v>
      </c>
      <c r="F288" s="116">
        <f t="shared" si="14"/>
        <v>74.253576611111114</v>
      </c>
      <c r="G288" s="116" t="str">
        <f t="shared" si="14"/>
        <v xml:space="preserve"> </v>
      </c>
      <c r="H288" s="116">
        <f t="shared" si="14"/>
        <v>97.497475000000009</v>
      </c>
      <c r="I288" s="116" t="str">
        <f t="shared" si="14"/>
        <v xml:space="preserve"> </v>
      </c>
      <c r="J288" s="116" t="str">
        <f t="shared" si="14"/>
        <v xml:space="preserve"> </v>
      </c>
      <c r="K288" s="116" t="str">
        <f t="shared" si="14"/>
        <v xml:space="preserve"> </v>
      </c>
    </row>
    <row r="289" spans="1:11" x14ac:dyDescent="0.2">
      <c r="C289" s="87" t="s">
        <v>144</v>
      </c>
      <c r="D289" s="47" t="str">
        <f t="shared" si="14"/>
        <v xml:space="preserve"> </v>
      </c>
      <c r="E289" s="47" t="str">
        <f t="shared" si="14"/>
        <v xml:space="preserve"> </v>
      </c>
      <c r="F289" s="47" t="str">
        <f t="shared" si="14"/>
        <v xml:space="preserve"> </v>
      </c>
      <c r="G289" s="47" t="str">
        <f t="shared" si="14"/>
        <v xml:space="preserve"> </v>
      </c>
      <c r="H289" s="47" t="str">
        <f t="shared" si="14"/>
        <v xml:space="preserve"> </v>
      </c>
      <c r="I289" s="47" t="str">
        <f t="shared" si="14"/>
        <v xml:space="preserve"> </v>
      </c>
      <c r="J289" s="47" t="str">
        <f t="shared" si="14"/>
        <v xml:space="preserve"> </v>
      </c>
      <c r="K289" s="47" t="str">
        <f t="shared" si="14"/>
        <v xml:space="preserve"> </v>
      </c>
    </row>
    <row r="290" spans="1:11" x14ac:dyDescent="0.2">
      <c r="C290" s="88" t="s">
        <v>145</v>
      </c>
      <c r="D290" s="116">
        <f t="shared" si="14"/>
        <v>89.6788187803418</v>
      </c>
      <c r="E290" s="116">
        <f t="shared" si="14"/>
        <v>79.597868438295279</v>
      </c>
      <c r="F290" s="116">
        <f t="shared" si="14"/>
        <v>80.638125400347249</v>
      </c>
      <c r="G290" s="116">
        <f t="shared" si="14"/>
        <v>66.569493683076004</v>
      </c>
      <c r="H290" s="116">
        <f t="shared" si="14"/>
        <v>63.499684813771736</v>
      </c>
      <c r="I290" s="116">
        <f t="shared" si="14"/>
        <v>61.958139542546029</v>
      </c>
      <c r="J290" s="116">
        <f t="shared" si="14"/>
        <v>78.461322251552744</v>
      </c>
      <c r="K290" s="116">
        <f t="shared" si="14"/>
        <v>35.302609660174689</v>
      </c>
    </row>
    <row r="291" spans="1:11" x14ac:dyDescent="0.2">
      <c r="C291" s="87" t="s">
        <v>146</v>
      </c>
      <c r="D291" s="47">
        <f t="shared" si="14"/>
        <v>89.329587110661052</v>
      </c>
      <c r="E291" s="47">
        <f t="shared" si="14"/>
        <v>62.029068998077186</v>
      </c>
      <c r="F291" s="47">
        <f t="shared" si="14"/>
        <v>94.56294645655224</v>
      </c>
      <c r="G291" s="47">
        <f t="shared" si="14"/>
        <v>95.642446719736867</v>
      </c>
      <c r="H291" s="47">
        <f t="shared" si="14"/>
        <v>92.84297863254676</v>
      </c>
      <c r="I291" s="47">
        <f t="shared" si="14"/>
        <v>90.879076863427258</v>
      </c>
      <c r="J291" s="47">
        <f t="shared" si="14"/>
        <v>92.571166841193261</v>
      </c>
      <c r="K291" s="47">
        <f t="shared" si="14"/>
        <v>50.71196991176329</v>
      </c>
    </row>
    <row r="292" spans="1:11" x14ac:dyDescent="0.2">
      <c r="C292" s="88" t="s">
        <v>162</v>
      </c>
      <c r="D292" s="116">
        <f t="shared" si="14"/>
        <v>90.568925217043457</v>
      </c>
      <c r="E292" s="116">
        <f t="shared" si="14"/>
        <v>87.449945223278462</v>
      </c>
      <c r="F292" s="116">
        <f t="shared" si="14"/>
        <v>80.942011885390102</v>
      </c>
      <c r="G292" s="116">
        <f t="shared" si="14"/>
        <v>84.744723887752116</v>
      </c>
      <c r="H292" s="116">
        <f t="shared" si="14"/>
        <v>85.305969109571009</v>
      </c>
      <c r="I292" s="116">
        <f t="shared" si="14"/>
        <v>85.576620554244371</v>
      </c>
      <c r="J292" s="116">
        <f t="shared" si="14"/>
        <v>87.611410150479998</v>
      </c>
      <c r="K292" s="116">
        <f t="shared" si="14"/>
        <v>34.922380627142545</v>
      </c>
    </row>
    <row r="293" spans="1:11" x14ac:dyDescent="0.2">
      <c r="C293" s="87" t="s">
        <v>148</v>
      </c>
      <c r="D293" s="47" t="str">
        <f t="shared" si="14"/>
        <v xml:space="preserve"> </v>
      </c>
      <c r="E293" s="47" t="str">
        <f t="shared" si="14"/>
        <v xml:space="preserve"> </v>
      </c>
      <c r="F293" s="47" t="str">
        <f t="shared" si="14"/>
        <v xml:space="preserve"> </v>
      </c>
      <c r="G293" s="47" t="str">
        <f t="shared" si="14"/>
        <v xml:space="preserve"> </v>
      </c>
      <c r="H293" s="47" t="str">
        <f t="shared" si="14"/>
        <v xml:space="preserve"> </v>
      </c>
      <c r="I293" s="47" t="str">
        <f t="shared" si="14"/>
        <v xml:space="preserve"> </v>
      </c>
      <c r="J293" s="47" t="str">
        <f t="shared" si="14"/>
        <v xml:space="preserve"> </v>
      </c>
      <c r="K293" s="47" t="str">
        <f t="shared" si="14"/>
        <v xml:space="preserve"> </v>
      </c>
    </row>
    <row r="294" spans="1:11" x14ac:dyDescent="0.2">
      <c r="C294" s="88" t="s">
        <v>149</v>
      </c>
      <c r="D294" s="116">
        <f t="shared" si="14"/>
        <v>88.56840552492524</v>
      </c>
      <c r="E294" s="116">
        <f t="shared" si="14"/>
        <v>91.153267215305831</v>
      </c>
      <c r="F294" s="116">
        <f t="shared" si="14"/>
        <v>82.199874581984673</v>
      </c>
      <c r="G294" s="116">
        <f t="shared" si="14"/>
        <v>82.405960868745751</v>
      </c>
      <c r="H294" s="116">
        <f t="shared" si="14"/>
        <v>94.920979689037438</v>
      </c>
      <c r="I294" s="116">
        <f t="shared" si="14"/>
        <v>93.628095045106292</v>
      </c>
      <c r="J294" s="116">
        <f t="shared" si="14"/>
        <v>80.817211937636117</v>
      </c>
      <c r="K294" s="116">
        <f t="shared" si="14"/>
        <v>71.55651029121664</v>
      </c>
    </row>
    <row r="295" spans="1:11" x14ac:dyDescent="0.2">
      <c r="C295" s="87" t="s">
        <v>163</v>
      </c>
      <c r="D295" s="47">
        <f t="shared" si="14"/>
        <v>87.322196372554203</v>
      </c>
      <c r="E295" s="47">
        <f t="shared" si="14"/>
        <v>82.254530257712574</v>
      </c>
      <c r="F295" s="47">
        <f t="shared" si="14"/>
        <v>85.669081914312954</v>
      </c>
      <c r="G295" s="47">
        <f t="shared" si="14"/>
        <v>90.213573386696098</v>
      </c>
      <c r="H295" s="47">
        <f t="shared" si="14"/>
        <v>86.366970572542257</v>
      </c>
      <c r="I295" s="47">
        <f t="shared" si="14"/>
        <v>87.666773019681827</v>
      </c>
      <c r="J295" s="47">
        <f t="shared" si="14"/>
        <v>88.982942983303857</v>
      </c>
      <c r="K295" s="47">
        <f t="shared" si="14"/>
        <v>34.934764451568661</v>
      </c>
    </row>
    <row r="296" spans="1:11" x14ac:dyDescent="0.2">
      <c r="C296" s="88" t="s">
        <v>150</v>
      </c>
      <c r="D296" s="116">
        <f t="shared" si="14"/>
        <v>93.070724539364008</v>
      </c>
      <c r="E296" s="116">
        <f t="shared" si="14"/>
        <v>90.710970180116661</v>
      </c>
      <c r="F296" s="116">
        <f t="shared" si="14"/>
        <v>79.196911584689659</v>
      </c>
      <c r="G296" s="116">
        <f t="shared" si="14"/>
        <v>82.928660322563388</v>
      </c>
      <c r="H296" s="116">
        <f t="shared" si="14"/>
        <v>86.852007906258294</v>
      </c>
      <c r="I296" s="116">
        <f t="shared" si="14"/>
        <v>85.045991255023722</v>
      </c>
      <c r="J296" s="116">
        <f t="shared" si="14"/>
        <v>90.777578775074019</v>
      </c>
      <c r="K296" s="116">
        <f t="shared" si="14"/>
        <v>42.24339176682205</v>
      </c>
    </row>
    <row r="297" spans="1:11" x14ac:dyDescent="0.2">
      <c r="C297" s="87" t="s">
        <v>151</v>
      </c>
      <c r="D297" s="47" t="str">
        <f t="shared" ref="D297:K298" si="15">+IFERROR(IF(D255&gt;0,+((D255/D45)*100)," "),"")</f>
        <v xml:space="preserve"> </v>
      </c>
      <c r="E297" s="47" t="str">
        <f t="shared" si="15"/>
        <v xml:space="preserve"> </v>
      </c>
      <c r="F297" s="47" t="str">
        <f t="shared" si="15"/>
        <v xml:space="preserve"> </v>
      </c>
      <c r="G297" s="47" t="str">
        <f t="shared" si="15"/>
        <v xml:space="preserve"> </v>
      </c>
      <c r="H297" s="47" t="str">
        <f t="shared" si="15"/>
        <v xml:space="preserve"> </v>
      </c>
      <c r="I297" s="47" t="str">
        <f t="shared" si="15"/>
        <v xml:space="preserve"> </v>
      </c>
      <c r="J297" s="47" t="str">
        <f t="shared" si="15"/>
        <v xml:space="preserve"> </v>
      </c>
      <c r="K297" s="47" t="str">
        <f t="shared" si="15"/>
        <v xml:space="preserve"> </v>
      </c>
    </row>
    <row r="298" spans="1:11" x14ac:dyDescent="0.2">
      <c r="C298" s="91" t="s">
        <v>179</v>
      </c>
      <c r="D298" s="64">
        <f t="shared" si="15"/>
        <v>88.070493047418893</v>
      </c>
      <c r="E298" s="64">
        <f t="shared" si="15"/>
        <v>88.346184766888769</v>
      </c>
      <c r="F298" s="64">
        <f t="shared" si="15"/>
        <v>76.358807886629748</v>
      </c>
      <c r="G298" s="64">
        <f t="shared" si="15"/>
        <v>85.451922301375475</v>
      </c>
      <c r="H298" s="64">
        <f t="shared" si="15"/>
        <v>83.977280819168115</v>
      </c>
      <c r="I298" s="64">
        <f t="shared" si="15"/>
        <v>86.877245917030649</v>
      </c>
      <c r="J298" s="64">
        <f t="shared" si="15"/>
        <v>91.72507496884964</v>
      </c>
      <c r="K298" s="64">
        <f t="shared" si="15"/>
        <v>41.34836232048761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Junio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D2:K4"/>
    <mergeCell ref="K182:K183"/>
    <mergeCell ref="K223:K224"/>
    <mergeCell ref="I56:I57"/>
    <mergeCell ref="K56:K57"/>
    <mergeCell ref="D223:D224"/>
    <mergeCell ref="E223:E224"/>
    <mergeCell ref="G223:G224"/>
    <mergeCell ref="K13:K14"/>
    <mergeCell ref="E8:E9"/>
    <mergeCell ref="G8:G9"/>
    <mergeCell ref="E140:E141"/>
    <mergeCell ref="H182:H183"/>
    <mergeCell ref="J182:J183"/>
    <mergeCell ref="J98:J99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D140:D141"/>
    <mergeCell ref="E265:E266"/>
    <mergeCell ref="E13:E14"/>
    <mergeCell ref="G13:G14"/>
    <mergeCell ref="C56:C57"/>
    <mergeCell ref="C140:C141"/>
    <mergeCell ref="I98:I99"/>
    <mergeCell ref="D182:D183"/>
    <mergeCell ref="F182:F183"/>
    <mergeCell ref="G140:G141"/>
    <mergeCell ref="I140:I141"/>
    <mergeCell ref="C182:C183"/>
    <mergeCell ref="D6:K6"/>
    <mergeCell ref="F8:F9"/>
    <mergeCell ref="D11:K11"/>
    <mergeCell ref="F140:F141"/>
    <mergeCell ref="K98:K99"/>
    <mergeCell ref="I8:I9"/>
    <mergeCell ref="K8:K9"/>
    <mergeCell ref="E56:E57"/>
    <mergeCell ref="G56:G57"/>
    <mergeCell ref="K140:K141"/>
    <mergeCell ref="D13:D14"/>
    <mergeCell ref="H98:H99"/>
    <mergeCell ref="F56:F57"/>
    <mergeCell ref="E182:E183"/>
    <mergeCell ref="I13:I14"/>
    <mergeCell ref="F265:F266"/>
    <mergeCell ref="D138:K138"/>
    <mergeCell ref="H56:H57"/>
    <mergeCell ref="I223:I224"/>
    <mergeCell ref="D265:D266"/>
    <mergeCell ref="J223:J224"/>
    <mergeCell ref="K265:K266"/>
    <mergeCell ref="F223:F224"/>
    <mergeCell ref="H223:H224"/>
    <mergeCell ref="A9:C9"/>
    <mergeCell ref="D221:K221"/>
    <mergeCell ref="C13:C14"/>
    <mergeCell ref="C223:C224"/>
    <mergeCell ref="G265:G266"/>
    <mergeCell ref="H140:H141"/>
    <mergeCell ref="D53:K53"/>
    <mergeCell ref="J56:J57"/>
    <mergeCell ref="I265:I266"/>
    <mergeCell ref="G182:G183"/>
    <mergeCell ref="I182:I183"/>
    <mergeCell ref="H265:H266"/>
    <mergeCell ref="J13:J14"/>
    <mergeCell ref="E98:E99"/>
    <mergeCell ref="G98:G99"/>
    <mergeCell ref="D56:D57"/>
  </mergeCells>
  <pageMargins left="0.7" right="0.7" top="0.75" bottom="0.75" header="0.3" footer="0.3"/>
  <pageSetup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W276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5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ht="18.75" customHeight="1" x14ac:dyDescent="0.2">
      <c r="A5" s="169" t="s">
        <v>20</v>
      </c>
      <c r="B5" s="160"/>
      <c r="C5" s="16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8.7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6.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6.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D9" s="164" t="s">
        <v>201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81" t="s">
        <v>120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56">
        <f>262.922181*Deflactores!$A$5</f>
        <v>981.20338171843775</v>
      </c>
      <c r="E13" s="56">
        <f>493.945955*Deflactores!$B$5</f>
        <v>1712.3953958788973</v>
      </c>
      <c r="F13" s="56">
        <f>515.556184376*Deflactores!$C$5</f>
        <v>1670.5133896121608</v>
      </c>
      <c r="G13" s="56">
        <f>254.151945582*Deflactores!$D$5</f>
        <v>773.30891701165604</v>
      </c>
      <c r="H13" s="56">
        <f>376.084597*Deflactores!$E$5</f>
        <v>1084.6886279522996</v>
      </c>
      <c r="I13" s="56">
        <f>394.933873817*Deflactores!$F$5</f>
        <v>1086.3107959838974</v>
      </c>
      <c r="J13" s="56">
        <f>623.67785786*Deflactores!$G$5</f>
        <v>1641.970690342587</v>
      </c>
      <c r="K13" s="56">
        <f>983.5211*Deflactores!$H$5</f>
        <v>2449.8332627411537</v>
      </c>
      <c r="L13" s="56">
        <f>1141.862*Deflactores!$I$5</f>
        <v>2641.5213235020569</v>
      </c>
      <c r="M13" s="56">
        <f>1294.5843562*Deflactores!$J$5</f>
        <v>2936.046878233702</v>
      </c>
      <c r="N13" s="56">
        <f>1281.887140914*Deflactores!$K$5</f>
        <v>2817.8887700449845</v>
      </c>
      <c r="O13" s="56">
        <f>1455.900732593*Deflactores!$L$5</f>
        <v>3085.4273194723887</v>
      </c>
      <c r="P13" s="56">
        <f>1814.599771896*Deflactores!$M$5</f>
        <v>3754.0049261745171</v>
      </c>
      <c r="Q13" s="56">
        <f>2332.884857397*Deflactores!$N$5</f>
        <v>4734.3750721005345</v>
      </c>
      <c r="R13" s="56">
        <f>3041.7518627*Deflactores!$O$5</f>
        <v>5955.0023219749964</v>
      </c>
      <c r="S13" s="56">
        <f>3287.520335005*Deflactores!$P$5</f>
        <v>6028.0571019211384</v>
      </c>
      <c r="T13" s="56">
        <f>2058.131061735*Deflactores!$Q$5</f>
        <v>3568.6303186816308</v>
      </c>
      <c r="U13" s="56">
        <f>2247.726997853*Deflactores!$R$5</f>
        <v>3744.2349013981257</v>
      </c>
      <c r="V13" s="56">
        <f>1747.010924764*Deflactores!$S$5</f>
        <v>2820.4579058557256</v>
      </c>
    </row>
    <row r="14" spans="1:22" x14ac:dyDescent="0.2">
      <c r="C14" s="88" t="s">
        <v>124</v>
      </c>
      <c r="D14" s="57">
        <f>53.686588797*Deflactores!$A$5</f>
        <v>200.35381678407569</v>
      </c>
      <c r="E14" s="57">
        <f>64.611096275*Deflactores!$B$5</f>
        <v>223.99159799577296</v>
      </c>
      <c r="F14" s="57">
        <f>74.528059586*Deflactores!$C$5</f>
        <v>241.48700997722264</v>
      </c>
      <c r="G14" s="57">
        <f>102.637371817*Deflactores!$D$5</f>
        <v>312.2950511473411</v>
      </c>
      <c r="H14" s="57">
        <f>232.591600478*Deflactores!$E$5</f>
        <v>670.83168523307347</v>
      </c>
      <c r="I14" s="57">
        <f>197.507144775*Deflactores!$F$5</f>
        <v>543.26599432809041</v>
      </c>
      <c r="J14" s="57">
        <f>318.02874552*Deflactores!$G$5</f>
        <v>837.28141419360873</v>
      </c>
      <c r="K14" s="57">
        <f>397.71754106*Deflactores!$H$5</f>
        <v>990.66675973134534</v>
      </c>
      <c r="L14" s="57">
        <f>421.85385*Deflactores!$I$5</f>
        <v>975.89370709984053</v>
      </c>
      <c r="M14" s="57">
        <f>457.816001344*Deflactores!$J$5</f>
        <v>1038.301780114997</v>
      </c>
      <c r="N14" s="57">
        <f>520.64698*Deflactores!$K$5</f>
        <v>1144.5042478963935</v>
      </c>
      <c r="O14" s="57">
        <f>303.009760927*Deflactores!$L$5</f>
        <v>642.1554529791697</v>
      </c>
      <c r="P14" s="57">
        <f>178.187635091*Deflactores!$M$5</f>
        <v>368.63074176190236</v>
      </c>
      <c r="Q14" s="57">
        <f>296.791*Deflactores!$N$5</f>
        <v>602.3100143877665</v>
      </c>
      <c r="R14" s="57">
        <f>309.372865784*Deflactores!$O$5</f>
        <v>605.6760108184676</v>
      </c>
      <c r="S14" s="57">
        <f>432.90454634*Deflactores!$P$5</f>
        <v>793.78165276499089</v>
      </c>
      <c r="T14" s="57">
        <f>409.347570873*Deflactores!$Q$5</f>
        <v>709.775086463447</v>
      </c>
      <c r="U14" s="57">
        <f>431.309895503*Deflactores!$R$5</f>
        <v>718.47051069959446</v>
      </c>
      <c r="V14" s="57">
        <f>383.003248642*Deflactores!$S$5</f>
        <v>618.33874378701046</v>
      </c>
    </row>
    <row r="15" spans="1:22" x14ac:dyDescent="0.2">
      <c r="C15" s="87" t="s">
        <v>125</v>
      </c>
      <c r="D15" s="56">
        <f>37.053406*Deflactores!$A$5</f>
        <v>138.28018287808987</v>
      </c>
      <c r="E15" s="56">
        <f>69.87997*Deflactores!$B$5</f>
        <v>242.25755405195184</v>
      </c>
      <c r="F15" s="56">
        <f>82.556081358*Deflactores!$C$5</f>
        <v>267.49953444816032</v>
      </c>
      <c r="G15" s="56">
        <f>67.145532508*Deflactores!$D$5</f>
        <v>204.30392105410621</v>
      </c>
      <c r="H15" s="56">
        <f>87.37122363*Deflactores!$E$5</f>
        <v>251.99269908344121</v>
      </c>
      <c r="I15" s="56">
        <f>92.610522851*Deflactores!$F$5</f>
        <v>254.73583671724086</v>
      </c>
      <c r="J15" s="56">
        <f>123.25411641*Deflactores!$G$5</f>
        <v>324.49387782293599</v>
      </c>
      <c r="K15" s="56">
        <f>128.929340939*Deflactores!$H$5</f>
        <v>321.14754627598433</v>
      </c>
      <c r="L15" s="56">
        <f>190.567410275*Deflactores!$I$5</f>
        <v>440.84826170410906</v>
      </c>
      <c r="M15" s="56">
        <f>208.102311614*Deflactores!$J$5</f>
        <v>471.96471936442032</v>
      </c>
      <c r="N15" s="56">
        <f>330.373713918*Deflactores!$K$5</f>
        <v>726.23895556343939</v>
      </c>
      <c r="O15" s="56">
        <f>369.096924049*Deflactores!$L$5</f>
        <v>782.21111336741797</v>
      </c>
      <c r="P15" s="56">
        <f>408.25358631*Deflactores!$M$5</f>
        <v>844.58622660071092</v>
      </c>
      <c r="Q15" s="56">
        <f>412.522279571*Deflactores!$N$5</f>
        <v>837.17599301758901</v>
      </c>
      <c r="R15" s="56">
        <f>353.983072066*Deflactores!$O$5</f>
        <v>693.01182714547292</v>
      </c>
      <c r="S15" s="56">
        <f>333.381822119*Deflactores!$P$5</f>
        <v>611.29497484090575</v>
      </c>
      <c r="T15" s="56">
        <f>284.643625037*Deflactores!$Q$5</f>
        <v>493.54868074833729</v>
      </c>
      <c r="U15" s="56">
        <f>356.899597891*Deflactores!$R$5</f>
        <v>594.51878808897652</v>
      </c>
      <c r="V15" s="56">
        <f>311.078*Deflactores!$S$5</f>
        <v>502.21918592541778</v>
      </c>
    </row>
    <row r="16" spans="1:22" x14ac:dyDescent="0.2">
      <c r="C16" s="88" t="s">
        <v>126</v>
      </c>
      <c r="D16" s="57">
        <f>96.100833*Deflactores!$A$5</f>
        <v>358.64019523540628</v>
      </c>
      <c r="E16" s="57">
        <f>140.101733277*Deflactores!$B$5</f>
        <v>485.70002566007059</v>
      </c>
      <c r="F16" s="57">
        <f>134.769067647*Deflactores!$C$5</f>
        <v>436.68088722929292</v>
      </c>
      <c r="G16" s="57">
        <f>51.26515946*Deflactores!$D$5</f>
        <v>155.98466048197812</v>
      </c>
      <c r="H16" s="57">
        <f>43.568016188*Deflactores!$E$5</f>
        <v>125.6571847891056</v>
      </c>
      <c r="I16" s="57">
        <f>47.675052*Deflactores!$F$5</f>
        <v>131.13568402261572</v>
      </c>
      <c r="J16" s="57">
        <f>58.31089*Deflactores!$G$5</f>
        <v>153.51638847066934</v>
      </c>
      <c r="K16" s="57">
        <f>89.710510295*Deflactores!$H$5</f>
        <v>223.45813642246591</v>
      </c>
      <c r="L16" s="57">
        <f>73.505125159*Deflactores!$I$5</f>
        <v>170.04275078265675</v>
      </c>
      <c r="M16" s="57">
        <f>182.233850815*Deflactores!$J$5</f>
        <v>413.29645784104287</v>
      </c>
      <c r="N16" s="57">
        <f>219.090923727*Deflactores!$K$5</f>
        <v>481.61326678798031</v>
      </c>
      <c r="O16" s="57">
        <f>212.518496336*Deflactores!$L$5</f>
        <v>450.38123809474882</v>
      </c>
      <c r="P16" s="57">
        <f>287.106269727*Deflactores!$M$5</f>
        <v>593.95926726288565</v>
      </c>
      <c r="Q16" s="57">
        <f>369.393518656*Deflactores!$N$5</f>
        <v>749.65014281579658</v>
      </c>
      <c r="R16" s="57">
        <f>279.387555602*Deflactores!$O$5</f>
        <v>546.97214547408998</v>
      </c>
      <c r="S16" s="57">
        <f>309.862592768*Deflactores!$P$5</f>
        <v>568.16968797608945</v>
      </c>
      <c r="T16" s="57">
        <f>289.564906559*Deflactores!$Q$5</f>
        <v>502.08177894246882</v>
      </c>
      <c r="U16" s="57">
        <f>357.601798193*Deflactores!$R$5</f>
        <v>595.68850437615561</v>
      </c>
      <c r="V16" s="57">
        <f>252.099449243*Deflactores!$S$5</f>
        <v>407.0013956983961</v>
      </c>
    </row>
    <row r="17" spans="3:22" x14ac:dyDescent="0.2">
      <c r="C17" s="87" t="s">
        <v>127</v>
      </c>
      <c r="D17" s="56">
        <f>0*Deflactores!$A$5</f>
        <v>0</v>
      </c>
      <c r="E17" s="56">
        <f>24.3405*Deflactores!$B$5</f>
        <v>84.382835230203057</v>
      </c>
      <c r="F17" s="56">
        <f>2*Deflactores!$C$5</f>
        <v>6.4804319693460979</v>
      </c>
      <c r="G17" s="56">
        <f>17*Deflactores!$D$5</f>
        <v>51.725952988845506</v>
      </c>
      <c r="H17" s="56">
        <f>0*Deflactores!$E$5</f>
        <v>0</v>
      </c>
      <c r="I17" s="56">
        <f>8.75*Deflactores!$F$5</f>
        <v>24.067875902849302</v>
      </c>
      <c r="J17" s="56">
        <f>42.5*Deflactores!$G$5</f>
        <v>111.89070360619512</v>
      </c>
      <c r="K17" s="56">
        <f>13.9*Deflactores!$H$5</f>
        <v>34.623235182348438</v>
      </c>
      <c r="L17" s="56">
        <f>19.1*Deflactores!$I$5</f>
        <v>44.184899119936809</v>
      </c>
      <c r="M17" s="56">
        <f>21.35*Deflactores!$J$5</f>
        <v>48.420638292191299</v>
      </c>
      <c r="N17" s="56">
        <f>40*Deflactores!$K$5</f>
        <v>87.929387232507793</v>
      </c>
      <c r="O17" s="56">
        <f>50*Deflactores!$L$5</f>
        <v>105.96283284977666</v>
      </c>
      <c r="P17" s="56">
        <f>44.306053303*Deflactores!$M$5</f>
        <v>91.659408832078981</v>
      </c>
      <c r="Q17" s="56">
        <f>62.49231726*Deflactores!$N$5</f>
        <v>126.82240535594229</v>
      </c>
      <c r="R17" s="56">
        <f>60.205094278*Deflactores!$O$5</f>
        <v>117.86677296614633</v>
      </c>
      <c r="S17" s="56">
        <f>55.263618437*Deflactores!$P$5</f>
        <v>101.33237627456717</v>
      </c>
      <c r="T17" s="56">
        <f>65.953428391*Deflactores!$Q$5</f>
        <v>114.35783102107678</v>
      </c>
      <c r="U17" s="56">
        <f>69.270503705*Deflactores!$R$5</f>
        <v>115.38991961987881</v>
      </c>
      <c r="V17" s="56">
        <f>71.915*Deflactores!$S$5</f>
        <v>116.10301196428685</v>
      </c>
    </row>
    <row r="18" spans="3:22" x14ac:dyDescent="0.2">
      <c r="C18" s="88" t="s">
        <v>128</v>
      </c>
      <c r="D18" s="57">
        <f>24.668407*Deflactores!$A$5</f>
        <v>92.060412240406521</v>
      </c>
      <c r="E18" s="57">
        <f>25.04974*Deflactores!$B$5</f>
        <v>86.841604855258808</v>
      </c>
      <c r="F18" s="57">
        <f>17.279*Deflactores!$C$5</f>
        <v>55.987691999165612</v>
      </c>
      <c r="G18" s="57">
        <f>12.565151402*Deflactores!$D$5</f>
        <v>38.232025336328128</v>
      </c>
      <c r="H18" s="57">
        <f>36.690189019*Deflactores!$E$5</f>
        <v>105.82042206405397</v>
      </c>
      <c r="I18" s="57">
        <f>33.8830075*Deflactores!$F$5</f>
        <v>93.199087968607103</v>
      </c>
      <c r="J18" s="57">
        <f>54.874551428*Deflactores!$G$5</f>
        <v>144.46946280831196</v>
      </c>
      <c r="K18" s="57">
        <f>63.422359814*Deflactores!$H$5</f>
        <v>157.97750213378754</v>
      </c>
      <c r="L18" s="57">
        <f>75.22312677*Deflactores!$I$5</f>
        <v>174.01708208474699</v>
      </c>
      <c r="M18" s="57">
        <f>96.874958947*Deflactores!$J$5</f>
        <v>219.70713567885565</v>
      </c>
      <c r="N18" s="57">
        <f>102.292384705*Deflactores!$K$5</f>
        <v>224.86266764156508</v>
      </c>
      <c r="O18" s="57">
        <f>119.339267943*Deflactores!$L$5</f>
        <v>252.91053802917637</v>
      </c>
      <c r="P18" s="57">
        <f>193.472860208*Deflactores!$M$5</f>
        <v>400.25248627857314</v>
      </c>
      <c r="Q18" s="57">
        <f>198.56200016*Deflactores!$N$5</f>
        <v>402.96330135763316</v>
      </c>
      <c r="R18" s="57">
        <f>191.669520072*Deflactores!$O$5</f>
        <v>375.24179768807323</v>
      </c>
      <c r="S18" s="57">
        <f>220.434305185*Deflactores!$P$5</f>
        <v>404.19235273733136</v>
      </c>
      <c r="T18" s="57">
        <f>171.694409885*Deflactores!$Q$5</f>
        <v>297.70401314833936</v>
      </c>
      <c r="U18" s="57">
        <f>186.330288926*Deflactores!$R$5</f>
        <v>310.38661352144902</v>
      </c>
      <c r="V18" s="57">
        <f>143.328659438*Deflactores!$S$5</f>
        <v>231.39663577216584</v>
      </c>
    </row>
    <row r="19" spans="3:22" x14ac:dyDescent="0.2">
      <c r="C19" s="87" t="s">
        <v>129</v>
      </c>
      <c r="D19" s="56">
        <f>477.300062939*Deflactores!$A$5</f>
        <v>1781.243537798623</v>
      </c>
      <c r="E19" s="56">
        <f>873.694665*Deflactores!$B$5</f>
        <v>3028.8955838295215</v>
      </c>
      <c r="F19" s="56">
        <f>1007.061912*Deflactores!$C$5</f>
        <v>3263.0981048178032</v>
      </c>
      <c r="G19" s="56">
        <f>924.45772682*Deflactores!$D$5</f>
        <v>2812.8504069215469</v>
      </c>
      <c r="H19" s="56">
        <f>883.2751813335*Deflactores!$E$5</f>
        <v>2547.5080665027949</v>
      </c>
      <c r="I19" s="56">
        <f>785.354281662*Deflactores!$F$5</f>
        <v>2160.2067875214138</v>
      </c>
      <c r="J19" s="56">
        <f>1142.86454930662*Deflactores!$G$5</f>
        <v>3008.8451423175238</v>
      </c>
      <c r="K19" s="56">
        <f>1129.114201*Deflactores!$H$5</f>
        <v>2812.4882394929818</v>
      </c>
      <c r="L19" s="56">
        <f>3400.22335509241*Deflactores!$I$5</f>
        <v>7865.8914099482308</v>
      </c>
      <c r="M19" s="56">
        <f>3133.484878499*Deflactores!$J$5</f>
        <v>7106.5732035527435</v>
      </c>
      <c r="N19" s="56">
        <f>2114.134855899*Deflactores!$K$5</f>
        <v>4647.3645601521303</v>
      </c>
      <c r="O19" s="56">
        <f>1520.734458382*Deflactores!$L$5</f>
        <v>3222.8266244485499</v>
      </c>
      <c r="P19" s="56">
        <f>1916.205036383*Deflactores!$M$5</f>
        <v>3964.2037090228837</v>
      </c>
      <c r="Q19" s="56">
        <f>2908.694578691*Deflactores!$N$5</f>
        <v>5902.9278972104767</v>
      </c>
      <c r="R19" s="56">
        <f>2381.190737893*Deflactores!$O$5</f>
        <v>4661.7860408348197</v>
      </c>
      <c r="S19" s="56">
        <f>1471.142788521*Deflactores!$P$5</f>
        <v>2697.5141841276532</v>
      </c>
      <c r="T19" s="56">
        <f>1045.2847159664*Deflactores!$Q$5</f>
        <v>1812.4378949451509</v>
      </c>
      <c r="U19" s="56">
        <f>999.592442452*Deflactores!$R$5</f>
        <v>1665.1083133216639</v>
      </c>
      <c r="V19" s="56">
        <f>837.487323589*Deflactores!$S$5</f>
        <v>1352.0795487810919</v>
      </c>
    </row>
    <row r="20" spans="3:22" x14ac:dyDescent="0.2">
      <c r="C20" s="88" t="s">
        <v>130</v>
      </c>
      <c r="D20" s="57">
        <f>32.99115*Deflactores!$A$5</f>
        <v>123.12018645083516</v>
      </c>
      <c r="E20" s="57">
        <f>71.885856*Deflactores!$B$5</f>
        <v>249.211492871145</v>
      </c>
      <c r="F20" s="57">
        <f>30.8372*Deflactores!$C$5</f>
        <v>99.919188362559737</v>
      </c>
      <c r="G20" s="57">
        <f>32.6338399195*Deflactores!$D$5</f>
        <v>99.295086442445097</v>
      </c>
      <c r="H20" s="57">
        <f>81.102254642*Deflactores!$E$5</f>
        <v>233.91198154140042</v>
      </c>
      <c r="I20" s="57">
        <f>63.957*Deflactores!$F$5</f>
        <v>175.92104447068948</v>
      </c>
      <c r="J20" s="57">
        <f>93.73771*Deflactores!$G$5</f>
        <v>246.78537238431701</v>
      </c>
      <c r="K20" s="57">
        <f>76.647639352*Deflactores!$H$5</f>
        <v>190.92008945727488</v>
      </c>
      <c r="L20" s="57">
        <f>145.58199925*Deflactores!$I$5</f>
        <v>336.78146337905577</v>
      </c>
      <c r="M20" s="57">
        <f>135.411815558*Deflactores!$J$5</f>
        <v>307.10662958420795</v>
      </c>
      <c r="N20" s="57">
        <f>128.384527177*Deflactores!$K$5</f>
        <v>282.21932012022131</v>
      </c>
      <c r="O20" s="57">
        <f>163.406814*Deflactores!$L$5</f>
        <v>346.3009783679309</v>
      </c>
      <c r="P20" s="57">
        <f>311.496829077*Deflactores!$M$5</f>
        <v>644.41793113474444</v>
      </c>
      <c r="Q20" s="57">
        <f>364.064*Deflactores!$N$5</f>
        <v>738.83437529462765</v>
      </c>
      <c r="R20" s="57">
        <f>327.703656*Deflactores!$O$5</f>
        <v>641.56319137336709</v>
      </c>
      <c r="S20" s="57">
        <f>407.679743203*Deflactores!$P$5</f>
        <v>747.5289947736527</v>
      </c>
      <c r="T20" s="57">
        <f>345.24351458*Deflactores!$Q$5</f>
        <v>598.62391485398371</v>
      </c>
      <c r="U20" s="57">
        <f>534.058554407*Deflactores!$R$5</f>
        <v>889.6279133146287</v>
      </c>
      <c r="V20" s="57">
        <f>531.119*Deflactores!$S$5</f>
        <v>857.46388947312892</v>
      </c>
    </row>
    <row r="21" spans="3:22" x14ac:dyDescent="0.2">
      <c r="C21" s="87" t="s">
        <v>131</v>
      </c>
      <c r="D21" s="56">
        <f>208.480199126*Deflactores!$A$5</f>
        <v>778.03050174669158</v>
      </c>
      <c r="E21" s="56">
        <f>237.241483923*Deflactores!$B$5</f>
        <v>822.46087991797128</v>
      </c>
      <c r="F21" s="56">
        <f>280.38767761*Deflactores!$C$5</f>
        <v>908.51663489727559</v>
      </c>
      <c r="G21" s="56">
        <f>259.242880852*Deflactores!$D$5</f>
        <v>788.799121626084</v>
      </c>
      <c r="H21" s="56">
        <f>414.593940695*Deflactores!$E$5</f>
        <v>1195.7557854723752</v>
      </c>
      <c r="I21" s="56">
        <f>626.532367138*Deflactores!$F$5</f>
        <v>1723.3489441595204</v>
      </c>
      <c r="J21" s="56">
        <f>681.226983704*Deflactores!$G$5</f>
        <v>1793.4815652274488</v>
      </c>
      <c r="K21" s="56">
        <f>644.370098255*Deflactores!$H$5</f>
        <v>1605.0487378673265</v>
      </c>
      <c r="L21" s="56">
        <f>851.873840138*Deflactores!$I$5</f>
        <v>1970.6785177701938</v>
      </c>
      <c r="M21" s="56">
        <f>990.517745223*Deflactores!$J$5</f>
        <v>2246.4403495756337</v>
      </c>
      <c r="N21" s="56">
        <f>1036.727906607*Deflactores!$K$5</f>
        <v>2278.9712388698522</v>
      </c>
      <c r="O21" s="56">
        <f>946.28298111*Deflactores!$L$5</f>
        <v>2005.4165071189459</v>
      </c>
      <c r="P21" s="56">
        <f>1214.108636063*Deflactores!$M$5</f>
        <v>2511.7217974348696</v>
      </c>
      <c r="Q21" s="56">
        <f>1571.844273678*Deflactores!$N$5</f>
        <v>3189.9132625124234</v>
      </c>
      <c r="R21" s="56">
        <f>1905.359176759*Deflactores!$O$5</f>
        <v>3730.2248289657023</v>
      </c>
      <c r="S21" s="56">
        <f>2464.653262511*Deflactores!$P$5</f>
        <v>4519.2330659241197</v>
      </c>
      <c r="T21" s="56">
        <f>2598.536911245*Deflactores!$Q$5</f>
        <v>4505.6497023396178</v>
      </c>
      <c r="U21" s="56">
        <f>3274.77744344*Deflactores!$R$5</f>
        <v>5455.0824053594752</v>
      </c>
      <c r="V21" s="56">
        <f>3426.647750202*Deflactores!$S$5</f>
        <v>5532.1438467510179</v>
      </c>
    </row>
    <row r="22" spans="3:22" x14ac:dyDescent="0.2">
      <c r="C22" s="88" t="s">
        <v>132</v>
      </c>
      <c r="D22" s="57">
        <f>11.4*Deflactores!$A$5</f>
        <v>42.543837530353478</v>
      </c>
      <c r="E22" s="57">
        <f>21.291231*Deflactores!$B$5</f>
        <v>73.811730955452504</v>
      </c>
      <c r="F22" s="57">
        <f>19.406*Deflactores!$C$5</f>
        <v>62.879631398565181</v>
      </c>
      <c r="G22" s="57">
        <f>5.04883192584*Deflactores!$D$5</f>
        <v>15.362096637916597</v>
      </c>
      <c r="H22" s="57">
        <f>12.66781*Deflactores!$E$5</f>
        <v>36.536006945427815</v>
      </c>
      <c r="I22" s="57">
        <f>15.516247873*Deflactores!$F$5</f>
        <v>42.679214661167251</v>
      </c>
      <c r="J22" s="57">
        <f>19.1277085*Deflactores!$G$5</f>
        <v>50.357947351510568</v>
      </c>
      <c r="K22" s="57">
        <f>45.499672557*Deflactores!$H$5</f>
        <v>113.33423479574503</v>
      </c>
      <c r="L22" s="57">
        <f>43.438937*Deflactores!$I$5</f>
        <v>100.48926959279008</v>
      </c>
      <c r="M22" s="57">
        <f>66.057186*Deflactores!$J$5</f>
        <v>149.8141035084779</v>
      </c>
      <c r="N22" s="57">
        <f>87.019436728*Deflactores!$K$5</f>
        <v>191.28914372027558</v>
      </c>
      <c r="O22" s="57">
        <f>94.8669*Deflactores!$L$5</f>
        <v>201.04730935352956</v>
      </c>
      <c r="P22" s="57">
        <f>112.141531434*Deflactores!$M$5</f>
        <v>231.99598498357909</v>
      </c>
      <c r="Q22" s="57">
        <f>120.771972*Deflactores!$N$5</f>
        <v>245.09559991023627</v>
      </c>
      <c r="R22" s="57">
        <f>136.240558593*Deflactores!$O$5</f>
        <v>266.72551851363932</v>
      </c>
      <c r="S22" s="57">
        <f>162.52898928*Deflactores!$P$5</f>
        <v>298.01611192037791</v>
      </c>
      <c r="T22" s="57">
        <f>212.883909446*Deflactores!$Q$5</f>
        <v>369.12322433345992</v>
      </c>
      <c r="U22" s="57">
        <f>285.417146909*Deflactores!$R$5</f>
        <v>475.44423496934138</v>
      </c>
      <c r="V22" s="57">
        <f>371.739230168*Deflactores!$S$5</f>
        <v>600.15357418883525</v>
      </c>
    </row>
    <row r="23" spans="3:22" x14ac:dyDescent="0.2">
      <c r="C23" s="87" t="s">
        <v>133</v>
      </c>
      <c r="D23" s="56">
        <f>28.41036*Deflactores!$A$5</f>
        <v>106.02506491393449</v>
      </c>
      <c r="E23" s="56">
        <f>38.21*Deflactores!$B$5</f>
        <v>132.46515618602984</v>
      </c>
      <c r="F23" s="56">
        <f>28.859662*Deflactores!$C$5</f>
        <v>93.511538124661371</v>
      </c>
      <c r="G23" s="56">
        <f>29.399156606*Deflactores!$D$5</f>
        <v>89.45290544198015</v>
      </c>
      <c r="H23" s="56">
        <f>40.30447*Deflactores!$E$5</f>
        <v>116.2445912791388</v>
      </c>
      <c r="I23" s="56">
        <f>46.960966552*Deflactores!$F$5</f>
        <v>129.1715103144449</v>
      </c>
      <c r="J23" s="56">
        <f>55.417468*Deflactores!$G$5</f>
        <v>145.89881144926593</v>
      </c>
      <c r="K23" s="56">
        <f>73.5534*Deflactores!$H$5</f>
        <v>183.21270983175162</v>
      </c>
      <c r="L23" s="56">
        <f>98.521*Deflactores!$I$5</f>
        <v>227.91311236624577</v>
      </c>
      <c r="M23" s="56">
        <f>102.351487622*Deflactores!$J$5</f>
        <v>232.12760472189959</v>
      </c>
      <c r="N23" s="56">
        <f>117.366352127*Deflactores!$K$5</f>
        <v>257.99878560604623</v>
      </c>
      <c r="O23" s="56">
        <f>128.375*Deflactores!$L$5</f>
        <v>272.05957334180158</v>
      </c>
      <c r="P23" s="56">
        <f>138.278*Deflactores!$M$5</f>
        <v>286.06654823899692</v>
      </c>
      <c r="Q23" s="56">
        <f>154.645867265*Deflactores!$N$5</f>
        <v>313.8395522013497</v>
      </c>
      <c r="R23" s="56">
        <f>153.783953417*Deflactores!$O$5</f>
        <v>301.0711724748769</v>
      </c>
      <c r="S23" s="56">
        <f>161.964*Deflactores!$P$5</f>
        <v>296.98013729672346</v>
      </c>
      <c r="T23" s="56">
        <f>182.891275567*Deflactores!$Q$5</f>
        <v>317.1184591425158</v>
      </c>
      <c r="U23" s="56">
        <f>170.683383878*Deflactores!$R$5</f>
        <v>284.32219909943757</v>
      </c>
      <c r="V23" s="56">
        <f>142.332603119*Deflactores!$S$5</f>
        <v>229.78855486106303</v>
      </c>
    </row>
    <row r="24" spans="3:22" x14ac:dyDescent="0.2">
      <c r="C24" s="88" t="s">
        <v>134</v>
      </c>
      <c r="D24" s="57">
        <f>880.923149728*Deflactores!$A$5</f>
        <v>3287.5308209434456</v>
      </c>
      <c r="E24" s="57">
        <f>1797.940478616*Deflactores!$B$5</f>
        <v>6233.0402070937889</v>
      </c>
      <c r="F24" s="57">
        <f>1154.187549323*Deflactores!$C$5</f>
        <v>3739.8169466269978</v>
      </c>
      <c r="G24" s="57">
        <f>1310.89765891954*Deflactores!$D$5</f>
        <v>3988.6723928505735</v>
      </c>
      <c r="H24" s="57">
        <f>1516.931617073*Deflactores!$E$5</f>
        <v>4375.0754153336829</v>
      </c>
      <c r="I24" s="57">
        <f>1954.968486021*Deflactores!$F$5</f>
        <v>5377.3644474896691</v>
      </c>
      <c r="J24" s="57">
        <f>866.592032053*Deflactores!$G$5</f>
        <v>2281.496287198413</v>
      </c>
      <c r="K24" s="57">
        <f>953.273476926*Deflactores!$H$5</f>
        <v>2374.4900564535183</v>
      </c>
      <c r="L24" s="57">
        <f>983.335428036*Deflactores!$I$5</f>
        <v>2274.7945910382482</v>
      </c>
      <c r="M24" s="57">
        <f>1018.682962932*Deflactores!$J$5</f>
        <v>2310.3175307985052</v>
      </c>
      <c r="N24" s="57">
        <f>830.465981822*Deflactores!$K$5</f>
        <v>1825.5591224762854</v>
      </c>
      <c r="O24" s="57">
        <f>1431.099964307*Deflactores!$L$5</f>
        <v>3032.8681261836796</v>
      </c>
      <c r="P24" s="57">
        <f>2481.94774902*Deflactores!$M$5</f>
        <v>5134.6000482484533</v>
      </c>
      <c r="Q24" s="57">
        <f>2597.83705277*Deflactores!$N$5</f>
        <v>5272.0711633134815</v>
      </c>
      <c r="R24" s="57">
        <f>2915.120590115*Deflactores!$O$5</f>
        <v>5707.0894229888981</v>
      </c>
      <c r="S24" s="57">
        <f>3129.027399424*Deflactores!$P$5</f>
        <v>5737.4415714982906</v>
      </c>
      <c r="T24" s="57">
        <f>2038.867532357*Deflactores!$Q$5</f>
        <v>3535.2289399933402</v>
      </c>
      <c r="U24" s="57">
        <f>1532.11443526343*Deflactores!$R$5</f>
        <v>2552.1766419715286</v>
      </c>
      <c r="V24" s="57">
        <f>1542.559088621*Deflactores!$S$5</f>
        <v>2490.3810932598676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1056.971089275*Deflactores!$A$5</f>
        <v>3944.5268681049415</v>
      </c>
      <c r="E26" s="57">
        <f>1168.585149308*Deflactores!$B$5</f>
        <v>4051.2120994441038</v>
      </c>
      <c r="F26" s="57">
        <f>1100.733687057*Deflactores!$C$5</f>
        <v>3566.6148876701927</v>
      </c>
      <c r="G26" s="57">
        <f>1110.692860978*Deflactores!$D$5</f>
        <v>3379.5086301173142</v>
      </c>
      <c r="H26" s="57">
        <f>1277.97367616*Deflactores!$E$5</f>
        <v>3685.8821776025757</v>
      </c>
      <c r="I26" s="57">
        <f>1602.89593082484*Deflactores!$F$5</f>
        <v>4408.9486112313562</v>
      </c>
      <c r="J26" s="57">
        <f>2617.659529708*Deflactores!$G$5</f>
        <v>6891.5709783644679</v>
      </c>
      <c r="K26" s="57">
        <f>3621.867172808*Deflactores!$H$5</f>
        <v>9021.6373326157427</v>
      </c>
      <c r="L26" s="57">
        <f>4712.671006539*Deflactores!$I$5</f>
        <v>10902.036283213443</v>
      </c>
      <c r="M26" s="57">
        <f>5415.78435206*Deflactores!$J$5</f>
        <v>12282.704223869174</v>
      </c>
      <c r="N26" s="57">
        <f>5754.282517229*Deflactores!$K$5</f>
        <v>12649.263392566962</v>
      </c>
      <c r="O26" s="57">
        <f>6014.232105224*Deflactores!$L$5</f>
        <v>12745.701425712223</v>
      </c>
      <c r="P26" s="57">
        <f>7370.552960286*Deflactores!$M$5</f>
        <v>15248.041221031086</v>
      </c>
      <c r="Q26" s="57">
        <f>8355.480816384*Deflactores!$N$5</f>
        <v>16956.679180746567</v>
      </c>
      <c r="R26" s="57">
        <f>8674.374453324*Deflactores!$O$5</f>
        <v>16982.292554716423</v>
      </c>
      <c r="S26" s="57">
        <f>9787.942989349*Deflactores!$P$5</f>
        <v>17947.350354581064</v>
      </c>
      <c r="T26" s="57">
        <f>9603.155904483*Deflactores!$Q$5</f>
        <v>16651.084060154517</v>
      </c>
      <c r="U26" s="57">
        <f>10202.909135001*Deflactores!$R$5</f>
        <v>16995.875618148759</v>
      </c>
      <c r="V26" s="57">
        <f>9799.741448358*Deflactores!$S$5</f>
        <v>15821.170807559292</v>
      </c>
    </row>
    <row r="27" spans="3:22" x14ac:dyDescent="0.2">
      <c r="C27" s="87" t="s">
        <v>137</v>
      </c>
      <c r="D27" s="56">
        <f>51.1516*Deflactores!$A$5</f>
        <v>190.89345261558148</v>
      </c>
      <c r="E27" s="56">
        <f>40.416446*Deflactores!$B$5</f>
        <v>140.11438973761426</v>
      </c>
      <c r="F27" s="56">
        <f>56.185218*Deflactores!$C$5</f>
        <v>182.05224146593991</v>
      </c>
      <c r="G27" s="56">
        <f>42.56853577378*Deflactores!$D$5</f>
        <v>129.52341648461956</v>
      </c>
      <c r="H27" s="56">
        <f>78.200875798*Deflactores!$E$5</f>
        <v>225.54393705733401</v>
      </c>
      <c r="I27" s="56">
        <f>216.594596903*Deflactores!$F$5</f>
        <v>595.76821479875105</v>
      </c>
      <c r="J27" s="56">
        <f>90.484613018*Deflactores!$G$5</f>
        <v>238.22087096748947</v>
      </c>
      <c r="K27" s="56">
        <f>113.869027316*Deflactores!$H$5</f>
        <v>283.63410883072856</v>
      </c>
      <c r="L27" s="56">
        <f>143.28528273232*Deflactores!$I$5</f>
        <v>331.46836454969542</v>
      </c>
      <c r="M27" s="56">
        <f>139.38465368*Deflactores!$J$5</f>
        <v>316.11681027267593</v>
      </c>
      <c r="N27" s="56">
        <f>185.880182866*Deflactores!$K$5</f>
        <v>408.60826445184688</v>
      </c>
      <c r="O27" s="56">
        <f>191.106566095*Deflactores!$L$5</f>
        <v>405.0038623923856</v>
      </c>
      <c r="P27" s="56">
        <f>218.880415893*Deflactores!$M$5</f>
        <v>452.81509026473185</v>
      </c>
      <c r="Q27" s="56">
        <f>275.421063749*Deflactores!$N$5</f>
        <v>558.94169590504475</v>
      </c>
      <c r="R27" s="56">
        <f>460.163968751*Deflactores!$O$5</f>
        <v>900.88791791485505</v>
      </c>
      <c r="S27" s="56">
        <f>257.877315149*Deflactores!$P$5</f>
        <v>472.84853707404392</v>
      </c>
      <c r="T27" s="56">
        <f>201.32501596877*Deflactores!$Q$5</f>
        <v>349.08105185952564</v>
      </c>
      <c r="U27" s="56">
        <f>250.784808971*Deflactores!$R$5</f>
        <v>417.75412912092889</v>
      </c>
      <c r="V27" s="56">
        <f>466.430073103*Deflactores!$S$5</f>
        <v>753.02699517459212</v>
      </c>
    </row>
    <row r="28" spans="3:22" x14ac:dyDescent="0.2">
      <c r="C28" s="88" t="s">
        <v>138</v>
      </c>
      <c r="D28" s="57">
        <f>11.11*Deflactores!$A$5</f>
        <v>41.461582014230444</v>
      </c>
      <c r="E28" s="57">
        <f>22.225*Deflactores!$B$5</f>
        <v>77.048890244295038</v>
      </c>
      <c r="F28" s="57">
        <f>12.1477*Deflactores!$C$5</f>
        <v>39.361171717012795</v>
      </c>
      <c r="G28" s="57">
        <f>41.7058231855999*Deflactores!$D$5</f>
        <v>126.89843820349665</v>
      </c>
      <c r="H28" s="57">
        <f>27*Deflactores!$E$5</f>
        <v>77.872354221175655</v>
      </c>
      <c r="I28" s="57">
        <f>22.905*Deflactores!$F$5</f>
        <v>63.002822577687233</v>
      </c>
      <c r="J28" s="57">
        <f>45.01422*Deflactores!$G$5</f>
        <v>118.5099470137426</v>
      </c>
      <c r="K28" s="57">
        <f>44.1*Deflactores!$H$5</f>
        <v>109.84781809651555</v>
      </c>
      <c r="L28" s="57">
        <f>102.726176236*Deflactores!$I$5</f>
        <v>237.64113790390104</v>
      </c>
      <c r="M28" s="57">
        <f>84.40292803*Deflactores!$J$5</f>
        <v>191.42124819402736</v>
      </c>
      <c r="N28" s="57">
        <f>77.642977326*Deflactores!$K$5</f>
        <v>170.67748547956691</v>
      </c>
      <c r="O28" s="57">
        <f>50.842*Deflactores!$L$5</f>
        <v>107.7472469549669</v>
      </c>
      <c r="P28" s="57">
        <f>75.45*Deflactores!$M$5</f>
        <v>156.08933499640085</v>
      </c>
      <c r="Q28" s="57">
        <f>39.58654082*Deflactores!$N$5</f>
        <v>80.337240586325422</v>
      </c>
      <c r="R28" s="57">
        <f>20.2136*Deflactores!$O$5</f>
        <v>39.573259216689031</v>
      </c>
      <c r="S28" s="57">
        <f>16.871*Deflactores!$P$5</f>
        <v>30.934972563860001</v>
      </c>
      <c r="T28" s="57">
        <f>10.642*Deflactores!$Q$5</f>
        <v>18.452354447920861</v>
      </c>
      <c r="U28" s="57">
        <f>8.630885526*Deflactores!$R$5</f>
        <v>14.377218784705176</v>
      </c>
      <c r="V28" s="57">
        <f>7.0382*Deflactores!$S$5</f>
        <v>11.362806352041209</v>
      </c>
    </row>
    <row r="29" spans="3:22" x14ac:dyDescent="0.2">
      <c r="C29" s="87" t="s">
        <v>139</v>
      </c>
      <c r="D29" s="56">
        <f>160.060061*Deflactores!$A$5</f>
        <v>597.33063423530405</v>
      </c>
      <c r="E29" s="56">
        <f>191.299044269*Deflactores!$B$5</f>
        <v>663.1891593125182</v>
      </c>
      <c r="F29" s="56">
        <f>190.714462*Deflactores!$C$5</f>
        <v>617.95604828072078</v>
      </c>
      <c r="G29" s="56">
        <f>111.77593311125*Deflactores!$D$5</f>
        <v>340.10098008216806</v>
      </c>
      <c r="H29" s="56">
        <f>267.719768397*Deflactores!$E$5</f>
        <v>772.14698654156632</v>
      </c>
      <c r="I29" s="56">
        <f>182.09479685992*Deflactores!$F$5</f>
        <v>500.87256838618367</v>
      </c>
      <c r="J29" s="56">
        <f>272.17469319662*Deflactores!$G$5</f>
        <v>716.56042177812003</v>
      </c>
      <c r="K29" s="56">
        <f>594.93698995*Deflactores!$H$5</f>
        <v>1481.916785735059</v>
      </c>
      <c r="L29" s="56">
        <f>781.848849471*Deflactores!$I$5</f>
        <v>1808.6865204667431</v>
      </c>
      <c r="M29" s="56">
        <f>775.846597517*Deflactores!$J$5</f>
        <v>1759.5778673816383</v>
      </c>
      <c r="N29" s="56">
        <f>533.13176649644*Deflactores!$K$5</f>
        <v>1171.94873855541</v>
      </c>
      <c r="O29" s="56">
        <f>4035.606411451*Deflactores!$L$5</f>
        <v>8552.485752481387</v>
      </c>
      <c r="P29" s="56">
        <f>491.143225131*Deflactores!$M$5</f>
        <v>1016.066526158852</v>
      </c>
      <c r="Q29" s="56">
        <f>779.881691611*Deflactores!$N$5</f>
        <v>1582.698103699159</v>
      </c>
      <c r="R29" s="56">
        <f>745.969515742*Deflactores!$O$5</f>
        <v>1460.4249126432774</v>
      </c>
      <c r="S29" s="56">
        <f>828.072302723*Deflactores!$P$5</f>
        <v>1518.3684408528468</v>
      </c>
      <c r="T29" s="56">
        <f>964.714597376*Deflactores!$Q$5</f>
        <v>1672.7359229341496</v>
      </c>
      <c r="U29" s="56">
        <f>1152.719133953*Deflactores!$R$5</f>
        <v>1920.1847986783453</v>
      </c>
      <c r="V29" s="56">
        <f>505.909659052*Deflactores!$S$5</f>
        <v>816.76472499148485</v>
      </c>
    </row>
    <row r="30" spans="3:22" x14ac:dyDescent="0.2">
      <c r="C30" s="88" t="s">
        <v>140</v>
      </c>
      <c r="D30" s="57">
        <f>272.66508*Deflactores!$A$5</f>
        <v>1017.5630582211256</v>
      </c>
      <c r="E30" s="57">
        <f>531.696167442*Deflactores!$B$5</f>
        <v>1843.2665758628109</v>
      </c>
      <c r="F30" s="57">
        <f>313.46368835*Deflactores!$C$5</f>
        <v>1015.6900536062409</v>
      </c>
      <c r="G30" s="57">
        <f>342.90884694107*Deflactores!$D$5</f>
        <v>1043.3698174313533</v>
      </c>
      <c r="H30" s="57">
        <f>665.778420038*Deflactores!$E$5</f>
        <v>1920.2123317782891</v>
      </c>
      <c r="I30" s="57">
        <f>876.903987222*Deflactores!$F$5</f>
        <v>2412.0247249340396</v>
      </c>
      <c r="J30" s="57">
        <f>946.2137*Deflactores!$G$5</f>
        <v>2491.1180389369702</v>
      </c>
      <c r="K30" s="57">
        <f>3942.349*Deflactores!$H$5</f>
        <v>9819.9191797047624</v>
      </c>
      <c r="L30" s="57">
        <f>1720.374481086*Deflactores!$I$5</f>
        <v>3979.8205704344787</v>
      </c>
      <c r="M30" s="57">
        <f>7201.317210398*Deflactores!$J$5</f>
        <v>16332.195591195015</v>
      </c>
      <c r="N30" s="57">
        <f>1426.376158075*Deflactores!$K$5</f>
        <v>3135.5095385648356</v>
      </c>
      <c r="O30" s="57">
        <f>2207.5589*Deflactores!$L$5</f>
        <v>4678.3838945347361</v>
      </c>
      <c r="P30" s="57">
        <f>2583.397768294*Deflactores!$M$5</f>
        <v>5344.4776631437571</v>
      </c>
      <c r="Q30" s="57">
        <f>3140.364344229*Deflactores!$N$5</f>
        <v>6373.0803607771049</v>
      </c>
      <c r="R30" s="57">
        <f>2552.972432248*Deflactores!$O$5</f>
        <v>4998.0923652595866</v>
      </c>
      <c r="S30" s="57">
        <f>2668.414188683*Deflactores!$P$5</f>
        <v>4892.8528075350214</v>
      </c>
      <c r="T30" s="57">
        <f>2713.137035806*Deflactores!$Q$5</f>
        <v>4704.3569113393787</v>
      </c>
      <c r="U30" s="57">
        <f>3206.44621735*Deflactores!$R$5</f>
        <v>5341.2571223843242</v>
      </c>
      <c r="V30" s="57">
        <f>3529.4046087049*Deflactores!$S$5</f>
        <v>5698.0394286487399</v>
      </c>
    </row>
    <row r="31" spans="3:22" x14ac:dyDescent="0.2">
      <c r="C31" s="87" t="s">
        <v>141</v>
      </c>
      <c r="D31" s="56">
        <f>7.965*Deflactores!$A$5</f>
        <v>29.724707537654862</v>
      </c>
      <c r="E31" s="56">
        <f>20.772*Deflactores!$B$5</f>
        <v>72.011678207176431</v>
      </c>
      <c r="F31" s="56">
        <f>21*Deflactores!$C$5</f>
        <v>68.044535678134025</v>
      </c>
      <c r="G31" s="56">
        <f>18.588984708*Deflactores!$D$5</f>
        <v>56.560761712728002</v>
      </c>
      <c r="H31" s="56">
        <f>24.279327303*Deflactores!$E$5</f>
        <v>70.025495407076932</v>
      </c>
      <c r="I31" s="56">
        <f>31.09759956255*Deflactores!$F$5</f>
        <v>85.537504816909035</v>
      </c>
      <c r="J31" s="56">
        <f>35.4240541*Deflactores!$G$5</f>
        <v>93.261702066656966</v>
      </c>
      <c r="K31" s="56">
        <f>47.57045*Deflactores!$H$5</f>
        <v>118.49229338706095</v>
      </c>
      <c r="L31" s="56">
        <f>55.65323125*Deflactores!$I$5</f>
        <v>128.74515227642746</v>
      </c>
      <c r="M31" s="56">
        <f>68.87711006*Deflactores!$J$5</f>
        <v>156.20953783731667</v>
      </c>
      <c r="N31" s="56">
        <f>105.0040729*Deflactores!$K$5</f>
        <v>230.82359467536443</v>
      </c>
      <c r="O31" s="56">
        <f>92.805329204*Deflactores!$L$5</f>
        <v>196.67831172023898</v>
      </c>
      <c r="P31" s="56">
        <f>89.214507693*Deflactores!$M$5</f>
        <v>184.56505205873634</v>
      </c>
      <c r="Q31" s="56">
        <f>117.665*Deflactores!$N$5</f>
        <v>238.79028623825033</v>
      </c>
      <c r="R31" s="56">
        <f>81.980677102*Deflactores!$O$5</f>
        <v>160.49801053336014</v>
      </c>
      <c r="S31" s="56">
        <f>162.32579725032*Deflactores!$P$5</f>
        <v>297.64353531772571</v>
      </c>
      <c r="T31" s="56">
        <f>96.967462993*Deflactores!$Q$5</f>
        <v>168.13362122368775</v>
      </c>
      <c r="U31" s="56">
        <f>230.662058359*Deflactores!$R$5</f>
        <v>384.23390837101186</v>
      </c>
      <c r="V31" s="56">
        <f>225.030057713*Deflactores!$S$5</f>
        <v>363.29927668743096</v>
      </c>
    </row>
    <row r="32" spans="3:22" x14ac:dyDescent="0.2">
      <c r="C32" s="88" t="s">
        <v>142</v>
      </c>
      <c r="D32" s="57">
        <f>467.990727783*Deflactores!$A$5</f>
        <v>1746.5018849571782</v>
      </c>
      <c r="E32" s="57">
        <f>1056.106674*Deflactores!$B$5</f>
        <v>3661.2754650750721</v>
      </c>
      <c r="F32" s="57">
        <f>854.368069829*Deflactores!$C$5</f>
        <v>2768.3370766541852</v>
      </c>
      <c r="G32" s="57">
        <f>389.521453523*Deflactores!$D$5</f>
        <v>1185.1981407692626</v>
      </c>
      <c r="H32" s="57">
        <f>290.660120755*Deflactores!$E$5</f>
        <v>838.31066227418694</v>
      </c>
      <c r="I32" s="57">
        <f>257.154447196*Deflactores!$F$5</f>
        <v>707.33272262618755</v>
      </c>
      <c r="J32" s="57">
        <f>336.40125945*Deflactores!$G$5</f>
        <v>885.65114385578102</v>
      </c>
      <c r="K32" s="57">
        <f>369.477261215*Deflactores!$H$5</f>
        <v>920.32360500553466</v>
      </c>
      <c r="L32" s="57">
        <f>585.968158055*Deflactores!$I$5</f>
        <v>1355.5468037254116</v>
      </c>
      <c r="M32" s="57">
        <f>1105.503599412*Deflactores!$J$5</f>
        <v>2507.2220102034662</v>
      </c>
      <c r="N32" s="57">
        <f>879.974442788*Deflactores!$K$5</f>
        <v>1934.3903383654083</v>
      </c>
      <c r="O32" s="57">
        <f>868.485874474*Deflactores!$L$5</f>
        <v>1840.5444709856113</v>
      </c>
      <c r="P32" s="57">
        <f>956.20563568*Deflactores!$M$5</f>
        <v>1978.1776248257381</v>
      </c>
      <c r="Q32" s="57">
        <f>539.98582583*Deflactores!$N$5</f>
        <v>1095.8515269157665</v>
      </c>
      <c r="R32" s="57">
        <f>313.768622986*Deflactores!$O$5</f>
        <v>614.28182270790705</v>
      </c>
      <c r="S32" s="57">
        <f>251.645690663*Deflactores!$P$5</f>
        <v>461.42211703357873</v>
      </c>
      <c r="T32" s="57">
        <f>395.549532329*Deflactores!$Q$5</f>
        <v>685.85042024469465</v>
      </c>
      <c r="U32" s="57">
        <f>365.245612115*Deflactores!$R$5</f>
        <v>608.42147190018443</v>
      </c>
      <c r="V32" s="57">
        <f>320.051110721*Deflactores!$S$5</f>
        <v>516.70580459185919</v>
      </c>
    </row>
    <row r="33" spans="3:22" x14ac:dyDescent="0.2">
      <c r="C33" s="87" t="s">
        <v>143</v>
      </c>
      <c r="D33" s="56">
        <f>741.022230109*Deflactores!$A$5</f>
        <v>2765.432400362939</v>
      </c>
      <c r="E33" s="56">
        <f>771.67087*Deflactores!$B$5</f>
        <v>2675.2028871698385</v>
      </c>
      <c r="F33" s="56">
        <f>1115.46146151117*Deflactores!$C$5</f>
        <v>3614.336057875254</v>
      </c>
      <c r="G33" s="56">
        <f>759.492901155*Deflactores!$D$5</f>
        <v>2310.9114176767894</v>
      </c>
      <c r="H33" s="56">
        <f>762.092601911*Deflactores!$E$5</f>
        <v>2197.9979646426218</v>
      </c>
      <c r="I33" s="56">
        <f>593.2758121326*Deflactores!$F$5</f>
        <v>1631.8729854365204</v>
      </c>
      <c r="J33" s="56">
        <f>48.0321587*Deflactores!$G$5</f>
        <v>126.4553419451159</v>
      </c>
      <c r="K33" s="56">
        <f>137.336993113*Deflactores!$H$5</f>
        <v>342.09000084805518</v>
      </c>
      <c r="L33" s="56">
        <f>117.114709903*Deflactores!$I$5</f>
        <v>270.92678756673922</v>
      </c>
      <c r="M33" s="56">
        <f>58.489158295*Deflactores!$J$5</f>
        <v>132.65022846917637</v>
      </c>
      <c r="N33" s="56">
        <f>78.109975922*Deflactores!$K$5</f>
        <v>171.70405798918497</v>
      </c>
      <c r="O33" s="56">
        <f>85.521490061*Deflactores!$L$5</f>
        <v>181.24198712795155</v>
      </c>
      <c r="P33" s="56">
        <f>439.511278448*Deflactores!$M$5</f>
        <v>909.25146688358222</v>
      </c>
      <c r="Q33" s="56">
        <f>142.271712998*Deflactores!$N$5</f>
        <v>288.72734517824853</v>
      </c>
      <c r="R33" s="56">
        <f>142.374947908*Deflactores!$O$5</f>
        <v>278.73514463162826</v>
      </c>
      <c r="S33" s="56">
        <f>143.004944487*Deflactores!$P$5</f>
        <v>262.21646815254979</v>
      </c>
      <c r="T33" s="56">
        <f>95.207469036*Deflactores!$Q$5</f>
        <v>165.0819361719341</v>
      </c>
      <c r="U33" s="56">
        <f>83.960740515*Deflactores!$R$5</f>
        <v>139.86072831966499</v>
      </c>
      <c r="V33" s="56">
        <f>880.717375669*Deflactores!$S$5</f>
        <v>1421.8722103101331</v>
      </c>
    </row>
    <row r="34" spans="3:22" x14ac:dyDescent="0.2">
      <c r="C34" s="88" t="s">
        <v>144</v>
      </c>
      <c r="D34" s="57">
        <f>23.667013131*Deflactores!$A$5</f>
        <v>88.323294866140898</v>
      </c>
      <c r="E34" s="57">
        <f>47.35*Deflactores!$B$5</f>
        <v>164.15140396253634</v>
      </c>
      <c r="F34" s="57">
        <f>41.728323*Deflactores!$C$5</f>
        <v>135.20877919820003</v>
      </c>
      <c r="G34" s="57">
        <f>37.58558644*Deflactores!$D$5</f>
        <v>114.36178101491936</v>
      </c>
      <c r="H34" s="57">
        <f>67.580101871*Deflactores!$E$5</f>
        <v>194.91191226672768</v>
      </c>
      <c r="I34" s="57">
        <f>70.046061931*Deflactores!$F$5</f>
        <v>192.6697058329834</v>
      </c>
      <c r="J34" s="57">
        <f>83.134218673*Deflactores!$G$5</f>
        <v>218.86932284878247</v>
      </c>
      <c r="K34" s="57">
        <f>92.944505*Deflactores!$H$5</f>
        <v>231.51362989366623</v>
      </c>
      <c r="L34" s="57">
        <f>103.973509666*Deflactores!$I$5</f>
        <v>240.52665108575835</v>
      </c>
      <c r="M34" s="57">
        <f>87.61814*Deflactores!$J$5</f>
        <v>198.71317399412541</v>
      </c>
      <c r="N34" s="57">
        <f>151.999710278*Deflactores!$K$5</f>
        <v>334.13103460658147</v>
      </c>
      <c r="O34" s="57">
        <f>230.441737145*Deflactores!$L$5</f>
        <v>488.36518549415604</v>
      </c>
      <c r="P34" s="57">
        <f>201.068989259*Deflactores!$M$5</f>
        <v>415.96719445773061</v>
      </c>
      <c r="Q34" s="57">
        <f>331.910058937*Deflactores!$N$5</f>
        <v>673.5809117317873</v>
      </c>
      <c r="R34" s="57">
        <f>268.378864469*Deflactores!$O$5</f>
        <v>525.41983476037865</v>
      </c>
      <c r="S34" s="57">
        <f>249.892939291*Deflactores!$P$5</f>
        <v>458.2082402269823</v>
      </c>
      <c r="T34" s="57">
        <f>165.546554066*Deflactores!$Q$5</f>
        <v>287.04413580696547</v>
      </c>
      <c r="U34" s="57">
        <f>235.972024956*Deflactores!$R$5</f>
        <v>393.07918285351639</v>
      </c>
      <c r="V34" s="57">
        <f>223.185517411*Deflactores!$S$5</f>
        <v>360.32136269519413</v>
      </c>
    </row>
    <row r="35" spans="3:22" x14ac:dyDescent="0.2">
      <c r="C35" s="87" t="s">
        <v>145</v>
      </c>
      <c r="D35" s="56">
        <f>34.890910294*Deflactores!$A$5</f>
        <v>130.20993147667312</v>
      </c>
      <c r="E35" s="56">
        <f>5*Deflactores!$B$5</f>
        <v>17.333833575769411</v>
      </c>
      <c r="F35" s="56">
        <f>14.4926*Deflactores!$C$5</f>
        <v>46.959154179472627</v>
      </c>
      <c r="G35" s="56">
        <f>15.426597204*Deflactores!$D$5</f>
        <v>46.938555397174092</v>
      </c>
      <c r="H35" s="56">
        <f>23.053568989*Deflactores!$E$5</f>
        <v>66.490210754582151</v>
      </c>
      <c r="I35" s="56">
        <f>58.5396*Deflactores!$F$5</f>
        <v>161.01986608027852</v>
      </c>
      <c r="J35" s="56">
        <f>100.058019613*Deflactores!$G$5</f>
        <v>263.42499331625976</v>
      </c>
      <c r="K35" s="56">
        <f>102.039810092*Deflactores!$H$5</f>
        <v>254.16894552356027</v>
      </c>
      <c r="L35" s="56">
        <f>110.661072312*Deflactores!$I$5</f>
        <v>255.99729406333779</v>
      </c>
      <c r="M35" s="56">
        <f>121.159*Deflactores!$J$5</f>
        <v>274.78201943061384</v>
      </c>
      <c r="N35" s="56">
        <f>93.325*Deflactores!$K$5</f>
        <v>205.15025158684475</v>
      </c>
      <c r="O35" s="56">
        <f>70.040253113*Deflactores!$L$5</f>
        <v>148.43327266737737</v>
      </c>
      <c r="P35" s="56">
        <f>77.213387966*Deflactores!$M$5</f>
        <v>159.73739404151146</v>
      </c>
      <c r="Q35" s="56">
        <f>73.889194886*Deflactores!$N$5</f>
        <v>149.9513193960974</v>
      </c>
      <c r="R35" s="56">
        <f>75.178943088*Deflactores!$O$5</f>
        <v>147.18188756372621</v>
      </c>
      <c r="S35" s="56">
        <f>89.550093373*Deflactores!$P$5</f>
        <v>164.20068055152962</v>
      </c>
      <c r="T35" s="56">
        <f>84.647810288*Deflactores!$Q$5</f>
        <v>146.77235469597241</v>
      </c>
      <c r="U35" s="56">
        <f>96.459309301*Deflactores!$R$5</f>
        <v>160.68068444012218</v>
      </c>
      <c r="V35" s="56">
        <f>100.652121353*Deflactores!$S$5</f>
        <v>162.49759368251699</v>
      </c>
    </row>
    <row r="36" spans="3:22" x14ac:dyDescent="0.2">
      <c r="C36" s="88" t="s">
        <v>146</v>
      </c>
      <c r="D36" s="57">
        <f>5.3277*Deflactores!$A$5</f>
        <v>19.882526597409139</v>
      </c>
      <c r="E36" s="57">
        <f>7.56*Deflactores!$B$5</f>
        <v>26.208756366563346</v>
      </c>
      <c r="F36" s="57">
        <f>7.306698*Deflactores!$C$5</f>
        <v>23.675279654778596</v>
      </c>
      <c r="G36" s="57">
        <f>2.735757955*Deflactores!$D$5</f>
        <v>8.3240992570111825</v>
      </c>
      <c r="H36" s="57">
        <f>3.38248944*Deflactores!$E$5</f>
        <v>9.7556450304098536</v>
      </c>
      <c r="I36" s="57">
        <f>5.14*Deflactores!$F$5</f>
        <v>14.138157958930904</v>
      </c>
      <c r="J36" s="57">
        <f>6.7461*Deflactores!$G$5</f>
        <v>17.760608837594184</v>
      </c>
      <c r="K36" s="57">
        <f>7.49030925*Deflactores!$H$5</f>
        <v>18.657463219515822</v>
      </c>
      <c r="L36" s="57">
        <f>10.76*Deflactores!$I$5</f>
        <v>24.891597619398954</v>
      </c>
      <c r="M36" s="57">
        <f>14.74*Deflactores!$J$5</f>
        <v>33.429517959105375</v>
      </c>
      <c r="N36" s="57">
        <f>14*Deflactores!$K$5</f>
        <v>30.77528553137773</v>
      </c>
      <c r="O36" s="57">
        <f>13.211*Deflactores!$L$5</f>
        <v>27.997499695567988</v>
      </c>
      <c r="P36" s="57">
        <f>71.250011*Deflactores!$M$5</f>
        <v>147.40048821042075</v>
      </c>
      <c r="Q36" s="57">
        <f>61.385*Deflactores!$N$5</f>
        <v>124.5752069071941</v>
      </c>
      <c r="R36" s="57">
        <f>56.577563376*Deflactores!$O$5</f>
        <v>110.76495930102008</v>
      </c>
      <c r="S36" s="57">
        <f>71.276696706*Deflactores!$P$5</f>
        <v>130.69424794278231</v>
      </c>
      <c r="T36" s="57">
        <f>85.96004861*Deflactores!$Q$5</f>
        <v>149.04766823080504</v>
      </c>
      <c r="U36" s="57">
        <f>93.722399012*Deflactores!$R$5</f>
        <v>156.12157426532877</v>
      </c>
      <c r="V36" s="57">
        <f>73.952235087*Deflactores!$S$5</f>
        <v>119.39202162402441</v>
      </c>
    </row>
    <row r="37" spans="3:22" x14ac:dyDescent="0.2">
      <c r="C37" s="90" t="s">
        <v>147</v>
      </c>
      <c r="D37" s="58">
        <f>1447.386945133*Deflactores!$A$5</f>
        <v>5401.5258804642972</v>
      </c>
      <c r="E37" s="58">
        <f>1878.171522618*Deflactores!$B$5</f>
        <v>6511.1825199619689</v>
      </c>
      <c r="F37" s="58">
        <f>1736.4691231*Deflactores!$C$5</f>
        <v>5626.5350095598124</v>
      </c>
      <c r="G37" s="58">
        <f>1833.139703345*Deflactores!$D$5</f>
        <v>5577.6998892476277</v>
      </c>
      <c r="H37" s="58">
        <f>2451.944622671*Deflactores!$E$5</f>
        <v>7071.8037106423335</v>
      </c>
      <c r="I37" s="58">
        <f>2548.271981616*Deflactores!$F$5</f>
        <v>7009.3135794562022</v>
      </c>
      <c r="J37" s="58">
        <f>3345.642905583*Deflactores!$G$5</f>
        <v>8808.1491463707498</v>
      </c>
      <c r="K37" s="58">
        <f>3775.648883681*Deflactores!$H$5</f>
        <v>9404.6891558027783</v>
      </c>
      <c r="L37" s="58">
        <f>3034.487273027*Deflactores!$I$5</f>
        <v>7019.8174889753991</v>
      </c>
      <c r="M37" s="58">
        <f>3499.365348679*Deflactores!$J$5</f>
        <v>7936.3702014338987</v>
      </c>
      <c r="N37" s="58">
        <f>4481.148005408*Deflactores!$K$5</f>
        <v>9850.6149553425003</v>
      </c>
      <c r="O37" s="58">
        <f>5644.34926192099*Deflactores!$L$5</f>
        <v>11961.824747733883</v>
      </c>
      <c r="P37" s="58">
        <f>6190.267015363*Deflactores!$M$5</f>
        <v>12806.291078570785</v>
      </c>
      <c r="Q37" s="58">
        <f>7256.385249773*Deflactores!$N$5</f>
        <v>14726.165901910612</v>
      </c>
      <c r="R37" s="58">
        <f>8295.578807902*Deflactores!$O$5</f>
        <v>16240.703809196681</v>
      </c>
      <c r="S37" s="58">
        <f>9081.889242446*Deflactores!$P$5</f>
        <v>16652.717357778572</v>
      </c>
      <c r="T37" s="58">
        <f>9199.696801233*Deflactores!$Q$5</f>
        <v>15951.519093192546</v>
      </c>
      <c r="U37" s="58">
        <f>5358.93136206555*Deflactores!$R$5</f>
        <v>8926.8393622574076</v>
      </c>
      <c r="V37" s="58">
        <f>5334.791304509*Deflactores!$S$5</f>
        <v>8612.7419683568351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21.884891604*Deflactores!$S$5</f>
        <v>35.332014624714354</v>
      </c>
    </row>
    <row r="39" spans="3:22" x14ac:dyDescent="0.2">
      <c r="C39" s="87" t="s">
        <v>149</v>
      </c>
      <c r="D39" s="56">
        <f>100.6515*Deflactores!$A$5</f>
        <v>375.62290027950638</v>
      </c>
      <c r="E39" s="56">
        <f>125.756338*Deflactores!$B$5</f>
        <v>435.96788679804132</v>
      </c>
      <c r="F39" s="56">
        <f>127.9008*Deflactores!$C$5</f>
        <v>414.42621661247068</v>
      </c>
      <c r="G39" s="56">
        <f>63.247656761*Deflactores!$D$5</f>
        <v>192.44384236906603</v>
      </c>
      <c r="H39" s="56">
        <f>115.40689*Deflactores!$E$5</f>
        <v>332.85208213497236</v>
      </c>
      <c r="I39" s="56">
        <f>137.831955166*Deflactores!$F$5</f>
        <v>379.12255912941447</v>
      </c>
      <c r="J39" s="56">
        <f>186.553742786*Deflactores!$G$5</f>
        <v>491.14422448693375</v>
      </c>
      <c r="K39" s="56">
        <f>295.477434559*Deflactores!$H$5</f>
        <v>735.99889984267827</v>
      </c>
      <c r="L39" s="56">
        <f>400.69953025*Deflactores!$I$5</f>
        <v>926.95645662315792</v>
      </c>
      <c r="M39" s="56">
        <f>668.451887867*Deflactores!$J$5</f>
        <v>1516.0125095147739</v>
      </c>
      <c r="N39" s="56">
        <f>683.728224558*Deflactores!$K$5</f>
        <v>1502.9950954738856</v>
      </c>
      <c r="O39" s="56">
        <f>774.971954668*Deflactores!$L$5</f>
        <v>1642.3644739149995</v>
      </c>
      <c r="P39" s="56">
        <f>810.9761*Deflactores!$M$5</f>
        <v>1677.7298892905853</v>
      </c>
      <c r="Q39" s="56">
        <f>1058.2658*Deflactores!$N$5</f>
        <v>2147.6530259478259</v>
      </c>
      <c r="R39" s="56">
        <f>1495.773636772*Deflactores!$O$5</f>
        <v>2928.3570396895166</v>
      </c>
      <c r="S39" s="56">
        <f>1129.096383892*Deflactores!$P$5</f>
        <v>2070.3316731463788</v>
      </c>
      <c r="T39" s="56">
        <f>1085.908561046*Deflactores!$Q$5</f>
        <v>1882.8763076914586</v>
      </c>
      <c r="U39" s="56">
        <f>1141.232949997*Deflactores!$R$5</f>
        <v>1901.0512602668682</v>
      </c>
      <c r="V39" s="56">
        <f>1032.978893346*Deflactores!$S$5</f>
        <v>1667.690479218611</v>
      </c>
    </row>
    <row r="40" spans="3:22" x14ac:dyDescent="0.2">
      <c r="C40" s="88" t="s">
        <v>150</v>
      </c>
      <c r="D40" s="57">
        <f>973.366660676*Deflactores!$A$5</f>
        <v>3632.522199058109</v>
      </c>
      <c r="E40" s="57">
        <f>1551.97678750917*Deflactores!$B$5</f>
        <v>5380.3414696282398</v>
      </c>
      <c r="F40" s="57">
        <f>1532.716328383*Deflactores!$C$5</f>
        <v>4966.331947195983</v>
      </c>
      <c r="G40" s="57">
        <f>931.959081608299*Deflactores!$D$5</f>
        <v>2835.6748025175593</v>
      </c>
      <c r="H40" s="57">
        <f>1162.29958471805*Deflactores!$E$5</f>
        <v>3352.2594434181242</v>
      </c>
      <c r="I40" s="57">
        <f>1470.52552681492*Deflactores!$F$5</f>
        <v>4044.8486732975534</v>
      </c>
      <c r="J40" s="57">
        <f>2571.26017094617*Deflactores!$G$5</f>
        <v>6769.4143454530004</v>
      </c>
      <c r="K40" s="57">
        <f>2877.95169336699*Deflactores!$H$5</f>
        <v>7168.6329728692981</v>
      </c>
      <c r="L40" s="57">
        <f>2331.5391985972*Deflactores!$I$5</f>
        <v>5393.6557216856327</v>
      </c>
      <c r="M40" s="57">
        <f>3527.298025209*Deflactores!$J$5</f>
        <v>7999.7199919159557</v>
      </c>
      <c r="N40" s="57">
        <f>3788.43723104*Deflactores!$K$5</f>
        <v>8327.8741073541441</v>
      </c>
      <c r="O40" s="57">
        <f>4969.876251701*Deflactores!$L$5</f>
        <v>10532.443330861352</v>
      </c>
      <c r="P40" s="57">
        <f>7689.20313424199*Deflactores!$M$5</f>
        <v>15907.257837986392</v>
      </c>
      <c r="Q40" s="57">
        <f>7952.77085005908*Deflactores!$N$5</f>
        <v>16139.416374221908</v>
      </c>
      <c r="R40" s="57">
        <f>7049.63773995*Deflactores!$O$5</f>
        <v>13801.457517057583</v>
      </c>
      <c r="S40" s="57">
        <f>6628.458294855*Deflactores!$P$5</f>
        <v>12154.061732679134</v>
      </c>
      <c r="T40" s="57">
        <f>5241.791093428*Deflactores!$Q$5</f>
        <v>9088.8354818537973</v>
      </c>
      <c r="U40" s="57">
        <f>5644.282510907*Deflactores!$R$5</f>
        <v>9402.1736584894443</v>
      </c>
      <c r="V40" s="57">
        <f>4500.214237543*Deflactores!$S$5</f>
        <v>7265.3608769145376</v>
      </c>
    </row>
    <row r="41" spans="3:22" x14ac:dyDescent="0.2">
      <c r="C41" s="87" t="s">
        <v>151</v>
      </c>
      <c r="D41" s="56">
        <f>152.66996*Deflactores!$A$5</f>
        <v>569.75140122855817</v>
      </c>
      <c r="E41" s="56">
        <f>189.62705156*Deflactores!$B$5</f>
        <v>657.39275064097706</v>
      </c>
      <c r="F41" s="56">
        <f>160.544*Deflactores!$C$5</f>
        <v>520.19723504335002</v>
      </c>
      <c r="G41" s="56">
        <f>195.059687178*Deflactores!$D$5</f>
        <v>593.50871817577286</v>
      </c>
      <c r="H41" s="56">
        <f>233.0216262*Deflactores!$E$5</f>
        <v>672.07194876447352</v>
      </c>
      <c r="I41" s="56">
        <f>256.525*Deflactores!$F$5</f>
        <v>705.60135611181909</v>
      </c>
      <c r="J41" s="56">
        <f>217.4*Deflactores!$G$5</f>
        <v>572.35385797616038</v>
      </c>
      <c r="K41" s="56">
        <f>369.5*Deflactores!$H$5</f>
        <v>920.3802445955215</v>
      </c>
      <c r="L41" s="56">
        <f>433.30015*Deflactores!$I$5</f>
        <v>1002.3729537384023</v>
      </c>
      <c r="M41" s="56">
        <f>714.228*Deflactores!$J$5</f>
        <v>1619.8302410377144</v>
      </c>
      <c r="N41" s="56">
        <f>623.1806148*Deflactores!$K$5</f>
        <v>1369.8972398635369</v>
      </c>
      <c r="O41" s="56">
        <f>817.044239073*Deflactores!$L$5</f>
        <v>1731.5264427153052</v>
      </c>
      <c r="P41" s="56">
        <f>1715.897983146*Deflactores!$M$5</f>
        <v>3549.8127913972771</v>
      </c>
      <c r="Q41" s="56">
        <f>2129.81033*Deflactores!$N$5</f>
        <v>4322.2540121011543</v>
      </c>
      <c r="R41" s="56">
        <f>2196.074667687*Deflactores!$O$5</f>
        <v>4299.3742867961109</v>
      </c>
      <c r="S41" s="56">
        <f>2285.997895576*Deflactores!$P$5</f>
        <v>4191.6473345199011</v>
      </c>
      <c r="T41" s="56">
        <f>1493.759169527*Deflactores!$Q$5</f>
        <v>2590.0557842458293</v>
      </c>
      <c r="U41" s="56">
        <f>1900.775902648*Deflactores!$R$5</f>
        <v>3166.288201916509</v>
      </c>
      <c r="V41" s="56">
        <f>1839.399503537*Deflactores!$S$5</f>
        <v>2969.6144415804715</v>
      </c>
    </row>
    <row r="42" spans="3:22" ht="10.5" customHeight="1" x14ac:dyDescent="0.2">
      <c r="C42" s="79" t="s">
        <v>202</v>
      </c>
      <c r="D42" s="44">
        <f t="shared" ref="D42:V42" si="0">+SUM(D13:D41)</f>
        <v>28440.30466025995</v>
      </c>
      <c r="E42" s="44">
        <f t="shared" si="0"/>
        <v>39751.353830513588</v>
      </c>
      <c r="F42" s="44">
        <f t="shared" si="0"/>
        <v>34452.116683854962</v>
      </c>
      <c r="G42" s="44">
        <f t="shared" si="0"/>
        <v>27271.305828397664</v>
      </c>
      <c r="H42" s="44">
        <f t="shared" si="0"/>
        <v>32232.159328733247</v>
      </c>
      <c r="I42" s="44">
        <f t="shared" si="0"/>
        <v>34653.481276215018</v>
      </c>
      <c r="J42" s="44">
        <f t="shared" si="0"/>
        <v>39442.952607390609</v>
      </c>
      <c r="K42" s="44">
        <f t="shared" si="0"/>
        <v>52289.102946356157</v>
      </c>
      <c r="L42" s="44">
        <f t="shared" si="0"/>
        <v>51102.146172316032</v>
      </c>
      <c r="M42" s="44">
        <f t="shared" si="0"/>
        <v>70737.07220397536</v>
      </c>
      <c r="N42" s="44">
        <f t="shared" si="0"/>
        <v>56460.802846519124</v>
      </c>
      <c r="O42" s="44">
        <f t="shared" si="0"/>
        <v>69640.309518599242</v>
      </c>
      <c r="P42" s="44">
        <f t="shared" si="0"/>
        <v>78779.779729291768</v>
      </c>
      <c r="Q42" s="44">
        <f t="shared" si="0"/>
        <v>88574.68127174089</v>
      </c>
      <c r="R42" s="44">
        <f t="shared" si="0"/>
        <v>87090.276373207307</v>
      </c>
      <c r="S42" s="44">
        <f t="shared" si="0"/>
        <v>84509.040712011818</v>
      </c>
      <c r="T42" s="44">
        <f t="shared" si="0"/>
        <v>71335.20694870656</v>
      </c>
      <c r="U42" s="44">
        <f t="shared" si="0"/>
        <v>67328.649865937376</v>
      </c>
      <c r="V42" s="44">
        <f t="shared" si="0"/>
        <v>62352.720199330477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64" t="s">
        <v>203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5.75" customHeight="1" x14ac:dyDescent="0.2"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3:22" x14ac:dyDescent="0.2">
      <c r="C50" s="181" t="s">
        <v>120</v>
      </c>
      <c r="D50" s="155">
        <v>2000</v>
      </c>
      <c r="E50" s="155">
        <v>2001</v>
      </c>
      <c r="F50" s="155">
        <v>2002</v>
      </c>
      <c r="G50" s="155">
        <v>2003</v>
      </c>
      <c r="H50" s="155">
        <v>2004</v>
      </c>
      <c r="I50" s="155">
        <v>2005</v>
      </c>
      <c r="J50" s="155">
        <v>2006</v>
      </c>
      <c r="K50" s="155">
        <v>2007</v>
      </c>
      <c r="L50" s="155">
        <v>2008</v>
      </c>
      <c r="M50" s="155">
        <v>2009</v>
      </c>
      <c r="N50" s="155">
        <v>2010</v>
      </c>
      <c r="O50" s="155">
        <v>2011</v>
      </c>
      <c r="P50" s="155">
        <v>2012</v>
      </c>
      <c r="Q50" s="155">
        <v>2013</v>
      </c>
      <c r="R50" s="155">
        <v>2014</v>
      </c>
      <c r="S50" s="155">
        <v>2015</v>
      </c>
      <c r="T50" s="155">
        <v>2016</v>
      </c>
      <c r="U50" s="155">
        <v>2017</v>
      </c>
      <c r="V50" s="155">
        <v>2018</v>
      </c>
    </row>
    <row r="51" spans="3:22" ht="12" customHeight="1" thickBot="1" x14ac:dyDescent="0.25">
      <c r="C51" s="162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3:22" x14ac:dyDescent="0.2">
      <c r="C52" s="87" t="s">
        <v>123</v>
      </c>
      <c r="D52" s="56">
        <f>214.916485361*Deflactores!$A$5</f>
        <v>802.05017857833116</v>
      </c>
      <c r="E52" s="56">
        <f>470.48946128719*Deflactores!$B$5</f>
        <v>1631.0772042211113</v>
      </c>
      <c r="F52" s="56">
        <f>442.18301064202*Deflactores!$C$5</f>
        <v>1432.7684592331261</v>
      </c>
      <c r="G52" s="56">
        <f>251.86112978995*Deflactores!$D$5</f>
        <v>766.33864466073351</v>
      </c>
      <c r="H52" s="56">
        <f>367.79932660967*Deflactores!$E$5</f>
        <v>1060.7925720021517</v>
      </c>
      <c r="I52" s="56">
        <f>389.064414793*Deflactores!$F$5</f>
        <v>1070.1661775374412</v>
      </c>
      <c r="J52" s="56">
        <f>614.70762080037*Deflactores!$G$5</f>
        <v>1618.3545459633783</v>
      </c>
      <c r="K52" s="56">
        <f>975.352549002*Deflactores!$H$5</f>
        <v>2429.4863805610989</v>
      </c>
      <c r="L52" s="56">
        <f>1136.04066115542*Deflactores!$I$5</f>
        <v>2628.0545554606565</v>
      </c>
      <c r="M52" s="56">
        <f>1185.52357774936*Deflactores!$J$5</f>
        <v>2688.7029669820272</v>
      </c>
      <c r="N52" s="56">
        <f>1168.05315100998*Deflactores!$K$5</f>
        <v>2567.6549455826857</v>
      </c>
      <c r="O52" s="56">
        <f>1398.54781348799*Deflactores!$L$5</f>
        <v>2963.8817638609698</v>
      </c>
      <c r="P52" s="56">
        <f>1714.08309143411*Deflactores!$M$5</f>
        <v>3546.0581825119307</v>
      </c>
      <c r="Q52" s="56">
        <f>2186.01798174936*Deflactores!$N$5</f>
        <v>4436.322267317315</v>
      </c>
      <c r="R52" s="56">
        <f>2902.38638100534*Deflactores!$O$5</f>
        <v>5682.1589723014349</v>
      </c>
      <c r="S52" s="56">
        <f>3159.19261965558*Deflactores!$P$5</f>
        <v>5792.7530681639719</v>
      </c>
      <c r="T52" s="56">
        <f>1924.08739290242*Deflactores!$Q$5</f>
        <v>3336.2095999446938</v>
      </c>
      <c r="U52" s="56">
        <f>2175.73550093006*Deflactores!$R$5</f>
        <v>3624.3123860569649</v>
      </c>
      <c r="V52" s="56">
        <f>1564.10024330796*Deflactores!$S$5</f>
        <v>2525.1581625826052</v>
      </c>
    </row>
    <row r="53" spans="3:22" x14ac:dyDescent="0.2">
      <c r="C53" s="88" t="s">
        <v>124</v>
      </c>
      <c r="D53" s="57">
        <f>30.20790489137*Deflactores!$A$5</f>
        <v>112.73335068691362</v>
      </c>
      <c r="E53" s="57">
        <f>57.7537209321*Deflactores!$B$5</f>
        <v>200.21867740369032</v>
      </c>
      <c r="F53" s="57">
        <f>59.80952510832*Deflactores!$C$5</f>
        <v>193.79577929168255</v>
      </c>
      <c r="G53" s="57">
        <f>99.63418708661*Deflactores!$D$5</f>
        <v>303.15725160728391</v>
      </c>
      <c r="H53" s="57">
        <f>226.37084455094*Deflactores!$E$5</f>
        <v>652.89002193398107</v>
      </c>
      <c r="I53" s="57">
        <f>192.2428602745*Deflactores!$F$5</f>
        <v>528.78597763376729</v>
      </c>
      <c r="J53" s="57">
        <f>312.51593110653*Deflactores!$G$5</f>
        <v>822.76770399187853</v>
      </c>
      <c r="K53" s="57">
        <f>390.11321828991*Deflactores!$H$5</f>
        <v>971.72530248880491</v>
      </c>
      <c r="L53" s="57">
        <f>402.105135255939*Deflactores!$I$5</f>
        <v>930.20810664357111</v>
      </c>
      <c r="M53" s="57">
        <f>433.732182407559*Deflactores!$J$5</f>
        <v>983.68098922900003</v>
      </c>
      <c r="N53" s="57">
        <f>466.73395820826*Deflactores!$K$5</f>
        <v>1025.9907736463801</v>
      </c>
      <c r="O53" s="57">
        <f>287.9975580368*Deflactores!$L$5</f>
        <v>610.34074206794583</v>
      </c>
      <c r="P53" s="57">
        <f>161.15974621116*Deflactores!$M$5</f>
        <v>333.40381198527103</v>
      </c>
      <c r="Q53" s="57">
        <f>258.407755743839*Deflactores!$N$5</f>
        <v>524.41475341227374</v>
      </c>
      <c r="R53" s="57">
        <f>287.264240754061*Deflactores!$O$5</f>
        <v>562.39275849160072</v>
      </c>
      <c r="S53" s="57">
        <f>285.131900857659*Deflactores!$P$5</f>
        <v>522.82304132019033</v>
      </c>
      <c r="T53" s="57">
        <f>385.8521037678*Deflactores!$Q$5</f>
        <v>669.03587513619493</v>
      </c>
      <c r="U53" s="57">
        <f>412.313994244449*Deflactores!$R$5</f>
        <v>686.82738119867338</v>
      </c>
      <c r="V53" s="57">
        <f>375.16943901932*Deflactores!$S$5</f>
        <v>605.69146724737391</v>
      </c>
    </row>
    <row r="54" spans="3:22" x14ac:dyDescent="0.2">
      <c r="C54" s="87" t="s">
        <v>125</v>
      </c>
      <c r="D54" s="56">
        <f>29.2949291336*Deflactores!$A$5</f>
        <v>109.32620223886816</v>
      </c>
      <c r="E54" s="56">
        <f>69.83556488163*Deflactores!$B$5</f>
        <v>242.10361186560428</v>
      </c>
      <c r="F54" s="56">
        <f>75.63082960837*Deflactores!$C$5</f>
        <v>245.06022303112417</v>
      </c>
      <c r="G54" s="56">
        <f>67.0419056365299*Deflactores!$D$5</f>
        <v>203.98861524928014</v>
      </c>
      <c r="H54" s="56">
        <f>87.36896118517*Deflactores!$E$5</f>
        <v>251.98617382769274</v>
      </c>
      <c r="I54" s="56">
        <f>92.48581853341*Deflactores!$F$5</f>
        <v>254.3928232269202</v>
      </c>
      <c r="J54" s="56">
        <f>122.795267795649*Deflactores!$G$5</f>
        <v>323.28585678038394</v>
      </c>
      <c r="K54" s="56">
        <f>126.29752620854*Deflactores!$H$5</f>
        <v>314.59201099763283</v>
      </c>
      <c r="L54" s="56">
        <f>188.361195820399*Deflactores!$I$5</f>
        <v>435.74452541544457</v>
      </c>
      <c r="M54" s="56">
        <f>181.668814084549*Deflactores!$J$5</f>
        <v>412.01498528146584</v>
      </c>
      <c r="N54" s="56">
        <f>326.17376122012*Deflactores!$K$5</f>
        <v>717.00647388518667</v>
      </c>
      <c r="O54" s="56">
        <f>357.63197116238*Deflactores!$L$5</f>
        <v>757.91393564030841</v>
      </c>
      <c r="P54" s="56">
        <f>395.318574008219*Deflactores!$M$5</f>
        <v>817.82655173848082</v>
      </c>
      <c r="Q54" s="56">
        <f>408.031867973449*Deflactores!$N$5</f>
        <v>828.06311603032202</v>
      </c>
      <c r="R54" s="56">
        <f>352.21857460752*Deflactores!$O$5</f>
        <v>689.55737492955802</v>
      </c>
      <c r="S54" s="56">
        <f>331.86681327818*Deflactores!$P$5</f>
        <v>608.51702706515016</v>
      </c>
      <c r="T54" s="56">
        <f>284.3579347929*Deflactores!$Q$5</f>
        <v>493.05331731604576</v>
      </c>
      <c r="U54" s="56">
        <f>356.684413090219*Deflactores!$R$5</f>
        <v>594.16033599844047</v>
      </c>
      <c r="V54" s="56">
        <f>308.16254996055*Deflactores!$S$5</f>
        <v>497.51234408697599</v>
      </c>
    </row>
    <row r="55" spans="3:22" x14ac:dyDescent="0.2">
      <c r="C55" s="88" t="s">
        <v>126</v>
      </c>
      <c r="D55" s="57">
        <f>54.2009233080999*Deflactores!$A$5</f>
        <v>202.27326975569744</v>
      </c>
      <c r="E55" s="57">
        <f>123.809916146*Deflactores!$B$5</f>
        <v>429.22009630094601</v>
      </c>
      <c r="F55" s="57">
        <f>102.86878637121*Deflactores!$C$5</f>
        <v>333.31708592391175</v>
      </c>
      <c r="G55" s="57">
        <f>51.1403554051599*Deflactores!$D$5</f>
        <v>155.60491879530306</v>
      </c>
      <c r="H55" s="57">
        <f>40.10347793016*Deflactores!$E$5</f>
        <v>115.66489773624146</v>
      </c>
      <c r="I55" s="57">
        <f>44.16689580378*Deflactores!$F$5</f>
        <v>121.48609911079458</v>
      </c>
      <c r="J55" s="57">
        <f>53.62997092304*Deflactores!$G$5</f>
        <v>141.19282778726426</v>
      </c>
      <c r="K55" s="57">
        <f>84.7727049390199*Deflactores!$H$5</f>
        <v>211.15865468687173</v>
      </c>
      <c r="L55" s="57">
        <f>71.3828369292*Deflactores!$I$5</f>
        <v>165.13316484877495</v>
      </c>
      <c r="M55" s="57">
        <f>163.47028442891*Deflactores!$J$5</f>
        <v>370.74171025076731</v>
      </c>
      <c r="N55" s="57">
        <f>205.91690849881*Deflactores!$K$5</f>
        <v>452.65368962781849</v>
      </c>
      <c r="O55" s="57">
        <f>204.20336010549*Deflactores!$L$5</f>
        <v>432.75933028441574</v>
      </c>
      <c r="P55" s="57">
        <f>281.528403406*Deflactores!$M$5</f>
        <v>582.41989755123939</v>
      </c>
      <c r="Q55" s="57">
        <f>360.579784573609*Deflactores!$N$5</f>
        <v>731.76348081467495</v>
      </c>
      <c r="R55" s="57">
        <f>275.26981911362*Deflactores!$O$5</f>
        <v>538.91062978956666</v>
      </c>
      <c r="S55" s="57">
        <f>300.33940332055*Deflactores!$P$5</f>
        <v>550.7077945330625</v>
      </c>
      <c r="T55" s="57">
        <f>285.230373642329*Deflactores!$Q$5</f>
        <v>494.56605466652508</v>
      </c>
      <c r="U55" s="57">
        <f>353.72842128932*Deflactores!$R$5</f>
        <v>589.23628264154058</v>
      </c>
      <c r="V55" s="57">
        <f>247.16706518287*Deflactores!$S$5</f>
        <v>399.03831921163072</v>
      </c>
    </row>
    <row r="56" spans="3:22" x14ac:dyDescent="0.2">
      <c r="C56" s="87" t="s">
        <v>127</v>
      </c>
      <c r="D56" s="56">
        <f>0*Deflactores!$A$5</f>
        <v>0</v>
      </c>
      <c r="E56" s="56">
        <f>21*Deflactores!$B$5</f>
        <v>72.802101018231525</v>
      </c>
      <c r="F56" s="56">
        <f>0*Deflactores!$C$5</f>
        <v>0</v>
      </c>
      <c r="G56" s="56">
        <f>14.9744652*Deflactores!$D$5</f>
        <v>45.56285193931194</v>
      </c>
      <c r="H56" s="56">
        <f>0*Deflactores!$E$5</f>
        <v>0</v>
      </c>
      <c r="I56" s="56">
        <f>8.18164595*Deflactores!$F$5</f>
        <v>22.50455307493138</v>
      </c>
      <c r="J56" s="56">
        <f>42.151147558*Deflactores!$G$5</f>
        <v>110.97227195466289</v>
      </c>
      <c r="K56" s="56">
        <f>13.883329842*Deflactores!$H$5</f>
        <v>34.581711815372834</v>
      </c>
      <c r="L56" s="56">
        <f>17.657005947*Deflactores!$I$5</f>
        <v>40.846755315618807</v>
      </c>
      <c r="M56" s="56">
        <f>10.95474626127*Deflactores!$J$5</f>
        <v>24.844768444950333</v>
      </c>
      <c r="N56" s="56">
        <f>32.43583129201*Deflactores!$K$5</f>
        <v>71.301569247086022</v>
      </c>
      <c r="O56" s="56">
        <f>25.051149962*Deflactores!$L$5</f>
        <v>53.089816322361898</v>
      </c>
      <c r="P56" s="56">
        <f>9.35651947946*Deflactores!$M$5</f>
        <v>19.356565983164771</v>
      </c>
      <c r="Q56" s="56">
        <f>38.45019782851*Deflactores!$N$5</f>
        <v>78.031137087385829</v>
      </c>
      <c r="R56" s="56">
        <f>53.28708509442*Deflactores!$O$5</f>
        <v>104.32301180112641</v>
      </c>
      <c r="S56" s="56">
        <f>53.7211401660599*Deflactores!$P$5</f>
        <v>98.504060051943597</v>
      </c>
      <c r="T56" s="56">
        <f>65.56133830154*Deflactores!$Q$5</f>
        <v>113.67797899079743</v>
      </c>
      <c r="U56" s="56">
        <f>67.6016049140899*Deflactores!$R$5</f>
        <v>112.60988934672045</v>
      </c>
      <c r="V56" s="56">
        <f>70.94132724622*Deflactores!$S$5</f>
        <v>114.53106815032008</v>
      </c>
    </row>
    <row r="57" spans="3:22" x14ac:dyDescent="0.2">
      <c r="C57" s="88" t="s">
        <v>128</v>
      </c>
      <c r="D57" s="57">
        <f>11.64802543304*Deflactores!$A$5</f>
        <v>43.469447506375346</v>
      </c>
      <c r="E57" s="57">
        <f>25.01538870609*Deflactores!$B$5</f>
        <v>86.722516932909159</v>
      </c>
      <c r="F57" s="57">
        <f>12.14302123326*Deflactores!$C$5</f>
        <v>39.346011502233296</v>
      </c>
      <c r="G57" s="57">
        <f>12.56026348702*Deflactores!$D$5</f>
        <v>38.2171528621829</v>
      </c>
      <c r="H57" s="57">
        <f>36.6523528755*Deflactores!$E$5</f>
        <v>105.71129652446156</v>
      </c>
      <c r="I57" s="57">
        <f>33.8504966395*Deflactores!$F$5</f>
        <v>93.109663127920385</v>
      </c>
      <c r="J57" s="57">
        <f>50.56017309268*Deflactores!$G$5</f>
        <v>133.11090215978774</v>
      </c>
      <c r="K57" s="57">
        <f>53.61227157141*Deflactores!$H$5</f>
        <v>133.54174728610516</v>
      </c>
      <c r="L57" s="57">
        <f>74.34736667*Deflactores!$I$5</f>
        <v>171.99114639512575</v>
      </c>
      <c r="M57" s="57">
        <f>83.00006226682*Deflactores!$J$5</f>
        <v>188.23962497662981</v>
      </c>
      <c r="N57" s="57">
        <f>101.64234946874*Deflactores!$K$5</f>
        <v>223.43373764146804</v>
      </c>
      <c r="O57" s="57">
        <f>114.06878233385*Deflactores!$L$5</f>
        <v>241.74102631638607</v>
      </c>
      <c r="P57" s="57">
        <f>192.290812930909*Deflactores!$M$5</f>
        <v>397.80709233005837</v>
      </c>
      <c r="Q57" s="57">
        <f>196.808783203239*Deflactores!$N$5</f>
        <v>399.4053089304652</v>
      </c>
      <c r="R57" s="57">
        <f>191.138843124169*Deflactores!$O$5</f>
        <v>374.20286269297895</v>
      </c>
      <c r="S57" s="57">
        <f>219.66975237996*Deflactores!$P$5</f>
        <v>402.79045480315233</v>
      </c>
      <c r="T57" s="57">
        <f>170.170357959149*Deflactores!$Q$5</f>
        <v>295.06143221121857</v>
      </c>
      <c r="U57" s="57">
        <f>186.035756852429*Deflactores!$R$5</f>
        <v>309.89598575815785</v>
      </c>
      <c r="V57" s="57">
        <f>141.975487503915*Deflactores!$S$5</f>
        <v>229.21201034975317</v>
      </c>
    </row>
    <row r="58" spans="3:22" x14ac:dyDescent="0.2">
      <c r="C58" s="87" t="s">
        <v>129</v>
      </c>
      <c r="D58" s="56">
        <f>446.73464804055*Deflactores!$A$5</f>
        <v>1667.1759899488422</v>
      </c>
      <c r="E58" s="56">
        <f>852.736273289999*Deflactores!$B$5</f>
        <v>2956.2377290461327</v>
      </c>
      <c r="F58" s="56">
        <f>858.00580847238*Deflactores!$C$5</f>
        <v>2780.124135554528</v>
      </c>
      <c r="G58" s="56">
        <f>915.95435434959*Deflactores!$D$5</f>
        <v>2786.9771690008956</v>
      </c>
      <c r="H58" s="56">
        <f>857.791924208219*Deflactores!$E$5</f>
        <v>2474.0102433335665</v>
      </c>
      <c r="I58" s="56">
        <f>781.61833093061*Deflactores!$F$5</f>
        <v>2149.9306276834423</v>
      </c>
      <c r="J58" s="56">
        <f>1137.93284047188*Deflactores!$G$5</f>
        <v>2995.8613218116429</v>
      </c>
      <c r="K58" s="56">
        <f>1119.4675624952*Deflactores!$H$5</f>
        <v>2788.4596183655867</v>
      </c>
      <c r="L58" s="56">
        <f>3391.25155025666*Deflactores!$I$5</f>
        <v>7845.1365255717183</v>
      </c>
      <c r="M58" s="56">
        <f>2909.69021495935*Deflactores!$J$5</f>
        <v>6599.0190838817352</v>
      </c>
      <c r="N58" s="56">
        <f>1946.41810718806*Deflactores!$K$5</f>
        <v>4278.6837865825946</v>
      </c>
      <c r="O58" s="56">
        <f>1452.04437705082*Deflactores!$L$5</f>
        <v>3077.2547123178824</v>
      </c>
      <c r="P58" s="56">
        <f>1901.81554943775*Deflactores!$M$5</f>
        <v>3934.4350483439775</v>
      </c>
      <c r="Q58" s="56">
        <f>2880.7423177759*Deflactores!$N$5</f>
        <v>5846.2013567360545</v>
      </c>
      <c r="R58" s="56">
        <f>2366.03998996071*Deflactores!$O$5</f>
        <v>4632.1246012470556</v>
      </c>
      <c r="S58" s="56">
        <f>1453.37730839747*Deflactores!$P$5</f>
        <v>2664.9390765344338</v>
      </c>
      <c r="T58" s="56">
        <f>1027.70014064285*Deflactores!$Q$5</f>
        <v>1781.9476847697795</v>
      </c>
      <c r="U58" s="56">
        <f>995.569019686619*Deflactores!$R$5</f>
        <v>1658.4061471085922</v>
      </c>
      <c r="V58" s="56">
        <f>829.48015297729*Deflactores!$S$5</f>
        <v>1339.1523899779015</v>
      </c>
    </row>
    <row r="59" spans="3:22" x14ac:dyDescent="0.2">
      <c r="C59" s="88" t="s">
        <v>130</v>
      </c>
      <c r="D59" s="57">
        <f>27.695599534*Deflactores!$A$5</f>
        <v>103.35763920002012</v>
      </c>
      <c r="E59" s="57">
        <f>71.02666293302*Deflactores!$B$5</f>
        <v>246.23287094464777</v>
      </c>
      <c r="F59" s="57">
        <f>27.37575363508*Deflactores!$C$5</f>
        <v>88.70335452085753</v>
      </c>
      <c r="G59" s="57">
        <f>31.40984834374*Deflactores!$D$5</f>
        <v>95.570843459709522</v>
      </c>
      <c r="H59" s="57">
        <f>80.50103357766*Deflactores!$E$5</f>
        <v>232.17796303445533</v>
      </c>
      <c r="I59" s="57">
        <f>63.57544978789*Deflactores!$F$5</f>
        <v>174.87154696717297</v>
      </c>
      <c r="J59" s="57">
        <f>91.36100460549*Deflactores!$G$5</f>
        <v>240.52816676416725</v>
      </c>
      <c r="K59" s="57">
        <f>74.01905923561*Deflactores!$H$5</f>
        <v>184.37261121515866</v>
      </c>
      <c r="L59" s="57">
        <f>143.34484894837*Deflactores!$I$5</f>
        <v>331.60616178776479</v>
      </c>
      <c r="M59" s="57">
        <f>126.049396644819*Deflactores!$J$5</f>
        <v>285.87317292214203</v>
      </c>
      <c r="N59" s="57">
        <f>126.14423089435*Deflactores!$K$5</f>
        <v>277.29462313640437</v>
      </c>
      <c r="O59" s="57">
        <f>162.38965214942*Deflactores!$L$5</f>
        <v>344.14535134484731</v>
      </c>
      <c r="P59" s="57">
        <f>293.25471935746*Deflactores!$M$5</f>
        <v>606.67904743621057</v>
      </c>
      <c r="Q59" s="57">
        <f>346.04840091425*Deflactores!$N$5</f>
        <v>702.27337531638602</v>
      </c>
      <c r="R59" s="57">
        <f>312.98886697327*Deflactores!$O$5</f>
        <v>612.75525214068807</v>
      </c>
      <c r="S59" s="57">
        <f>400.464941900219*Deflactores!$P$5</f>
        <v>734.29980383326802</v>
      </c>
      <c r="T59" s="57">
        <f>341.40097011582*Deflactores!$Q$5</f>
        <v>591.9612581696249</v>
      </c>
      <c r="U59" s="57">
        <f>527.29201561002*Deflactores!$R$5</f>
        <v>878.35629948006738</v>
      </c>
      <c r="V59" s="57">
        <f>527.58570957124*Deflactores!$S$5</f>
        <v>851.75957659092603</v>
      </c>
    </row>
    <row r="60" spans="3:22" x14ac:dyDescent="0.2">
      <c r="C60" s="87" t="s">
        <v>131</v>
      </c>
      <c r="D60" s="56">
        <f>188.281025497659*Deflactores!$A$5</f>
        <v>702.64889112462663</v>
      </c>
      <c r="E60" s="56">
        <f>208.879196932819*Deflactores!$B$5</f>
        <v>724.13544741476983</v>
      </c>
      <c r="F60" s="56">
        <f>254.15859237288*Deflactores!$C$5</f>
        <v>823.5287336486075</v>
      </c>
      <c r="G60" s="56">
        <f>255.72278220264*Deflactores!$D$5</f>
        <v>778.08850649356077</v>
      </c>
      <c r="H60" s="56">
        <f>403.07763645074*Deflactores!$E$5</f>
        <v>1162.5409068268996</v>
      </c>
      <c r="I60" s="56">
        <f>619.45863727233*Deflactores!$F$5</f>
        <v>1703.8918410078372</v>
      </c>
      <c r="J60" s="56">
        <f>543.73534616055*Deflactores!$G$5</f>
        <v>1431.5042460579293</v>
      </c>
      <c r="K60" s="56">
        <f>634.68928690887*Deflactores!$H$5</f>
        <v>1580.9349962850958</v>
      </c>
      <c r="L60" s="56">
        <f>810.14960172542*Deflactores!$I$5</f>
        <v>1874.1559384447467</v>
      </c>
      <c r="M60" s="56">
        <f>927.14696521451*Deflactores!$J$5</f>
        <v>2102.7188686817171</v>
      </c>
      <c r="N60" s="56">
        <f>963.08877164071*Deflactores!$K$5</f>
        <v>2117.0951385219064</v>
      </c>
      <c r="O60" s="56">
        <f>928.403228228149*Deflactores!$L$5</f>
        <v>1967.524721798648</v>
      </c>
      <c r="P60" s="56">
        <f>1093.57790776511*Deflactores!$M$5</f>
        <v>2262.3704226615164</v>
      </c>
      <c r="Q60" s="56">
        <f>1488.03498834577*Deflactores!$N$5</f>
        <v>3019.8300327167626</v>
      </c>
      <c r="R60" s="56">
        <f>1896.5876096955*Deflactores!$O$5</f>
        <v>3713.0522571754</v>
      </c>
      <c r="S60" s="56">
        <f>2457.07331886723*Deflactores!$P$5</f>
        <v>4505.3343433436185</v>
      </c>
      <c r="T60" s="56">
        <f>2578.99472887892*Deflactores!$Q$5</f>
        <v>4471.7651622433186</v>
      </c>
      <c r="U60" s="56">
        <f>3250.78497499263*Deflactores!$R$5</f>
        <v>5415.1160581041613</v>
      </c>
      <c r="V60" s="56">
        <f>3423.663151835*Deflactores!$S$5</f>
        <v>5527.3253685488007</v>
      </c>
    </row>
    <row r="61" spans="3:22" x14ac:dyDescent="0.2">
      <c r="C61" s="88" t="s">
        <v>132</v>
      </c>
      <c r="D61" s="57">
        <f>10.7303846523199*Deflactores!$A$5</f>
        <v>40.044889586534758</v>
      </c>
      <c r="E61" s="57">
        <f>14.35896077104*Deflactores!$B$5</f>
        <v>49.779167265241796</v>
      </c>
      <c r="F61" s="57">
        <f>13.98099950814*Deflactores!$C$5</f>
        <v>45.30145808798126</v>
      </c>
      <c r="G61" s="57">
        <f>4.93750024997*Deflactores!$D$5</f>
        <v>15.023347400727127</v>
      </c>
      <c r="H61" s="57">
        <f>11.2344487243099*Deflactores!$E$5</f>
        <v>32.401961871818351</v>
      </c>
      <c r="I61" s="57">
        <f>14.94763867505*Deflactores!$F$5</f>
        <v>41.115190019626759</v>
      </c>
      <c r="J61" s="57">
        <f>17.84881921796*Deflactores!$G$5</f>
        <v>46.990986843231092</v>
      </c>
      <c r="K61" s="57">
        <f>19.15116623527*Deflactores!$H$5</f>
        <v>47.703261336690922</v>
      </c>
      <c r="L61" s="57">
        <f>28.03036688397*Deflactores!$I$5</f>
        <v>64.843923197017375</v>
      </c>
      <c r="M61" s="57">
        <f>60.8029063789099*Deflactores!$J$5</f>
        <v>137.89768322656522</v>
      </c>
      <c r="N61" s="57">
        <f>65.4681165864699*Deflactores!$K$5</f>
        <v>143.91428436786697</v>
      </c>
      <c r="O61" s="57">
        <f>69.64999547685*Deflactores!$L$5</f>
        <v>147.60621657402314</v>
      </c>
      <c r="P61" s="57">
        <f>85.3049207967399*Deflactores!$M$5</f>
        <v>176.47698289044104</v>
      </c>
      <c r="Q61" s="57">
        <f>105.46697066891*Deflactores!$N$5</f>
        <v>214.03550855998103</v>
      </c>
      <c r="R61" s="57">
        <f>110.284843581769*Deflactores!$O$5</f>
        <v>215.91060982374975</v>
      </c>
      <c r="S61" s="57">
        <f>137.7943970238*Deflactores!$P$5</f>
        <v>252.66231351934593</v>
      </c>
      <c r="T61" s="57">
        <f>204.5577760578*Deflactores!$Q$5</f>
        <v>354.68639249172577</v>
      </c>
      <c r="U61" s="57">
        <f>275.92053414322*Deflactores!$R$5</f>
        <v>459.6248988147903</v>
      </c>
      <c r="V61" s="57">
        <f>353.62663801287*Deflactores!$S$5</f>
        <v>570.9117400277936</v>
      </c>
    </row>
    <row r="62" spans="3:22" x14ac:dyDescent="0.2">
      <c r="C62" s="87" t="s">
        <v>133</v>
      </c>
      <c r="D62" s="56">
        <f>19.1010561143*Deflactores!$A$5</f>
        <v>71.283528770609124</v>
      </c>
      <c r="E62" s="56">
        <f>31.40879010143*Deflactores!$B$5</f>
        <v>108.88694808689225</v>
      </c>
      <c r="F62" s="56">
        <f>18.17713100576*Deflactores!$C$5</f>
        <v>58.897830440359648</v>
      </c>
      <c r="G62" s="56">
        <f>28.331641808*Deflactores!$D$5</f>
        <v>86.204774838671639</v>
      </c>
      <c r="H62" s="56">
        <f>39.42447355168*Deflactores!$E$5</f>
        <v>113.70653960739985</v>
      </c>
      <c r="I62" s="56">
        <f>46.73672090311*Deflactores!$F$5</f>
        <v>128.55469700596049</v>
      </c>
      <c r="J62" s="56">
        <f>55.2477782746*Deflactores!$G$5</f>
        <v>145.45206550174245</v>
      </c>
      <c r="K62" s="56">
        <f>71.2655073672*Deflactores!$H$5</f>
        <v>177.51384330675907</v>
      </c>
      <c r="L62" s="56">
        <f>80.74224770572*Deflactores!$I$5</f>
        <v>186.78471568555955</v>
      </c>
      <c r="M62" s="56">
        <f>89.88647577695*Deflactores!$J$5</f>
        <v>203.85763611032834</v>
      </c>
      <c r="N62" s="56">
        <f>91.60309159694*Deflactores!$K$5</f>
        <v>201.36509281805547</v>
      </c>
      <c r="O62" s="56">
        <f>117.701130771*Deflactores!$L$5</f>
        <v>249.43890492234354</v>
      </c>
      <c r="P62" s="56">
        <f>126.86252298709*Deflactores!$M$5</f>
        <v>262.45045525540746</v>
      </c>
      <c r="Q62" s="56">
        <f>149.3574904914*Deflactores!$N$5</f>
        <v>303.10727834333193</v>
      </c>
      <c r="R62" s="56">
        <f>143.15239669866*Deflactores!$O$5</f>
        <v>280.25719822527265</v>
      </c>
      <c r="S62" s="56">
        <f>127.99390674325*Deflactores!$P$5</f>
        <v>234.6919562233237</v>
      </c>
      <c r="T62" s="56">
        <f>168.81506645563*Deflactores!$Q$5</f>
        <v>292.71146799366664</v>
      </c>
      <c r="U62" s="56">
        <f>168.67839929997*Deflactores!$R$5</f>
        <v>280.98232141811974</v>
      </c>
      <c r="V62" s="56">
        <f>138.393731786081*Deflactores!$S$5</f>
        <v>223.42945278928826</v>
      </c>
    </row>
    <row r="63" spans="3:22" x14ac:dyDescent="0.2">
      <c r="C63" s="88" t="s">
        <v>134</v>
      </c>
      <c r="D63" s="57">
        <f>868.99160994953*Deflactores!$A$5</f>
        <v>3243.0033218362369</v>
      </c>
      <c r="E63" s="57">
        <f>1752.44944355811*Deflactores!$B$5</f>
        <v>6075.3334009171977</v>
      </c>
      <c r="F63" s="57">
        <f>998.46701169929*Deflactores!$C$5</f>
        <v>3235.2487714767717</v>
      </c>
      <c r="G63" s="57">
        <f>1305.48733427335*Deflactores!$D$5</f>
        <v>3972.2103811856787</v>
      </c>
      <c r="H63" s="57">
        <f>1400.88710869195*Deflactores!$E$5</f>
        <v>4040.3843389606714</v>
      </c>
      <c r="I63" s="57">
        <f>1675.53028526125*Deflactores!$F$5</f>
        <v>4608.7377116723947</v>
      </c>
      <c r="J63" s="57">
        <f>853.50651156623*Deflactores!$G$5</f>
        <v>2247.0457438026961</v>
      </c>
      <c r="K63" s="57">
        <f>790.79757598468*Deflactores!$H$5</f>
        <v>1969.7820471186067</v>
      </c>
      <c r="L63" s="57">
        <f>887.78859326771*Deflactores!$I$5</f>
        <v>2053.7617504379255</v>
      </c>
      <c r="M63" s="57">
        <f>964.09186042356*Deflactores!$J$5</f>
        <v>2186.5078807501159</v>
      </c>
      <c r="N63" s="57">
        <f>801.07450577232*Deflactores!$K$5</f>
        <v>1760.9497605036031</v>
      </c>
      <c r="O63" s="57">
        <f>1353.40137768204*Deflactores!$L$5</f>
        <v>2868.204879239589</v>
      </c>
      <c r="P63" s="57">
        <f>2064.36775305237*Deflactores!$M$5</f>
        <v>4270.7195462154896</v>
      </c>
      <c r="Q63" s="57">
        <f>1841.64773317401*Deflactores!$N$5</f>
        <v>3737.4545476959729</v>
      </c>
      <c r="R63" s="57">
        <f>2028.3852102369*Deflactores!$O$5</f>
        <v>3971.0795561405748</v>
      </c>
      <c r="S63" s="57">
        <f>2628.46853581153*Deflactores!$P$5</f>
        <v>4819.6077316281753</v>
      </c>
      <c r="T63" s="57">
        <f>1411.95064355547*Deflactores!$Q$5</f>
        <v>2448.206515491026</v>
      </c>
      <c r="U63" s="57">
        <f>1454.19377461052*Deflactores!$R$5</f>
        <v>2422.3774014786641</v>
      </c>
      <c r="V63" s="57">
        <f>1363.73918472536*Deflactores!$S$5</f>
        <v>2201.6856967299627</v>
      </c>
    </row>
    <row r="64" spans="3:22" x14ac:dyDescent="0.2">
      <c r="C64" s="87" t="s">
        <v>135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</row>
    <row r="65" spans="3:22" x14ac:dyDescent="0.2">
      <c r="C65" s="88" t="s">
        <v>136</v>
      </c>
      <c r="D65" s="57">
        <f>817.27490725647*Deflactores!$A$5</f>
        <v>3050.0009536801722</v>
      </c>
      <c r="E65" s="57">
        <f>942.828969427289*Deflactores!$B$5</f>
        <v>3268.5680892933628</v>
      </c>
      <c r="F65" s="57">
        <f>995.21496882087*Deflactores!$C$5</f>
        <v>3224.7114501592732</v>
      </c>
      <c r="G65" s="57">
        <f>1072.61370801807*Deflactores!$D$5</f>
        <v>3263.6450727137612</v>
      </c>
      <c r="H65" s="57">
        <f>1269.8738015411*Deflactores!$E$5</f>
        <v>3662.5208329555348</v>
      </c>
      <c r="I65" s="57">
        <f>1579.68321653458*Deflactores!$F$5</f>
        <v>4345.0993852992106</v>
      </c>
      <c r="J65" s="57">
        <f>2604.38375061863*Deflactores!$G$5</f>
        <v>6856.6195368767039</v>
      </c>
      <c r="K65" s="57">
        <f>3478.305717618*Deflactores!$H$5</f>
        <v>8664.0429422442649</v>
      </c>
      <c r="L65" s="57">
        <f>4655.77990677224*Deflactores!$I$5</f>
        <v>10770.427513369645</v>
      </c>
      <c r="M65" s="57">
        <f>5362.17969430902*Deflactores!$J$5</f>
        <v>12161.131776855736</v>
      </c>
      <c r="N65" s="57">
        <f>5619.7049150577*Deflactores!$K$5</f>
        <v>12353.430240213396</v>
      </c>
      <c r="O65" s="57">
        <f>5624.17803785177*Deflactores!$L$5</f>
        <v>11919.076746845438</v>
      </c>
      <c r="P65" s="57">
        <f>7106.98932827225*Deflactores!$M$5</f>
        <v>14702.786455620053</v>
      </c>
      <c r="Q65" s="57">
        <f>8162.44802599435*Deflactores!$N$5</f>
        <v>16564.936901644771</v>
      </c>
      <c r="R65" s="57">
        <f>8511.64327156497*Deflactores!$O$5</f>
        <v>16663.704908854812</v>
      </c>
      <c r="S65" s="57">
        <f>9660.63120532604*Deflactores!$P$5</f>
        <v>17713.909150988729</v>
      </c>
      <c r="T65" s="57">
        <f>9502.78515930559*Deflactores!$Q$5</f>
        <v>16477.049426982601</v>
      </c>
      <c r="U65" s="57">
        <f>10080.0557626981*Deflactores!$R$5</f>
        <v>16791.228040942828</v>
      </c>
      <c r="V65" s="57">
        <f>9678.92347981509*Deflactores!$S$5</f>
        <v>15626.116506686898</v>
      </c>
    </row>
    <row r="66" spans="3:22" x14ac:dyDescent="0.2">
      <c r="C66" s="87" t="s">
        <v>137</v>
      </c>
      <c r="D66" s="56">
        <f>24.57339304396*Deflactores!$A$5</f>
        <v>91.705828178223896</v>
      </c>
      <c r="E66" s="56">
        <f>34.22975013284*Deflactores!$B$5</f>
        <v>118.6665584285639</v>
      </c>
      <c r="F66" s="56">
        <f>48.27358724255*Deflactores!$C$5</f>
        <v>156.41684902081948</v>
      </c>
      <c r="G66" s="56">
        <f>40.99645241489*Deflactores!$D$5</f>
        <v>124.74003354835541</v>
      </c>
      <c r="H66" s="56">
        <f>70.6277477828399*Deflactores!$E$5</f>
        <v>203.70181456256157</v>
      </c>
      <c r="I66" s="56">
        <f>183.7912973625*Deflactores!$F$5</f>
        <v>505.53898707935133</v>
      </c>
      <c r="J66" s="56">
        <f>86.16784645233*Deflactores!$G$5</f>
        <v>226.85602277133617</v>
      </c>
      <c r="K66" s="56">
        <f>108.4857221096*Deflactores!$H$5</f>
        <v>270.22494032572507</v>
      </c>
      <c r="L66" s="56">
        <f>131.93953365004*Deflactores!$I$5</f>
        <v>305.22172692453012</v>
      </c>
      <c r="M66" s="56">
        <f>118.42967247042*Deflactores!$J$5</f>
        <v>268.59205310317998</v>
      </c>
      <c r="N66" s="56">
        <f>139.40786345935*Deflactores!$K$5</f>
        <v>306.45120023434401</v>
      </c>
      <c r="O66" s="56">
        <f>166.34289606903*Deflactores!$L$5</f>
        <v>352.52328983820792</v>
      </c>
      <c r="P66" s="56">
        <f>204.229181177419*Deflactores!$M$5</f>
        <v>422.50493143595492</v>
      </c>
      <c r="Q66" s="56">
        <f>247.83098465129*Deflactores!$N$5</f>
        <v>502.95017008956751</v>
      </c>
      <c r="R66" s="56">
        <f>452.723491077799*Deflactores!$O$5</f>
        <v>886.32129189783825</v>
      </c>
      <c r="S66" s="56">
        <f>253.62825114754*Deflactores!$P$5</f>
        <v>465.05737601025095</v>
      </c>
      <c r="T66" s="56">
        <f>196.547354125999*Deflactores!$Q$5</f>
        <v>340.79697840010851</v>
      </c>
      <c r="U66" s="56">
        <f>247.01843566443*Deflactores!$R$5</f>
        <v>411.48015261060362</v>
      </c>
      <c r="V66" s="56">
        <f>453.681754739759*Deflactores!$S$5</f>
        <v>732.44550091815188</v>
      </c>
    </row>
    <row r="67" spans="3:22" x14ac:dyDescent="0.2">
      <c r="C67" s="88" t="s">
        <v>138</v>
      </c>
      <c r="D67" s="57">
        <f>10.89385624734*Deflactores!$A$5</f>
        <v>40.654951777706941</v>
      </c>
      <c r="E67" s="57">
        <f>22.07577355643*Deflactores!$B$5</f>
        <v>76.531556976705772</v>
      </c>
      <c r="F67" s="57">
        <f>5.73239353153*Deflactores!$C$5</f>
        <v>18.574193151299895</v>
      </c>
      <c r="G67" s="57">
        <f>40.78988764735*Deflactores!$D$5</f>
        <v>124.11151828630094</v>
      </c>
      <c r="H67" s="57">
        <f>25.34981986463*Deflactores!$E$5</f>
        <v>73.112968590424529</v>
      </c>
      <c r="I67" s="57">
        <f>17.8148936322399*Deflactores!$F$5</f>
        <v>49.001902761509733</v>
      </c>
      <c r="J67" s="57">
        <f>38.53041158853*Deflactores!$G$5</f>
        <v>101.43987912651566</v>
      </c>
      <c r="K67" s="57">
        <f>36.11206215059*Deflactores!$H$5</f>
        <v>89.950821637371305</v>
      </c>
      <c r="L67" s="57">
        <f>93.0244481236*Deflactores!$I$5</f>
        <v>215.197688797333</v>
      </c>
      <c r="M67" s="57">
        <f>35.52198580133*Deflactores!$J$5</f>
        <v>80.561930955810524</v>
      </c>
      <c r="N67" s="57">
        <f>47.23435662654*Deflactores!$K$5</f>
        <v>103.83220086233516</v>
      </c>
      <c r="O67" s="57">
        <f>26.999793958*Deflactores!$L$5</f>
        <v>57.219493082999278</v>
      </c>
      <c r="P67" s="57">
        <f>70.0109971273099*Deflactores!$M$5</f>
        <v>144.83724299584802</v>
      </c>
      <c r="Q67" s="57">
        <f>37.47919553503*Deflactores!$N$5</f>
        <v>76.06057731516735</v>
      </c>
      <c r="R67" s="57">
        <f>19.08622883591*Deflactores!$O$5</f>
        <v>37.366143645491711</v>
      </c>
      <c r="S67" s="57">
        <f>16.82887569798*Deflactores!$P$5</f>
        <v>30.857732677234402</v>
      </c>
      <c r="T67" s="57">
        <f>10.5742991878899*Deflactores!$Q$5</f>
        <v>18.334966796965439</v>
      </c>
      <c r="U67" s="57">
        <f>8.47548850454999*Deflactores!$R$5</f>
        <v>14.118360412739982</v>
      </c>
      <c r="V67" s="57">
        <f>7.03642349455999*Deflactores!$S$5</f>
        <v>11.359938276780749</v>
      </c>
    </row>
    <row r="68" spans="3:22" x14ac:dyDescent="0.2">
      <c r="C68" s="87" t="s">
        <v>139</v>
      </c>
      <c r="D68" s="56">
        <f>119.727238948879*Deflactores!$A$5</f>
        <v>446.81194752622076</v>
      </c>
      <c r="E68" s="56">
        <f>158.44519155018*Deflactores!$B$5</f>
        <v>549.29251624234519</v>
      </c>
      <c r="F68" s="56">
        <f>128.16769484692*Deflactores!$C$5</f>
        <v>415.29101356168775</v>
      </c>
      <c r="G68" s="56">
        <f>110.97813783851*Deflactores!$D$5</f>
        <v>337.67352591908144</v>
      </c>
      <c r="H68" s="56">
        <f>209.49339619641*Deflactores!$E$5</f>
        <v>604.21273909644196</v>
      </c>
      <c r="I68" s="56">
        <f>175.34865527804*Deflactores!$F$5</f>
        <v>482.31653428152782</v>
      </c>
      <c r="J68" s="56">
        <f>263.213575186869*Deflactores!$G$5</f>
        <v>692.96828532613904</v>
      </c>
      <c r="K68" s="56">
        <f>408.65473663742*Deflactores!$H$5</f>
        <v>1017.9100039552558</v>
      </c>
      <c r="L68" s="56">
        <f>759.43853059978*Deflactores!$I$5</f>
        <v>1756.8437100703834</v>
      </c>
      <c r="M68" s="56">
        <f>717.45672782416*Deflactores!$J$5</f>
        <v>1627.1528200596156</v>
      </c>
      <c r="N68" s="56">
        <f>451.126281778649*Deflactores!$K$5</f>
        <v>991.6814380319064</v>
      </c>
      <c r="O68" s="56">
        <f>3943.69980383221*Deflactores!$L$5</f>
        <v>8357.7120624633881</v>
      </c>
      <c r="P68" s="56">
        <f>408.405348834899*Deflactores!$M$5</f>
        <v>844.9001896436381</v>
      </c>
      <c r="Q68" s="56">
        <f>671.95415504055*Deflactores!$N$5</f>
        <v>1363.6691031412447</v>
      </c>
      <c r="R68" s="56">
        <f>687.02972218934*Deflactores!$O$5</f>
        <v>1345.0352874187972</v>
      </c>
      <c r="S68" s="56">
        <f>798.00337470015*Deflactores!$P$5</f>
        <v>1463.233507333106</v>
      </c>
      <c r="T68" s="56">
        <f>936.72266709488*Deflactores!$Q$5</f>
        <v>1624.2002135535147</v>
      </c>
      <c r="U68" s="56">
        <f>1005.9413361351*Deflactores!$R$5</f>
        <v>1675.6842192640829</v>
      </c>
      <c r="V68" s="56">
        <f>271.1353616903*Deflactores!$S$5</f>
        <v>437.7338822536347</v>
      </c>
    </row>
    <row r="69" spans="3:22" x14ac:dyDescent="0.2">
      <c r="C69" s="88" t="s">
        <v>140</v>
      </c>
      <c r="D69" s="57">
        <f>227.23497030876*Deflactores!$A$5</f>
        <v>848.0217243886475</v>
      </c>
      <c r="E69" s="57">
        <f>394.08415434986*Deflactores!$B$5</f>
        <v>1366.1978292696597</v>
      </c>
      <c r="F69" s="57">
        <f>242.43145180094*Deflactores!$C$5</f>
        <v>785.53026531289959</v>
      </c>
      <c r="G69" s="57">
        <f>341.77931677173*Deflactores!$D$5</f>
        <v>1039.9329924643671</v>
      </c>
      <c r="H69" s="57">
        <f>654.389601783899*Deflactores!$E$5</f>
        <v>1887.3651432877728</v>
      </c>
      <c r="I69" s="57">
        <f>814.257229966939*Deflactores!$F$5</f>
        <v>2239.7076530105273</v>
      </c>
      <c r="J69" s="57">
        <f>782.82997354275*Deflactores!$G$5</f>
        <v>2060.9740363227625</v>
      </c>
      <c r="K69" s="57">
        <f>2428.00388549644*Deflactores!$H$5</f>
        <v>6047.8668741869824</v>
      </c>
      <c r="L69" s="57">
        <f>1682.69411147202*Deflactores!$I$5</f>
        <v>3892.6528568116705</v>
      </c>
      <c r="M69" s="57">
        <f>6369.59814044289*Deflactores!$J$5</f>
        <v>14445.901996487095</v>
      </c>
      <c r="N69" s="57">
        <f>1352.05280337109*Deflactores!$K$5</f>
        <v>2972.1293626603574</v>
      </c>
      <c r="O69" s="57">
        <f>2121.27851630293*Deflactores!$L$5</f>
        <v>4495.533617016592</v>
      </c>
      <c r="P69" s="57">
        <f>2497.2536351605*Deflactores!$M$5</f>
        <v>5166.2645358455538</v>
      </c>
      <c r="Q69" s="57">
        <f>3073.39334532385*Deflactores!$N$5</f>
        <v>6237.1688832925329</v>
      </c>
      <c r="R69" s="57">
        <f>2523.4668918607*Deflactores!$O$5</f>
        <v>4940.3277712201716</v>
      </c>
      <c r="S69" s="57">
        <f>2646.63690577086*Deflactores!$P$5</f>
        <v>4852.921585354803</v>
      </c>
      <c r="T69" s="57">
        <f>2640.86416113166*Deflactores!$Q$5</f>
        <v>4579.0416791968219</v>
      </c>
      <c r="U69" s="57">
        <f>3137.39968365568*Deflactores!$R$5</f>
        <v>5226.2402891453339</v>
      </c>
      <c r="V69" s="57">
        <f>3484.49702719016*Deflactores!$S$5</f>
        <v>5625.5384834510342</v>
      </c>
    </row>
    <row r="70" spans="3:22" x14ac:dyDescent="0.2">
      <c r="C70" s="87" t="s">
        <v>141</v>
      </c>
      <c r="D70" s="56">
        <f>5.64863593475*Deflactores!$A$5</f>
        <v>21.080232410185992</v>
      </c>
      <c r="E70" s="56">
        <f>20.0888766262399*Deflactores!$B$5</f>
        <v>69.643448832681301</v>
      </c>
      <c r="F70" s="56">
        <f>17.040597778*Deflactores!$C$5</f>
        <v>55.215217308659632</v>
      </c>
      <c r="G70" s="56">
        <f>12.34781983744*Deflactores!$D$5</f>
        <v>37.570749907420904</v>
      </c>
      <c r="H70" s="56">
        <f>22.20479667019*Deflactores!$E$5</f>
        <v>64.042214507785829</v>
      </c>
      <c r="I70" s="56">
        <f>23.7869984367499*Deflactores!$F$5</f>
        <v>65.42886016879622</v>
      </c>
      <c r="J70" s="56">
        <f>30.1996308465999*Deflactores!$G$5</f>
        <v>79.507245742903919</v>
      </c>
      <c r="K70" s="56">
        <f>38.2449217338699*Deflactores!$H$5</f>
        <v>95.263519404481073</v>
      </c>
      <c r="L70" s="56">
        <f>46.1133924340599*Deflactores!$I$5</f>
        <v>106.6762090459159</v>
      </c>
      <c r="M70" s="56">
        <f>58.40956156394*Deflactores!$J$5</f>
        <v>132.4697074141929</v>
      </c>
      <c r="N70" s="56">
        <f>71.1284227231599*Deflactores!$K$5</f>
        <v>156.35696562155584</v>
      </c>
      <c r="O70" s="56">
        <f>78.90159201012*Deflactores!$L$5</f>
        <v>167.21272411499237</v>
      </c>
      <c r="P70" s="56">
        <f>74.44581626539*Deflactores!$M$5</f>
        <v>154.01190131383652</v>
      </c>
      <c r="Q70" s="56">
        <f>95.60328578269*Deflactores!$N$5</f>
        <v>194.01806805223126</v>
      </c>
      <c r="R70" s="56">
        <f>75.9384131105*Deflactores!$O$5</f>
        <v>148.66874314945545</v>
      </c>
      <c r="S70" s="56">
        <f>153.2975827367*Deflactores!$P$5</f>
        <v>281.08923691932154</v>
      </c>
      <c r="T70" s="56">
        <f>88.1234609444*Deflactores!$Q$5</f>
        <v>152.79884763423979</v>
      </c>
      <c r="U70" s="56">
        <f>214.37124976986*Deflactores!$R$5</f>
        <v>357.0968876608822</v>
      </c>
      <c r="V70" s="56">
        <f>218.45234918743*Deflactores!$S$5</f>
        <v>352.6799097731315</v>
      </c>
    </row>
    <row r="71" spans="3:22" x14ac:dyDescent="0.2">
      <c r="C71" s="88" t="s">
        <v>142</v>
      </c>
      <c r="D71" s="57">
        <f>319.71505752809*Deflactores!$A$5</f>
        <v>1193.1496020598838</v>
      </c>
      <c r="E71" s="57">
        <f>1026.7587121883*Deflactores!$B$5</f>
        <v>3559.5329279086632</v>
      </c>
      <c r="F71" s="57">
        <f>816.77624874391*Deflactores!$C$5</f>
        <v>2646.5314570813075</v>
      </c>
      <c r="G71" s="57">
        <f>368.7337686534*Deflactores!$D$5</f>
        <v>1121.947387221506</v>
      </c>
      <c r="H71" s="57">
        <f>239.0631142026*Deflactores!$E$5</f>
        <v>689.49657445934201</v>
      </c>
      <c r="I71" s="57">
        <f>133.09740078643*Deflactores!$F$5</f>
        <v>366.09962572795365</v>
      </c>
      <c r="J71" s="57">
        <f>231.06354141588*Deflactores!$G$5</f>
        <v>608.32617004145925</v>
      </c>
      <c r="K71" s="57">
        <f>354.545164823959*Deflactores!$H$5</f>
        <v>883.12954132837581</v>
      </c>
      <c r="L71" s="57">
        <f>557.914150005*Deflactores!$I$5</f>
        <v>1290.6481903432573</v>
      </c>
      <c r="M71" s="57">
        <f>1033.4395108197*Deflactores!$J$5</f>
        <v>2343.7845784665014</v>
      </c>
      <c r="N71" s="57">
        <f>822.2258136482*Deflactores!$K$5</f>
        <v>1807.4452990209093</v>
      </c>
      <c r="O71" s="57">
        <f>800.47422819391*Deflactores!$L$5</f>
        <v>1696.4103368533051</v>
      </c>
      <c r="P71" s="57">
        <f>882.597791052379*Deflactores!$M$5</f>
        <v>1825.8993011883126</v>
      </c>
      <c r="Q71" s="57">
        <f>450.650062939899*Deflactores!$N$5</f>
        <v>914.55281963798916</v>
      </c>
      <c r="R71" s="57">
        <f>267.55806601478*Deflactores!$O$5</f>
        <v>523.81291318314823</v>
      </c>
      <c r="S71" s="57">
        <f>237.976973845649*Deflactores!$P$5</f>
        <v>436.35890917821001</v>
      </c>
      <c r="T71" s="57">
        <f>381.226073441589*Deflactores!$Q$5</f>
        <v>661.0147182797698</v>
      </c>
      <c r="U71" s="57">
        <f>358.58074157386*Deflactores!$R$5</f>
        <v>597.31921574662442</v>
      </c>
      <c r="V71" s="57">
        <f>306.02988571119*Deflactores!$S$5</f>
        <v>494.06926902809744</v>
      </c>
    </row>
    <row r="72" spans="3:22" x14ac:dyDescent="0.2">
      <c r="C72" s="87" t="s">
        <v>143</v>
      </c>
      <c r="D72" s="56">
        <f>718.892507634819*Deflactores!$A$5</f>
        <v>2682.8461444389591</v>
      </c>
      <c r="E72" s="56">
        <f>722.37718287329*Deflactores!$B$5</f>
        <v>2504.313173371751</v>
      </c>
      <c r="F72" s="56">
        <f>932.78088231035*Deflactores!$C$5</f>
        <v>3022.4115250594259</v>
      </c>
      <c r="G72" s="56">
        <f>758.92303201324*Deflactores!$D$5</f>
        <v>2309.1774750628792</v>
      </c>
      <c r="H72" s="56">
        <f>685.51949633694*Deflactores!$E$5</f>
        <v>1977.1487794174859</v>
      </c>
      <c r="I72" s="56">
        <f>559.62141062962*Deflactores!$F$5</f>
        <v>1539.3027044127045</v>
      </c>
      <c r="J72" s="56">
        <f>48.00364836342*Deflactores!$G$5</f>
        <v>126.38028214229271</v>
      </c>
      <c r="K72" s="56">
        <f>132.29978147938*Deflactores!$H$5</f>
        <v>329.54290998085463</v>
      </c>
      <c r="L72" s="56">
        <f>82.8717276501*Deflactores!$I$5</f>
        <v>191.71093854002859</v>
      </c>
      <c r="M72" s="56">
        <f>48.50818394186*Deflactores!$J$5</f>
        <v>110.01392172645832</v>
      </c>
      <c r="N72" s="56">
        <f>47.92771045118*Deflactores!$K$5</f>
        <v>105.35635528573292</v>
      </c>
      <c r="O72" s="56">
        <f>66.8277242546*Deflactores!$L$5</f>
        <v>141.62509949842291</v>
      </c>
      <c r="P72" s="56">
        <f>384.054789287749*Deflactores!$M$5</f>
        <v>794.52427650241998</v>
      </c>
      <c r="Q72" s="56">
        <f>129.32715268784*Deflactores!$N$5</f>
        <v>262.45755159739275</v>
      </c>
      <c r="R72" s="56">
        <f>133.52403697987*Deflactores!$O$5</f>
        <v>261.40723706134321</v>
      </c>
      <c r="S72" s="56">
        <f>136.6506213577*Deflactores!$P$5</f>
        <v>250.56506564725689</v>
      </c>
      <c r="T72" s="56">
        <f>90.36951734326*Deflactores!$Q$5</f>
        <v>156.6933250615829</v>
      </c>
      <c r="U72" s="56">
        <f>82.9492878664099*Deflactores!$R$5</f>
        <v>138.17586342656188</v>
      </c>
      <c r="V72" s="56">
        <f>782.2668063402*Deflactores!$S$5</f>
        <v>1262.9289074015253</v>
      </c>
    </row>
    <row r="73" spans="3:22" x14ac:dyDescent="0.2">
      <c r="C73" s="88" t="s">
        <v>144</v>
      </c>
      <c r="D73" s="57">
        <f>15.2193574071399*Deflactores!$A$5</f>
        <v>56.797356916293118</v>
      </c>
      <c r="E73" s="57">
        <f>45.32678188888*Deflactores!$B$5</f>
        <v>157.13737875740898</v>
      </c>
      <c r="F73" s="57">
        <f>30.92432823204*Deflactores!$C$5</f>
        <v>100.20150265273206</v>
      </c>
      <c r="G73" s="57">
        <f>37.2056596771999*Deflactores!$D$5</f>
        <v>113.20577666951921</v>
      </c>
      <c r="H73" s="57">
        <f>67.48196439365*Deflactores!$E$5</f>
        <v>194.62886795566948</v>
      </c>
      <c r="I73" s="57">
        <f>68.95384151998*Deflactores!$F$5</f>
        <v>189.66542865458473</v>
      </c>
      <c r="J73" s="57">
        <f>80.74833162888*Deflactores!$G$5</f>
        <v>212.58794449368852</v>
      </c>
      <c r="K73" s="57">
        <f>87.14270982288*Deflactores!$H$5</f>
        <v>217.06205299458415</v>
      </c>
      <c r="L73" s="57">
        <f>95.53384608263*Deflactores!$I$5</f>
        <v>221.00279328275272</v>
      </c>
      <c r="M73" s="57">
        <f>86.6913067308*Deflactores!$J$5</f>
        <v>196.61116657093561</v>
      </c>
      <c r="N73" s="57">
        <f>132.322731976669*Deflactores!$K$5</f>
        <v>290.87641849099674</v>
      </c>
      <c r="O73" s="57">
        <f>179.644728939399*Deflactores!$L$5</f>
        <v>380.7132876989794</v>
      </c>
      <c r="P73" s="57">
        <f>108.201749797299*Deflactores!$M$5</f>
        <v>223.84544958657855</v>
      </c>
      <c r="Q73" s="57">
        <f>278.88190536155*Deflactores!$N$5</f>
        <v>565.96515538140625</v>
      </c>
      <c r="R73" s="57">
        <f>250.50582259173*Deflactores!$O$5</f>
        <v>490.42881291370395</v>
      </c>
      <c r="S73" s="57">
        <f>209.56169389352*Deflactores!$P$5</f>
        <v>384.25613484867932</v>
      </c>
      <c r="T73" s="57">
        <f>157.6644854495*Deflactores!$Q$5</f>
        <v>273.37727582815597</v>
      </c>
      <c r="U73" s="57">
        <f>230.93068023465*Deflactores!$R$5</f>
        <v>384.68137525780389</v>
      </c>
      <c r="V73" s="57">
        <f>214.92697770978*Deflactores!$S$5</f>
        <v>346.98838162395327</v>
      </c>
    </row>
    <row r="74" spans="3:22" x14ac:dyDescent="0.2">
      <c r="C74" s="87" t="s">
        <v>145</v>
      </c>
      <c r="D74" s="56">
        <f>26.09426472715*Deflactores!$A$5</f>
        <v>97.381592897009043</v>
      </c>
      <c r="E74" s="56">
        <f>0.326138672*Deflactores!$B$5</f>
        <v>1.1306466926140895</v>
      </c>
      <c r="F74" s="56">
        <f>14.252334354*Deflactores!$C$5</f>
        <v>46.180641592735633</v>
      </c>
      <c r="G74" s="56">
        <f>15.019419406*Deflactores!$D$5</f>
        <v>45.699634242029994</v>
      </c>
      <c r="H74" s="56">
        <f>22.930728134*Deflactores!$E$5</f>
        <v>66.135917918530595</v>
      </c>
      <c r="I74" s="56">
        <f>56.181247037*Deflactores!$F$5</f>
        <v>154.5329464861527</v>
      </c>
      <c r="J74" s="56">
        <f>91.83233440581*Deflactores!$G$5</f>
        <v>241.76904730507013</v>
      </c>
      <c r="K74" s="56">
        <f>98.24444500864*Deflactores!$H$5</f>
        <v>244.71514567578711</v>
      </c>
      <c r="L74" s="56">
        <f>109.529061624*Deflactores!$I$5</f>
        <v>253.37856222815608</v>
      </c>
      <c r="M74" s="56">
        <f>120.392690806*Deflactores!$J$5</f>
        <v>273.04407187545439</v>
      </c>
      <c r="N74" s="56">
        <f>76.071545116*Deflactores!$K$5</f>
        <v>167.22310869699876</v>
      </c>
      <c r="O74" s="56">
        <f>60.92003483266*Deflactores!$L$5</f>
        <v>129.10518936351446</v>
      </c>
      <c r="P74" s="56">
        <f>65.12523317392*Deflactores!$M$5</f>
        <v>134.72967975616589</v>
      </c>
      <c r="Q74" s="56">
        <f>60.47270304083*Deflactores!$N$5</f>
        <v>122.72378420703272</v>
      </c>
      <c r="R74" s="56">
        <f>68.62930038107*Deflactores!$O$5</f>
        <v>134.35929739581758</v>
      </c>
      <c r="S74" s="56">
        <f>79.91722015371*Deflactores!$P$5</f>
        <v>146.5376689487866</v>
      </c>
      <c r="T74" s="56">
        <f>82.378584339*Deflactores!$Q$5</f>
        <v>142.83770317056667</v>
      </c>
      <c r="U74" s="56">
        <f>93.826054076*Deflactores!$R$5</f>
        <v>156.2942415459666</v>
      </c>
      <c r="V74" s="56">
        <f>97.8293452713999*Deflactores!$S$5</f>
        <v>157.94036910941657</v>
      </c>
    </row>
    <row r="75" spans="3:22" x14ac:dyDescent="0.2">
      <c r="C75" s="88" t="s">
        <v>146</v>
      </c>
      <c r="D75" s="57">
        <f>3.22159064087999*Deflactores!$A$5</f>
        <v>12.022704282009265</v>
      </c>
      <c r="E75" s="57">
        <f>4.51765405322999*Deflactores!$B$5</f>
        <v>15.661652702317753</v>
      </c>
      <c r="F75" s="57">
        <f>1.57433331087*Deflactores!$C$5</f>
        <v>5.1011799590842184</v>
      </c>
      <c r="G75" s="57">
        <f>2.73446456904*Deflactores!$D$5</f>
        <v>8.3201638675192182</v>
      </c>
      <c r="H75" s="57">
        <f>2.8179860867*Deflactores!$E$5</f>
        <v>8.1275263234758146</v>
      </c>
      <c r="I75" s="57">
        <f>4.37867774702*Deflactores!$F$5</f>
        <v>12.044054015296586</v>
      </c>
      <c r="J75" s="57">
        <f>5.86855709659999*Deflactores!$G$5</f>
        <v>15.450281945687117</v>
      </c>
      <c r="K75" s="57">
        <f>5.98697280648*Deflactores!$H$5</f>
        <v>14.912832194897964</v>
      </c>
      <c r="L75" s="57">
        <f>9.21550287405*Deflactores!$I$5</f>
        <v>21.318642137664238</v>
      </c>
      <c r="M75" s="57">
        <f>10.9045053922699*Deflactores!$J$5</f>
        <v>24.730824887791588</v>
      </c>
      <c r="N75" s="57">
        <f>12.43080617001*Deflactores!$K$5</f>
        <v>27.32582923337641</v>
      </c>
      <c r="O75" s="57">
        <f>12.7747935133372*Deflactores!$L$5</f>
        <v>27.073066194883214</v>
      </c>
      <c r="P75" s="57">
        <f>69.8538993243879*Deflactores!$M$5</f>
        <v>144.5122424446553</v>
      </c>
      <c r="Q75" s="57">
        <f>59.930301032965*Deflactores!$N$5</f>
        <v>121.62302926109055</v>
      </c>
      <c r="R75" s="57">
        <f>55.7023213212515*Deflactores!$O$5</f>
        <v>109.05145053910189</v>
      </c>
      <c r="S75" s="57">
        <f>70.3600827777151*Deflactores!$P$5</f>
        <v>129.01352796630522</v>
      </c>
      <c r="T75" s="57">
        <f>84.21693369572*Deflactores!$Q$5</f>
        <v>146.02525005360604</v>
      </c>
      <c r="U75" s="57">
        <f>93.59706901458*Deflactores!$R$5</f>
        <v>155.91280115766031</v>
      </c>
      <c r="V75" s="57">
        <f>73.26330434615*Deflactores!$S$5</f>
        <v>118.279778920173</v>
      </c>
    </row>
    <row r="76" spans="3:22" x14ac:dyDescent="0.2">
      <c r="C76" s="90" t="s">
        <v>147</v>
      </c>
      <c r="D76" s="58">
        <f>989.78775145476*Deflactores!$A$5</f>
        <v>3693.8043234583506</v>
      </c>
      <c r="E76" s="58">
        <f>1755.89557409813*Deflactores!$B$5</f>
        <v>6087.2803315694146</v>
      </c>
      <c r="F76" s="58">
        <f>1494.75505883773*Deflactores!$C$5</f>
        <v>4843.3292348169171</v>
      </c>
      <c r="G76" s="58">
        <f>1777.32729708236*Deflactores!$D$5</f>
        <v>5407.8793067455299</v>
      </c>
      <c r="H76" s="58">
        <f>2359.2248863853*Deflactores!$E$5</f>
        <v>6804.3850385188507</v>
      </c>
      <c r="I76" s="58">
        <f>2420.14798968525*Deflactores!$F$5</f>
        <v>6656.89388368855</v>
      </c>
      <c r="J76" s="58">
        <f>3170.72773514745*Deflactores!$G$5</f>
        <v>8347.6460524547219</v>
      </c>
      <c r="K76" s="58">
        <f>3552.98136967907*Deflactores!$H$5</f>
        <v>8850.0510475468291</v>
      </c>
      <c r="L76" s="58">
        <f>2975.2371666732*Deflactores!$I$5</f>
        <v>6882.751521850364</v>
      </c>
      <c r="M76" s="58">
        <f>3409.17739509461*Deflactores!$J$5</f>
        <v>7731.8288300604709</v>
      </c>
      <c r="N76" s="58">
        <f>4255.79829299177*Deflactores!$K$5</f>
        <v>9355.2434021979752</v>
      </c>
      <c r="O76" s="58">
        <f>5311.28893396895*Deflactores!$L$5</f>
        <v>11255.984430540406</v>
      </c>
      <c r="P76" s="58">
        <f>5908.56287567496*Deflactores!$M$5</f>
        <v>12223.50762158418</v>
      </c>
      <c r="Q76" s="58">
        <f>7077.15248863616*Deflactores!$N$5</f>
        <v>14362.429511861423</v>
      </c>
      <c r="R76" s="58">
        <f>8187.49563742287*Deflactores!$O$5</f>
        <v>16029.103534018966</v>
      </c>
      <c r="S76" s="58">
        <f>8948.61063958914*Deflactores!$P$5</f>
        <v>16408.335286607537</v>
      </c>
      <c r="T76" s="58">
        <f>9122.47074600947*Deflactores!$Q$5</f>
        <v>15817.615452561155</v>
      </c>
      <c r="U76" s="58">
        <f>5262.64191461493*Deflactores!$R$5</f>
        <v>8766.4416315163835</v>
      </c>
      <c r="V76" s="58">
        <f>5211.67511385831*Deflactores!$S$5</f>
        <v>8413.9773079088845</v>
      </c>
    </row>
    <row r="77" spans="3:22" ht="22.5" customHeight="1" x14ac:dyDescent="0.2">
      <c r="C77" s="89" t="s">
        <v>148</v>
      </c>
      <c r="D77" s="59">
        <f>0*Deflactores!$A$5</f>
        <v>0</v>
      </c>
      <c r="E77" s="59">
        <f>0*Deflactores!$B$5</f>
        <v>0</v>
      </c>
      <c r="F77" s="59">
        <f>0*Deflactores!$C$5</f>
        <v>0</v>
      </c>
      <c r="G77" s="59">
        <f>0*Deflactores!$D$5</f>
        <v>0</v>
      </c>
      <c r="H77" s="59">
        <f>0*Deflactores!$E$5</f>
        <v>0</v>
      </c>
      <c r="I77" s="59">
        <f>0*Deflactores!$F$5</f>
        <v>0</v>
      </c>
      <c r="J77" s="59">
        <f>0*Deflactores!$G$5</f>
        <v>0</v>
      </c>
      <c r="K77" s="59">
        <f>0*Deflactores!$H$5</f>
        <v>0</v>
      </c>
      <c r="L77" s="59">
        <f>0*Deflactores!$I$5</f>
        <v>0</v>
      </c>
      <c r="M77" s="59">
        <f>0*Deflactores!$J$5</f>
        <v>0</v>
      </c>
      <c r="N77" s="59">
        <f>0*Deflactores!$K$5</f>
        <v>0</v>
      </c>
      <c r="O77" s="59">
        <f>0*Deflactores!$L$5</f>
        <v>0</v>
      </c>
      <c r="P77" s="59">
        <f>0*Deflactores!$M$5</f>
        <v>0</v>
      </c>
      <c r="Q77" s="59">
        <f>0*Deflactores!$N$5</f>
        <v>0</v>
      </c>
      <c r="R77" s="59">
        <f>0*Deflactores!$O$5</f>
        <v>0</v>
      </c>
      <c r="S77" s="59">
        <f>0*Deflactores!$P$5</f>
        <v>0</v>
      </c>
      <c r="T77" s="59">
        <f>0*Deflactores!$Q$5</f>
        <v>0</v>
      </c>
      <c r="U77" s="59">
        <f>0*Deflactores!$R$5</f>
        <v>0</v>
      </c>
      <c r="V77" s="59">
        <f>20.4014959273*Deflactores!$S$5</f>
        <v>32.93714977037699</v>
      </c>
    </row>
    <row r="78" spans="3:22" x14ac:dyDescent="0.2">
      <c r="C78" s="87" t="s">
        <v>149</v>
      </c>
      <c r="D78" s="56">
        <f>94.92866373272*Deflactores!$A$5</f>
        <v>354.26575849284188</v>
      </c>
      <c r="E78" s="56">
        <f>124.96637658264*Deflactores!$B$5</f>
        <v>433.22927485008188</v>
      </c>
      <c r="F78" s="56">
        <f>127.09479091885*Deflactores!$C$5</f>
        <v>411.81457310393682</v>
      </c>
      <c r="G78" s="56">
        <f>62.45041103596*Deflactores!$D$5</f>
        <v>190.01806031647914</v>
      </c>
      <c r="H78" s="56">
        <f>115.19599336315*Deflactores!$E$5</f>
        <v>332.24382222353393</v>
      </c>
      <c r="I78" s="56">
        <f>135.943686189019*Deflactores!$F$5</f>
        <v>373.92865931122259</v>
      </c>
      <c r="J78" s="56">
        <f>171.3510852463*Deflactores!$G$5</f>
        <v>451.11984686808529</v>
      </c>
      <c r="K78" s="56">
        <f>291.82601416961*Deflactores!$H$5</f>
        <v>726.90364898717667</v>
      </c>
      <c r="L78" s="56">
        <f>382.78438342914*Deflactores!$I$5</f>
        <v>885.51253227768382</v>
      </c>
      <c r="M78" s="56">
        <f>555.621623883059*Deflactores!$J$5</f>
        <v>1260.1196101808691</v>
      </c>
      <c r="N78" s="56">
        <f>627.912782037709*Deflactores!$K$5</f>
        <v>1380.2996540008746</v>
      </c>
      <c r="O78" s="56">
        <f>727.79979852558*Deflactores!$L$5</f>
        <v>1542.394567985343</v>
      </c>
      <c r="P78" s="56">
        <f>788.39366213296*Deflactores!$M$5</f>
        <v>1631.0118282002766</v>
      </c>
      <c r="Q78" s="56">
        <f>993.413038428192*Deflactores!$N$5</f>
        <v>2016.0403161439503</v>
      </c>
      <c r="R78" s="56">
        <f>1447.40953454117*Deflactores!$O$5</f>
        <v>2833.6720180029747</v>
      </c>
      <c r="S78" s="56">
        <f>1085.93943674198*Deflactores!$P$5</f>
        <v>1991.1983096216427</v>
      </c>
      <c r="T78" s="56">
        <f>1067.36258416419*Deflactores!$Q$5</f>
        <v>1850.7191061310277</v>
      </c>
      <c r="U78" s="56">
        <f>1123.12554452276*Deflactores!$R$5</f>
        <v>1870.8881756862331</v>
      </c>
      <c r="V78" s="56">
        <f>968.907864216589*Deflactores!$S$5</f>
        <v>1564.2511485980706</v>
      </c>
    </row>
    <row r="79" spans="3:22" x14ac:dyDescent="0.2">
      <c r="C79" s="88" t="s">
        <v>150</v>
      </c>
      <c r="D79" s="57">
        <f>702.01381730529*Deflactores!$A$5</f>
        <v>2619.8562971490792</v>
      </c>
      <c r="E79" s="57">
        <f>1373.06638180853*Deflactores!$B$5</f>
        <v>4760.1008301505835</v>
      </c>
      <c r="F79" s="57">
        <f>1247.4656233438*Deflactores!$C$5</f>
        <v>4042.0580530887096</v>
      </c>
      <c r="G79" s="57">
        <f>916.490096626689*Deflactores!$D$5</f>
        <v>2788.6072736973288</v>
      </c>
      <c r="H79" s="57">
        <f>1123.21922522114*Deflactores!$E$5</f>
        <v>3239.5453842390775</v>
      </c>
      <c r="I79" s="57">
        <f>1451.19082690951*Deflactores!$F$5</f>
        <v>3991.6663695327252</v>
      </c>
      <c r="J79" s="57">
        <f>2186.62970227212*Deflactores!$G$5</f>
        <v>5756.7890803160581</v>
      </c>
      <c r="K79" s="57">
        <f>2790.25660309624*Deflactores!$H$5</f>
        <v>6950.1950063382574</v>
      </c>
      <c r="L79" s="57">
        <f>2278.7590363171*Deflactores!$I$5</f>
        <v>5271.5569705924327</v>
      </c>
      <c r="M79" s="57">
        <f>3356.08929555989*Deflactores!$J$5</f>
        <v>7611.427908974264</v>
      </c>
      <c r="N79" s="57">
        <f>3462.36372206233*Deflactores!$K$5</f>
        <v>7611.0880114251404</v>
      </c>
      <c r="O79" s="57">
        <f>4715.7018796556*Deflactores!$L$5</f>
        <v>9993.7826008664797</v>
      </c>
      <c r="P79" s="57">
        <f>7302.37233020823*Deflactores!$M$5</f>
        <v>15106.990601965814</v>
      </c>
      <c r="Q79" s="57">
        <f>7870.85595220785*Deflactores!$N$5</f>
        <v>15973.177629437376</v>
      </c>
      <c r="R79" s="57">
        <f>6921.97566008769*Deflactores!$O$5</f>
        <v>13551.526550850036</v>
      </c>
      <c r="S79" s="57">
        <f>6469.63236206052*Deflactores!$P$5</f>
        <v>11862.835612506844</v>
      </c>
      <c r="T79" s="57">
        <f>5231.96920664025*Deflactores!$Q$5</f>
        <v>9071.805136396657</v>
      </c>
      <c r="U79" s="57">
        <f>5573.50352266434*Deflactores!$R$5</f>
        <v>9284.2709246089726</v>
      </c>
      <c r="V79" s="57">
        <f>4461.96739629762*Deflactores!$S$5</f>
        <v>7203.6133490454067</v>
      </c>
    </row>
    <row r="80" spans="3:22" x14ac:dyDescent="0.2">
      <c r="C80" s="87" t="s">
        <v>151</v>
      </c>
      <c r="D80" s="56">
        <f>144.665488085*Deflactores!$A$5</f>
        <v>539.87938783662503</v>
      </c>
      <c r="E80" s="56">
        <f>168.7184571175*Deflactores!$B$5</f>
        <v>584.90753136706667</v>
      </c>
      <c r="F80" s="56">
        <f>137.165073188*Deflactores!$C$5</f>
        <v>444.44446268260629</v>
      </c>
      <c r="G80" s="56">
        <f>180.8746133005*Deflactores!$D$5</f>
        <v>550.3477496739572</v>
      </c>
      <c r="H80" s="56">
        <f>222.92307995768*Deflactores!$E$5</f>
        <v>642.94611283481174</v>
      </c>
      <c r="I80" s="56">
        <f>253.97432739284*Deflactores!$F$5</f>
        <v>698.5854393371992</v>
      </c>
      <c r="J80" s="56">
        <f>196.418069320079*Deflactores!$G$5</f>
        <v>517.1142582869187</v>
      </c>
      <c r="K80" s="56">
        <f>367.54313335697*Deflactores!$H$5</f>
        <v>915.50592416371421</v>
      </c>
      <c r="L80" s="56">
        <f>429.39915759823*Deflactores!$I$5</f>
        <v>993.34861050594964</v>
      </c>
      <c r="M80" s="56">
        <f>692.95606381532*Deflactores!$J$5</f>
        <v>1571.5866472310183</v>
      </c>
      <c r="N80" s="56">
        <f>619.85669036762*Deflactores!$K$5</f>
        <v>1362.5904738998786</v>
      </c>
      <c r="O80" s="56">
        <f>806.44353048476*Deflactores!$L$5</f>
        <v>1709.0608204708078</v>
      </c>
      <c r="P80" s="56">
        <f>1713.8504980374*Deflactores!$M$5</f>
        <v>3545.5769983022951</v>
      </c>
      <c r="Q80" s="56">
        <f>2092.226253567*Deflactores!$N$5</f>
        <v>4245.9805886580207</v>
      </c>
      <c r="R80" s="56">
        <f>2185.42250531032*Deflactores!$O$5</f>
        <v>4278.519971733449</v>
      </c>
      <c r="S80" s="56">
        <f>2280.40329289248*Deflactores!$P$5</f>
        <v>4181.3889692469247</v>
      </c>
      <c r="T80" s="56">
        <f>1485.76237457173*Deflactores!$Q$5</f>
        <v>2576.1899982129421</v>
      </c>
      <c r="U80" s="56">
        <f>1899.18062441549*Deflactores!$R$5</f>
        <v>3163.6308078284769</v>
      </c>
      <c r="V80" s="56">
        <f>1828.57377922835*Deflactores!$S$5</f>
        <v>2952.1368750237134</v>
      </c>
    </row>
    <row r="81" spans="3:22" x14ac:dyDescent="0.2">
      <c r="C81" s="79" t="s">
        <v>202</v>
      </c>
      <c r="D81" s="44">
        <f t="shared" ref="D81:V81" si="1">+SUM(D52:D80)</f>
        <v>22845.645514725264</v>
      </c>
      <c r="E81" s="44">
        <f t="shared" si="1"/>
        <v>36374.943517830594</v>
      </c>
      <c r="F81" s="44">
        <f t="shared" si="1"/>
        <v>29493.903461263282</v>
      </c>
      <c r="G81" s="44">
        <f t="shared" si="1"/>
        <v>26709.821177829377</v>
      </c>
      <c r="H81" s="44">
        <f t="shared" si="1"/>
        <v>30691.880652550641</v>
      </c>
      <c r="I81" s="44">
        <f t="shared" si="1"/>
        <v>32567.359341835523</v>
      </c>
      <c r="J81" s="44">
        <f t="shared" si="1"/>
        <v>36552.614609439108</v>
      </c>
      <c r="K81" s="44">
        <f t="shared" si="1"/>
        <v>46161.129396428347</v>
      </c>
      <c r="L81" s="44">
        <f t="shared" si="1"/>
        <v>49786.515735981688</v>
      </c>
      <c r="M81" s="44">
        <f t="shared" si="1"/>
        <v>66023.057215586829</v>
      </c>
      <c r="N81" s="44">
        <f t="shared" si="1"/>
        <v>52828.673835436835</v>
      </c>
      <c r="O81" s="44">
        <f t="shared" si="1"/>
        <v>65939.328733523478</v>
      </c>
      <c r="P81" s="44">
        <f t="shared" si="1"/>
        <v>74275.906861288764</v>
      </c>
      <c r="Q81" s="44">
        <f t="shared" si="1"/>
        <v>84344.656252682122</v>
      </c>
      <c r="R81" s="44">
        <f t="shared" si="1"/>
        <v>83610.03101664412</v>
      </c>
      <c r="S81" s="44">
        <f t="shared" si="1"/>
        <v>81785.188744875268</v>
      </c>
      <c r="T81" s="44">
        <f t="shared" si="1"/>
        <v>69231.382817684338</v>
      </c>
      <c r="U81" s="44">
        <f t="shared" si="1"/>
        <v>66025.368374216036</v>
      </c>
      <c r="V81" s="44">
        <f t="shared" si="1"/>
        <v>60418.404354082595</v>
      </c>
    </row>
    <row r="82" spans="3:22" x14ac:dyDescent="0.2">
      <c r="C82" s="1" t="s">
        <v>52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3:22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ht="15" customHeight="1" x14ac:dyDescent="0.2">
      <c r="C86" s="9"/>
      <c r="D86" s="164" t="s">
        <v>204</v>
      </c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3:22" ht="11.25" hidden="1" customHeight="1" x14ac:dyDescent="0.2">
      <c r="H87" s="27"/>
      <c r="I87" s="27"/>
      <c r="J87" s="27"/>
      <c r="L87" s="179"/>
      <c r="M87" s="160"/>
      <c r="N87" s="160"/>
      <c r="O87" s="160"/>
      <c r="P87" s="160"/>
      <c r="Q87" s="160"/>
      <c r="R87" s="28"/>
      <c r="S87" s="28"/>
      <c r="T87" s="28"/>
      <c r="U87" s="28"/>
      <c r="V87" s="28"/>
    </row>
    <row r="88" spans="3:22" x14ac:dyDescent="0.2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3:22" ht="12" thickBot="1" x14ac:dyDescent="0.25">
      <c r="C89" s="181" t="s">
        <v>120</v>
      </c>
      <c r="D89" s="155">
        <v>2000</v>
      </c>
      <c r="E89" s="155">
        <v>2001</v>
      </c>
      <c r="F89" s="155">
        <v>2002</v>
      </c>
      <c r="G89" s="155">
        <v>2003</v>
      </c>
      <c r="H89" s="155">
        <v>2004</v>
      </c>
      <c r="I89" s="155">
        <v>2005</v>
      </c>
      <c r="J89" s="155">
        <v>2006</v>
      </c>
      <c r="K89" s="155">
        <v>2007</v>
      </c>
      <c r="L89" s="155">
        <v>2008</v>
      </c>
      <c r="M89" s="155">
        <v>2009</v>
      </c>
      <c r="N89" s="155">
        <v>2010</v>
      </c>
      <c r="O89" s="155">
        <v>2011</v>
      </c>
      <c r="P89" s="155">
        <v>2012</v>
      </c>
      <c r="Q89" s="155">
        <v>2013</v>
      </c>
      <c r="R89" s="155">
        <v>2014</v>
      </c>
      <c r="S89" s="155">
        <v>2015</v>
      </c>
      <c r="T89" s="155">
        <v>2016</v>
      </c>
      <c r="U89" s="155">
        <v>2017</v>
      </c>
      <c r="V89" s="155">
        <v>2018</v>
      </c>
    </row>
    <row r="90" spans="3:22" ht="12" customHeight="1" thickBot="1" x14ac:dyDescent="0.25">
      <c r="C90" s="162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</row>
    <row r="91" spans="3:22" x14ac:dyDescent="0.2">
      <c r="C91" s="87" t="s">
        <v>123</v>
      </c>
      <c r="D91" s="60">
        <f t="shared" ref="D91:V91" si="2">+IFERROR(IF(D52&gt;0,+((D52/D13)*100)," "),"")</f>
        <v>81.741481279207846</v>
      </c>
      <c r="E91" s="60">
        <f t="shared" si="2"/>
        <v>95.251202388566995</v>
      </c>
      <c r="F91" s="60">
        <f t="shared" si="2"/>
        <v>85.768151763558663</v>
      </c>
      <c r="G91" s="60">
        <f t="shared" si="2"/>
        <v>99.098643220375877</v>
      </c>
      <c r="H91" s="60">
        <f t="shared" si="2"/>
        <v>97.796966305873468</v>
      </c>
      <c r="I91" s="60">
        <f t="shared" si="2"/>
        <v>98.513812206769643</v>
      </c>
      <c r="J91" s="60">
        <f t="shared" si="2"/>
        <v>98.561719492430072</v>
      </c>
      <c r="K91" s="60">
        <f t="shared" si="2"/>
        <v>99.169458489706017</v>
      </c>
      <c r="L91" s="60">
        <f t="shared" si="2"/>
        <v>99.490188933112734</v>
      </c>
      <c r="M91" s="60">
        <f t="shared" si="2"/>
        <v>91.575614371645358</v>
      </c>
      <c r="N91" s="60">
        <f t="shared" si="2"/>
        <v>91.119811856225112</v>
      </c>
      <c r="O91" s="60">
        <f t="shared" si="2"/>
        <v>96.060657308492253</v>
      </c>
      <c r="P91" s="60">
        <f t="shared" si="2"/>
        <v>94.460669398361901</v>
      </c>
      <c r="Q91" s="60">
        <f t="shared" si="2"/>
        <v>93.704495308374874</v>
      </c>
      <c r="R91" s="60">
        <f t="shared" si="2"/>
        <v>95.418249483014932</v>
      </c>
      <c r="S91" s="60">
        <f t="shared" si="2"/>
        <v>96.096519495772938</v>
      </c>
      <c r="T91" s="60">
        <f t="shared" si="2"/>
        <v>93.487116961366823</v>
      </c>
      <c r="U91" s="60">
        <f t="shared" si="2"/>
        <v>96.797142313470218</v>
      </c>
      <c r="V91" s="60">
        <f t="shared" si="2"/>
        <v>89.530077982726482</v>
      </c>
    </row>
    <row r="92" spans="3:22" x14ac:dyDescent="0.2">
      <c r="C92" s="88" t="s">
        <v>124</v>
      </c>
      <c r="D92" s="62">
        <f t="shared" ref="D92:V92" si="3">+IFERROR(IF(D53&gt;0,+((D53/D14)*100)," "),"")</f>
        <v>56.267134061343114</v>
      </c>
      <c r="E92" s="62">
        <f t="shared" si="3"/>
        <v>89.386690927339487</v>
      </c>
      <c r="F92" s="62">
        <f t="shared" si="3"/>
        <v>80.251016114681121</v>
      </c>
      <c r="G92" s="62">
        <f t="shared" si="3"/>
        <v>97.073985160352109</v>
      </c>
      <c r="H92" s="62">
        <f t="shared" si="3"/>
        <v>97.325459769709781</v>
      </c>
      <c r="I92" s="62">
        <f t="shared" si="3"/>
        <v>97.334635915831257</v>
      </c>
      <c r="J92" s="62">
        <f t="shared" si="3"/>
        <v>98.266567254964272</v>
      </c>
      <c r="K92" s="62">
        <f t="shared" si="3"/>
        <v>98.088009206276681</v>
      </c>
      <c r="L92" s="62">
        <f t="shared" si="3"/>
        <v>95.318588477013762</v>
      </c>
      <c r="M92" s="62">
        <f t="shared" si="3"/>
        <v>94.739410840656802</v>
      </c>
      <c r="N92" s="62">
        <f t="shared" si="3"/>
        <v>89.644994811697558</v>
      </c>
      <c r="O92" s="62">
        <f t="shared" si="3"/>
        <v>95.045637195226647</v>
      </c>
      <c r="P92" s="62">
        <f t="shared" si="3"/>
        <v>90.443843720612875</v>
      </c>
      <c r="Q92" s="62">
        <f t="shared" si="3"/>
        <v>87.067247909754357</v>
      </c>
      <c r="R92" s="62">
        <f t="shared" si="3"/>
        <v>92.853728469718163</v>
      </c>
      <c r="S92" s="62">
        <f t="shared" si="3"/>
        <v>65.864843247388421</v>
      </c>
      <c r="T92" s="62">
        <f t="shared" si="3"/>
        <v>94.260264680429856</v>
      </c>
      <c r="U92" s="62">
        <f t="shared" si="3"/>
        <v>95.595765027278674</v>
      </c>
      <c r="V92" s="62">
        <f t="shared" si="3"/>
        <v>97.954636246440202</v>
      </c>
    </row>
    <row r="93" spans="3:22" x14ac:dyDescent="0.2">
      <c r="C93" s="87" t="s">
        <v>125</v>
      </c>
      <c r="D93" s="60">
        <f t="shared" ref="D93:V93" si="4">+IFERROR(IF(D54&gt;0,+((D54/D15)*100)," "),"")</f>
        <v>79.061366541040783</v>
      </c>
      <c r="E93" s="60">
        <f t="shared" si="4"/>
        <v>99.936455155361401</v>
      </c>
      <c r="F93" s="60">
        <f t="shared" si="4"/>
        <v>91.611457768206037</v>
      </c>
      <c r="G93" s="60">
        <f t="shared" si="4"/>
        <v>99.845668255802806</v>
      </c>
      <c r="H93" s="60">
        <f t="shared" si="4"/>
        <v>99.997410537776616</v>
      </c>
      <c r="I93" s="60">
        <f t="shared" si="4"/>
        <v>99.865345412431537</v>
      </c>
      <c r="J93" s="60">
        <f t="shared" si="4"/>
        <v>99.627721468689401</v>
      </c>
      <c r="K93" s="60">
        <f t="shared" si="4"/>
        <v>97.958715439563761</v>
      </c>
      <c r="L93" s="60">
        <f t="shared" si="4"/>
        <v>98.842291842336891</v>
      </c>
      <c r="M93" s="60">
        <f t="shared" si="4"/>
        <v>87.297835701853558</v>
      </c>
      <c r="N93" s="60">
        <f t="shared" si="4"/>
        <v>98.728726735528824</v>
      </c>
      <c r="O93" s="60">
        <f t="shared" si="4"/>
        <v>96.893782597576475</v>
      </c>
      <c r="P93" s="60">
        <f t="shared" si="4"/>
        <v>96.831623104969125</v>
      </c>
      <c r="Q93" s="60">
        <f t="shared" si="4"/>
        <v>98.911474162748064</v>
      </c>
      <c r="R93" s="60">
        <f t="shared" si="4"/>
        <v>99.501530553938196</v>
      </c>
      <c r="S93" s="60">
        <f t="shared" si="4"/>
        <v>99.545563452982975</v>
      </c>
      <c r="T93" s="60">
        <f t="shared" si="4"/>
        <v>99.899632305461651</v>
      </c>
      <c r="U93" s="60">
        <f t="shared" si="4"/>
        <v>99.939707188785704</v>
      </c>
      <c r="V93" s="60">
        <f t="shared" si="4"/>
        <v>99.062791312966525</v>
      </c>
    </row>
    <row r="94" spans="3:22" x14ac:dyDescent="0.2">
      <c r="C94" s="88" t="s">
        <v>126</v>
      </c>
      <c r="D94" s="62">
        <f t="shared" ref="D94:V94" si="5">+IFERROR(IF(D55&gt;0,+((D55/D16)*100)," "),"")</f>
        <v>56.400055666634962</v>
      </c>
      <c r="E94" s="62">
        <f t="shared" si="5"/>
        <v>88.371437847389885</v>
      </c>
      <c r="F94" s="62">
        <f t="shared" si="5"/>
        <v>76.329671316457961</v>
      </c>
      <c r="G94" s="62">
        <f t="shared" si="5"/>
        <v>99.756551903564301</v>
      </c>
      <c r="H94" s="62">
        <f t="shared" si="5"/>
        <v>92.047977941225952</v>
      </c>
      <c r="I94" s="62">
        <f t="shared" si="5"/>
        <v>92.641526230071008</v>
      </c>
      <c r="J94" s="62">
        <f t="shared" si="5"/>
        <v>91.972478765184334</v>
      </c>
      <c r="K94" s="62">
        <f t="shared" si="5"/>
        <v>94.495845202816426</v>
      </c>
      <c r="L94" s="62">
        <f t="shared" si="5"/>
        <v>97.112734349871175</v>
      </c>
      <c r="M94" s="62">
        <f t="shared" si="5"/>
        <v>89.703577956469587</v>
      </c>
      <c r="N94" s="62">
        <f t="shared" si="5"/>
        <v>93.986964405423947</v>
      </c>
      <c r="O94" s="62">
        <f t="shared" si="5"/>
        <v>96.087335279577985</v>
      </c>
      <c r="P94" s="62">
        <f t="shared" si="5"/>
        <v>98.057211942357156</v>
      </c>
      <c r="Q94" s="62">
        <f t="shared" si="5"/>
        <v>97.613998720264803</v>
      </c>
      <c r="R94" s="62">
        <f t="shared" si="5"/>
        <v>98.526156084687642</v>
      </c>
      <c r="S94" s="62">
        <f t="shared" si="5"/>
        <v>96.926641140390828</v>
      </c>
      <c r="T94" s="62">
        <f t="shared" si="5"/>
        <v>98.503087626128547</v>
      </c>
      <c r="U94" s="62">
        <f t="shared" si="5"/>
        <v>98.916846357246357</v>
      </c>
      <c r="V94" s="62">
        <f t="shared" si="5"/>
        <v>98.04347686004833</v>
      </c>
    </row>
    <row r="95" spans="3:22" x14ac:dyDescent="0.2">
      <c r="C95" s="87" t="s">
        <v>127</v>
      </c>
      <c r="D95" s="60" t="str">
        <f t="shared" ref="D95:V95" si="6">+IFERROR(IF(D56&gt;0,+((D56/D17)*100)," "),"")</f>
        <v xml:space="preserve"> </v>
      </c>
      <c r="E95" s="60">
        <f t="shared" si="6"/>
        <v>86.275959820053004</v>
      </c>
      <c r="F95" s="60" t="str">
        <f t="shared" si="6"/>
        <v xml:space="preserve"> </v>
      </c>
      <c r="G95" s="60">
        <f t="shared" si="6"/>
        <v>88.085089411764699</v>
      </c>
      <c r="H95" s="60" t="str">
        <f t="shared" si="6"/>
        <v xml:space="preserve"> </v>
      </c>
      <c r="I95" s="60">
        <f t="shared" si="6"/>
        <v>93.504525142857148</v>
      </c>
      <c r="J95" s="60">
        <f t="shared" si="6"/>
        <v>99.179170724705884</v>
      </c>
      <c r="K95" s="60">
        <f t="shared" si="6"/>
        <v>99.880070805755395</v>
      </c>
      <c r="L95" s="60">
        <f t="shared" si="6"/>
        <v>92.445057314136108</v>
      </c>
      <c r="M95" s="60">
        <f t="shared" si="6"/>
        <v>51.310286938032789</v>
      </c>
      <c r="N95" s="60">
        <f t="shared" si="6"/>
        <v>81.089578230025012</v>
      </c>
      <c r="O95" s="60">
        <f t="shared" si="6"/>
        <v>50.102299924000008</v>
      </c>
      <c r="P95" s="60">
        <f t="shared" si="6"/>
        <v>21.117925840680694</v>
      </c>
      <c r="Q95" s="60">
        <f t="shared" si="6"/>
        <v>61.527879768864246</v>
      </c>
      <c r="R95" s="60">
        <f t="shared" si="6"/>
        <v>88.509262768303714</v>
      </c>
      <c r="S95" s="60">
        <f t="shared" si="6"/>
        <v>97.20887210326535</v>
      </c>
      <c r="T95" s="60">
        <f t="shared" si="6"/>
        <v>99.405504612837532</v>
      </c>
      <c r="U95" s="60">
        <f t="shared" si="6"/>
        <v>97.590751183191372</v>
      </c>
      <c r="V95" s="60">
        <f t="shared" si="6"/>
        <v>98.646078351136751</v>
      </c>
    </row>
    <row r="96" spans="3:22" x14ac:dyDescent="0.2">
      <c r="C96" s="88" t="s">
        <v>128</v>
      </c>
      <c r="D96" s="62">
        <f t="shared" ref="D96:V96" si="7">+IFERROR(IF(D57&gt;0,+((D57/D18)*100)," "),"")</f>
        <v>47.218393279468756</v>
      </c>
      <c r="E96" s="62">
        <f t="shared" si="7"/>
        <v>99.862867662857994</v>
      </c>
      <c r="F96" s="62">
        <f t="shared" si="7"/>
        <v>70.276180526998104</v>
      </c>
      <c r="G96" s="62">
        <f t="shared" si="7"/>
        <v>99.961099434271674</v>
      </c>
      <c r="H96" s="62">
        <f t="shared" si="7"/>
        <v>99.896876673269787</v>
      </c>
      <c r="I96" s="62">
        <f t="shared" si="7"/>
        <v>99.904049661176046</v>
      </c>
      <c r="J96" s="62">
        <f t="shared" si="7"/>
        <v>92.137742864320586</v>
      </c>
      <c r="K96" s="62">
        <f t="shared" si="7"/>
        <v>84.53212988075461</v>
      </c>
      <c r="L96" s="62">
        <f t="shared" si="7"/>
        <v>98.835783438412903</v>
      </c>
      <c r="M96" s="62">
        <f t="shared" si="7"/>
        <v>85.677519938077168</v>
      </c>
      <c r="N96" s="62">
        <f t="shared" si="7"/>
        <v>99.364532131952302</v>
      </c>
      <c r="O96" s="62">
        <f t="shared" si="7"/>
        <v>95.583611580668205</v>
      </c>
      <c r="P96" s="62">
        <f t="shared" si="7"/>
        <v>99.38903716220446</v>
      </c>
      <c r="Q96" s="62">
        <f t="shared" si="7"/>
        <v>99.117043061941217</v>
      </c>
      <c r="R96" s="62">
        <f t="shared" si="7"/>
        <v>99.723129192564542</v>
      </c>
      <c r="S96" s="62">
        <f t="shared" si="7"/>
        <v>99.653160698196075</v>
      </c>
      <c r="T96" s="62">
        <f t="shared" si="7"/>
        <v>99.112346216238606</v>
      </c>
      <c r="U96" s="62">
        <f t="shared" si="7"/>
        <v>99.841930114921894</v>
      </c>
      <c r="V96" s="62">
        <f t="shared" si="7"/>
        <v>99.055895771724337</v>
      </c>
    </row>
    <row r="97" spans="3:22" x14ac:dyDescent="0.2">
      <c r="C97" s="87" t="s">
        <v>129</v>
      </c>
      <c r="D97" s="60">
        <f t="shared" ref="D97:V97" si="8">+IFERROR(IF(D58&gt;0,+((D58/D19)*100)," "),"")</f>
        <v>93.596184607594253</v>
      </c>
      <c r="E97" s="60">
        <f t="shared" si="8"/>
        <v>97.601176641040709</v>
      </c>
      <c r="F97" s="60">
        <f t="shared" si="8"/>
        <v>85.198913616780686</v>
      </c>
      <c r="G97" s="60">
        <f t="shared" si="8"/>
        <v>99.080177251624008</v>
      </c>
      <c r="H97" s="60">
        <f t="shared" si="8"/>
        <v>97.114913034598317</v>
      </c>
      <c r="I97" s="60">
        <f t="shared" si="8"/>
        <v>99.524297400724208</v>
      </c>
      <c r="J97" s="60">
        <f t="shared" si="8"/>
        <v>99.568478273498641</v>
      </c>
      <c r="K97" s="60">
        <f t="shared" si="8"/>
        <v>99.145645454086349</v>
      </c>
      <c r="L97" s="60">
        <f t="shared" si="8"/>
        <v>99.736140720805494</v>
      </c>
      <c r="M97" s="60">
        <f t="shared" si="8"/>
        <v>92.857962549133106</v>
      </c>
      <c r="N97" s="60">
        <f t="shared" si="8"/>
        <v>92.066885031342011</v>
      </c>
      <c r="O97" s="60">
        <f t="shared" si="8"/>
        <v>95.483098252125927</v>
      </c>
      <c r="P97" s="60">
        <f t="shared" si="8"/>
        <v>99.249063295835427</v>
      </c>
      <c r="Q97" s="60">
        <f t="shared" si="8"/>
        <v>99.039010107149892</v>
      </c>
      <c r="R97" s="60">
        <f t="shared" si="8"/>
        <v>99.36373228355086</v>
      </c>
      <c r="S97" s="60">
        <f t="shared" si="8"/>
        <v>98.792402731933961</v>
      </c>
      <c r="T97" s="60">
        <f t="shared" si="8"/>
        <v>98.317723864613072</v>
      </c>
      <c r="U97" s="60">
        <f t="shared" si="8"/>
        <v>99.597493678972654</v>
      </c>
      <c r="V97" s="60">
        <f t="shared" si="8"/>
        <v>99.043905455500422</v>
      </c>
    </row>
    <row r="98" spans="3:22" x14ac:dyDescent="0.2">
      <c r="C98" s="88" t="s">
        <v>130</v>
      </c>
      <c r="D98" s="62">
        <f t="shared" ref="D98:V98" si="9">+IFERROR(IF(D59&gt;0,+((D59/D20)*100)," "),"")</f>
        <v>83.948572674793098</v>
      </c>
      <c r="E98" s="62">
        <f t="shared" si="9"/>
        <v>98.804781476094547</v>
      </c>
      <c r="F98" s="62">
        <f t="shared" si="9"/>
        <v>88.775095128870319</v>
      </c>
      <c r="G98" s="62">
        <f t="shared" si="9"/>
        <v>96.249317951000251</v>
      </c>
      <c r="H98" s="62">
        <f t="shared" si="9"/>
        <v>99.25868760739894</v>
      </c>
      <c r="I98" s="62">
        <f t="shared" si="9"/>
        <v>99.40342697107431</v>
      </c>
      <c r="J98" s="62">
        <f t="shared" si="9"/>
        <v>97.46451519403449</v>
      </c>
      <c r="K98" s="62">
        <f t="shared" si="9"/>
        <v>96.570566114478254</v>
      </c>
      <c r="L98" s="62">
        <f t="shared" si="9"/>
        <v>98.463305688096597</v>
      </c>
      <c r="M98" s="62">
        <f t="shared" si="9"/>
        <v>93.08596604025972</v>
      </c>
      <c r="N98" s="62">
        <f t="shared" si="9"/>
        <v>98.255010683988928</v>
      </c>
      <c r="O98" s="62">
        <f t="shared" si="9"/>
        <v>99.377527885354894</v>
      </c>
      <c r="P98" s="62">
        <f t="shared" si="9"/>
        <v>94.143725387640885</v>
      </c>
      <c r="Q98" s="62">
        <f t="shared" si="9"/>
        <v>95.051529652547359</v>
      </c>
      <c r="R98" s="62">
        <f t="shared" si="9"/>
        <v>95.509726926351391</v>
      </c>
      <c r="S98" s="62">
        <f t="shared" si="9"/>
        <v>98.230277215616184</v>
      </c>
      <c r="T98" s="62">
        <f t="shared" si="9"/>
        <v>98.887004591858982</v>
      </c>
      <c r="U98" s="62">
        <f t="shared" si="9"/>
        <v>98.732996833185581</v>
      </c>
      <c r="V98" s="62">
        <f t="shared" si="9"/>
        <v>99.334745993127711</v>
      </c>
    </row>
    <row r="99" spans="3:22" x14ac:dyDescent="0.2">
      <c r="C99" s="87" t="s">
        <v>131</v>
      </c>
      <c r="D99" s="60">
        <f t="shared" ref="D99:V99" si="10">+IFERROR(IF(D60&gt;0,+((D60/D21)*100)," "),"")</f>
        <v>90.311226815294262</v>
      </c>
      <c r="E99" s="60">
        <f t="shared" si="10"/>
        <v>88.044971511227615</v>
      </c>
      <c r="F99" s="60">
        <f t="shared" si="10"/>
        <v>90.645421560357292</v>
      </c>
      <c r="G99" s="60">
        <f t="shared" si="10"/>
        <v>98.642161883947892</v>
      </c>
      <c r="H99" s="60">
        <f t="shared" si="10"/>
        <v>97.222269041135817</v>
      </c>
      <c r="I99" s="60">
        <f t="shared" si="10"/>
        <v>98.870971359710751</v>
      </c>
      <c r="J99" s="60">
        <f t="shared" si="10"/>
        <v>79.817059389533583</v>
      </c>
      <c r="K99" s="60">
        <f t="shared" si="10"/>
        <v>98.49763181557519</v>
      </c>
      <c r="L99" s="60">
        <f t="shared" si="10"/>
        <v>95.102063657005729</v>
      </c>
      <c r="M99" s="60">
        <f t="shared" si="10"/>
        <v>93.60225696974031</v>
      </c>
      <c r="N99" s="60">
        <f t="shared" si="10"/>
        <v>92.896966070172056</v>
      </c>
      <c r="O99" s="60">
        <f t="shared" si="10"/>
        <v>98.11052790351593</v>
      </c>
      <c r="P99" s="60">
        <f t="shared" si="10"/>
        <v>90.072492302769888</v>
      </c>
      <c r="Q99" s="60">
        <f t="shared" si="10"/>
        <v>94.668092333592142</v>
      </c>
      <c r="R99" s="60">
        <f t="shared" si="10"/>
        <v>99.539637084152275</v>
      </c>
      <c r="S99" s="60">
        <f t="shared" si="10"/>
        <v>99.692453954514974</v>
      </c>
      <c r="T99" s="60">
        <f t="shared" si="10"/>
        <v>99.247954405361256</v>
      </c>
      <c r="U99" s="60">
        <f t="shared" si="10"/>
        <v>99.267355755871847</v>
      </c>
      <c r="V99" s="60">
        <f t="shared" si="10"/>
        <v>99.912900345043496</v>
      </c>
    </row>
    <row r="100" spans="3:22" x14ac:dyDescent="0.2">
      <c r="C100" s="88" t="s">
        <v>132</v>
      </c>
      <c r="D100" s="62">
        <f t="shared" ref="D100:V100" si="11">+IFERROR(IF(D61&gt;0,+((D61/D22)*100)," "),"")</f>
        <v>94.126181160700867</v>
      </c>
      <c r="E100" s="62">
        <f t="shared" si="11"/>
        <v>67.44072604839053</v>
      </c>
      <c r="F100" s="62">
        <f t="shared" si="11"/>
        <v>72.044725899927869</v>
      </c>
      <c r="G100" s="62">
        <f t="shared" si="11"/>
        <v>97.794902315915834</v>
      </c>
      <c r="H100" s="62">
        <f t="shared" si="11"/>
        <v>88.685011255378015</v>
      </c>
      <c r="I100" s="62">
        <f t="shared" si="11"/>
        <v>96.335394983348749</v>
      </c>
      <c r="J100" s="62">
        <f t="shared" si="11"/>
        <v>93.313944103445507</v>
      </c>
      <c r="K100" s="62">
        <f t="shared" si="11"/>
        <v>42.09077815071803</v>
      </c>
      <c r="L100" s="62">
        <f t="shared" si="11"/>
        <v>64.528206304795162</v>
      </c>
      <c r="M100" s="62">
        <f t="shared" si="11"/>
        <v>92.045862169953622</v>
      </c>
      <c r="N100" s="62">
        <f t="shared" si="11"/>
        <v>75.233900664177028</v>
      </c>
      <c r="O100" s="62">
        <f t="shared" si="11"/>
        <v>73.418648102604806</v>
      </c>
      <c r="P100" s="62">
        <f t="shared" si="11"/>
        <v>76.068981496784204</v>
      </c>
      <c r="Q100" s="62">
        <f t="shared" si="11"/>
        <v>87.327356606307632</v>
      </c>
      <c r="R100" s="62">
        <f t="shared" si="11"/>
        <v>80.948613776041427</v>
      </c>
      <c r="S100" s="62">
        <f t="shared" si="11"/>
        <v>84.781427383647852</v>
      </c>
      <c r="T100" s="62">
        <f t="shared" si="11"/>
        <v>96.088885529269177</v>
      </c>
      <c r="U100" s="62">
        <f t="shared" si="11"/>
        <v>96.672725213384652</v>
      </c>
      <c r="V100" s="62">
        <f t="shared" si="11"/>
        <v>95.127608095883659</v>
      </c>
    </row>
    <row r="101" spans="3:22" x14ac:dyDescent="0.2">
      <c r="C101" s="87" t="s">
        <v>133</v>
      </c>
      <c r="D101" s="60">
        <f t="shared" ref="D101:V101" si="12">+IFERROR(IF(D62&gt;0,+((D62/D23)*100)," "),"")</f>
        <v>67.232714102531617</v>
      </c>
      <c r="E101" s="60">
        <f t="shared" si="12"/>
        <v>82.200445175163566</v>
      </c>
      <c r="F101" s="60">
        <f t="shared" si="12"/>
        <v>62.98455957578436</v>
      </c>
      <c r="G101" s="60">
        <f t="shared" si="12"/>
        <v>96.368893120620584</v>
      </c>
      <c r="H101" s="60">
        <f t="shared" si="12"/>
        <v>97.816628159804594</v>
      </c>
      <c r="I101" s="60">
        <f t="shared" si="12"/>
        <v>99.522485022445835</v>
      </c>
      <c r="J101" s="60">
        <f t="shared" si="12"/>
        <v>99.693797404457385</v>
      </c>
      <c r="K101" s="60">
        <f t="shared" si="12"/>
        <v>96.889480795177391</v>
      </c>
      <c r="L101" s="60">
        <f t="shared" si="12"/>
        <v>81.954352580383883</v>
      </c>
      <c r="M101" s="60">
        <f t="shared" si="12"/>
        <v>87.821367197822042</v>
      </c>
      <c r="N101" s="60">
        <f t="shared" si="12"/>
        <v>78.048852960700316</v>
      </c>
      <c r="O101" s="60">
        <f t="shared" si="12"/>
        <v>91.685398847906512</v>
      </c>
      <c r="P101" s="60">
        <f t="shared" si="12"/>
        <v>91.744545760779005</v>
      </c>
      <c r="Q101" s="60">
        <f t="shared" si="12"/>
        <v>96.580331005847128</v>
      </c>
      <c r="R101" s="60">
        <f t="shared" si="12"/>
        <v>93.086693063800013</v>
      </c>
      <c r="S101" s="60">
        <f t="shared" si="12"/>
        <v>79.026145775141387</v>
      </c>
      <c r="T101" s="60">
        <f t="shared" si="12"/>
        <v>92.303509794149051</v>
      </c>
      <c r="U101" s="60">
        <f t="shared" si="12"/>
        <v>98.825319411605378</v>
      </c>
      <c r="V101" s="60">
        <f t="shared" si="12"/>
        <v>97.232628894150238</v>
      </c>
    </row>
    <row r="102" spans="3:22" x14ac:dyDescent="0.2">
      <c r="C102" s="88" t="s">
        <v>134</v>
      </c>
      <c r="D102" s="62">
        <f t="shared" ref="D102:V102" si="13">+IFERROR(IF(D63&gt;0,+((D63/D24)*100)," "),"")</f>
        <v>98.64556405605255</v>
      </c>
      <c r="E102" s="62">
        <f t="shared" si="13"/>
        <v>97.469825302953993</v>
      </c>
      <c r="F102" s="62">
        <f t="shared" si="13"/>
        <v>86.508211969965416</v>
      </c>
      <c r="G102" s="62">
        <f t="shared" si="13"/>
        <v>99.587280928501372</v>
      </c>
      <c r="H102" s="62">
        <f t="shared" si="13"/>
        <v>92.350050122564923</v>
      </c>
      <c r="I102" s="62">
        <f t="shared" si="13"/>
        <v>85.706255484020716</v>
      </c>
      <c r="J102" s="62">
        <f t="shared" si="13"/>
        <v>98.490002215255814</v>
      </c>
      <c r="K102" s="62">
        <f t="shared" si="13"/>
        <v>82.956003195929412</v>
      </c>
      <c r="L102" s="62">
        <f t="shared" si="13"/>
        <v>90.283393433802729</v>
      </c>
      <c r="M102" s="62">
        <f t="shared" si="13"/>
        <v>94.641011532055614</v>
      </c>
      <c r="N102" s="62">
        <f t="shared" si="13"/>
        <v>96.4608452732529</v>
      </c>
      <c r="O102" s="62">
        <f t="shared" si="13"/>
        <v>94.570708646297462</v>
      </c>
      <c r="P102" s="62">
        <f t="shared" si="13"/>
        <v>83.175310756138515</v>
      </c>
      <c r="Q102" s="62">
        <f t="shared" si="13"/>
        <v>70.89158002463293</v>
      </c>
      <c r="R102" s="62">
        <f t="shared" si="13"/>
        <v>69.581519787381467</v>
      </c>
      <c r="S102" s="62">
        <f t="shared" si="13"/>
        <v>84.002733127085605</v>
      </c>
      <c r="T102" s="62">
        <f t="shared" si="13"/>
        <v>69.251710626006542</v>
      </c>
      <c r="U102" s="62">
        <f t="shared" si="13"/>
        <v>94.91417489062998</v>
      </c>
      <c r="V102" s="62">
        <f t="shared" si="13"/>
        <v>88.407581582142214</v>
      </c>
    </row>
    <row r="103" spans="3:22" x14ac:dyDescent="0.2">
      <c r="C103" s="87" t="s">
        <v>135</v>
      </c>
      <c r="D103" s="60" t="str">
        <f t="shared" ref="D103:V103" si="14">+IFERROR(IF(D64&gt;0,+((D64/D25)*100)," "),"")</f>
        <v xml:space="preserve"> </v>
      </c>
      <c r="E103" s="60" t="str">
        <f t="shared" si="14"/>
        <v xml:space="preserve"> </v>
      </c>
      <c r="F103" s="60" t="str">
        <f t="shared" si="14"/>
        <v xml:space="preserve"> </v>
      </c>
      <c r="G103" s="60" t="str">
        <f t="shared" si="14"/>
        <v xml:space="preserve"> </v>
      </c>
      <c r="H103" s="60" t="str">
        <f t="shared" si="14"/>
        <v xml:space="preserve"> </v>
      </c>
      <c r="I103" s="60" t="str">
        <f t="shared" si="14"/>
        <v xml:space="preserve"> </v>
      </c>
      <c r="J103" s="60" t="str">
        <f t="shared" si="14"/>
        <v xml:space="preserve"> </v>
      </c>
      <c r="K103" s="60" t="str">
        <f t="shared" si="14"/>
        <v xml:space="preserve"> </v>
      </c>
      <c r="L103" s="60" t="str">
        <f t="shared" si="14"/>
        <v xml:space="preserve"> </v>
      </c>
      <c r="M103" s="60" t="str">
        <f t="shared" si="14"/>
        <v xml:space="preserve"> </v>
      </c>
      <c r="N103" s="60" t="str">
        <f t="shared" si="14"/>
        <v xml:space="preserve"> </v>
      </c>
      <c r="O103" s="60" t="str">
        <f t="shared" si="14"/>
        <v xml:space="preserve"> </v>
      </c>
      <c r="P103" s="60" t="str">
        <f t="shared" si="14"/>
        <v xml:space="preserve"> </v>
      </c>
      <c r="Q103" s="60" t="str">
        <f t="shared" si="14"/>
        <v xml:space="preserve"> </v>
      </c>
      <c r="R103" s="60" t="str">
        <f t="shared" si="14"/>
        <v xml:space="preserve"> </v>
      </c>
      <c r="S103" s="60" t="str">
        <f t="shared" si="14"/>
        <v xml:space="preserve"> </v>
      </c>
      <c r="T103" s="60" t="str">
        <f t="shared" si="14"/>
        <v xml:space="preserve"> </v>
      </c>
      <c r="U103" s="60" t="str">
        <f t="shared" si="14"/>
        <v xml:space="preserve"> </v>
      </c>
      <c r="V103" s="60" t="str">
        <f t="shared" si="14"/>
        <v xml:space="preserve"> </v>
      </c>
    </row>
    <row r="104" spans="3:22" x14ac:dyDescent="0.2">
      <c r="C104" s="88" t="s">
        <v>136</v>
      </c>
      <c r="D104" s="62">
        <f t="shared" ref="D104:V104" si="15">+IFERROR(IF(D65&gt;0,+((D65/D26)*100)," "),"")</f>
        <v>77.322352101139984</v>
      </c>
      <c r="E104" s="62">
        <f t="shared" si="15"/>
        <v>80.681238332149206</v>
      </c>
      <c r="F104" s="62">
        <f t="shared" si="15"/>
        <v>90.413783145108212</v>
      </c>
      <c r="G104" s="62">
        <f t="shared" si="15"/>
        <v>96.571585692339809</v>
      </c>
      <c r="H104" s="62">
        <f t="shared" si="15"/>
        <v>99.366193938889396</v>
      </c>
      <c r="I104" s="62">
        <f t="shared" si="15"/>
        <v>98.551826488303902</v>
      </c>
      <c r="J104" s="62">
        <f t="shared" si="15"/>
        <v>99.492837821775453</v>
      </c>
      <c r="K104" s="62">
        <f t="shared" si="15"/>
        <v>96.036258417541632</v>
      </c>
      <c r="L104" s="62">
        <f t="shared" si="15"/>
        <v>98.792805615163431</v>
      </c>
      <c r="M104" s="62">
        <f t="shared" si="15"/>
        <v>99.010214324161751</v>
      </c>
      <c r="N104" s="62">
        <f t="shared" si="15"/>
        <v>97.661261820768118</v>
      </c>
      <c r="O104" s="62">
        <f t="shared" si="15"/>
        <v>93.514482638050708</v>
      </c>
      <c r="P104" s="62">
        <f t="shared" si="15"/>
        <v>96.424099610519264</v>
      </c>
      <c r="Q104" s="62">
        <f t="shared" si="15"/>
        <v>97.689746471428208</v>
      </c>
      <c r="R104" s="62">
        <f t="shared" si="15"/>
        <v>98.124000956672191</v>
      </c>
      <c r="S104" s="62">
        <f t="shared" si="15"/>
        <v>98.699299902323759</v>
      </c>
      <c r="T104" s="62">
        <f t="shared" si="15"/>
        <v>98.954814998571933</v>
      </c>
      <c r="U104" s="62">
        <f t="shared" si="15"/>
        <v>98.795898594436622</v>
      </c>
      <c r="V104" s="62">
        <f t="shared" si="15"/>
        <v>98.767131059736755</v>
      </c>
    </row>
    <row r="105" spans="3:22" x14ac:dyDescent="0.2">
      <c r="C105" s="87" t="s">
        <v>137</v>
      </c>
      <c r="D105" s="60">
        <f t="shared" ref="D105:V105" si="16">+IFERROR(IF(D66&gt;0,+((D66/D27)*100)," "),"")</f>
        <v>48.040321405312831</v>
      </c>
      <c r="E105" s="60">
        <f t="shared" si="16"/>
        <v>84.692627681414649</v>
      </c>
      <c r="F105" s="60">
        <f t="shared" si="16"/>
        <v>85.918661457449545</v>
      </c>
      <c r="G105" s="60">
        <f t="shared" si="16"/>
        <v>96.306935791156988</v>
      </c>
      <c r="H105" s="60">
        <f t="shared" si="16"/>
        <v>90.315801533064445</v>
      </c>
      <c r="I105" s="60">
        <f t="shared" si="16"/>
        <v>84.854977912865166</v>
      </c>
      <c r="J105" s="60">
        <f t="shared" si="16"/>
        <v>95.229281065929655</v>
      </c>
      <c r="K105" s="60">
        <f t="shared" si="16"/>
        <v>95.272370956976118</v>
      </c>
      <c r="L105" s="60">
        <f t="shared" si="16"/>
        <v>92.08170660243195</v>
      </c>
      <c r="M105" s="60">
        <f t="shared" si="16"/>
        <v>84.966077214146864</v>
      </c>
      <c r="N105" s="60">
        <f t="shared" si="16"/>
        <v>74.998776797980867</v>
      </c>
      <c r="O105" s="60">
        <f t="shared" si="16"/>
        <v>87.041957515128047</v>
      </c>
      <c r="P105" s="60">
        <f t="shared" si="16"/>
        <v>93.306283407857165</v>
      </c>
      <c r="Q105" s="60">
        <f t="shared" si="16"/>
        <v>89.982582042870291</v>
      </c>
      <c r="R105" s="60">
        <f t="shared" si="16"/>
        <v>98.383081210509303</v>
      </c>
      <c r="S105" s="60">
        <f t="shared" si="16"/>
        <v>98.352292446117275</v>
      </c>
      <c r="T105" s="60">
        <f t="shared" si="16"/>
        <v>97.626891114459355</v>
      </c>
      <c r="U105" s="60">
        <f t="shared" si="16"/>
        <v>98.498165290783007</v>
      </c>
      <c r="V105" s="60">
        <f t="shared" si="16"/>
        <v>97.266831815017682</v>
      </c>
    </row>
    <row r="106" spans="3:22" x14ac:dyDescent="0.2">
      <c r="C106" s="88" t="s">
        <v>138</v>
      </c>
      <c r="D106" s="62">
        <f t="shared" ref="D106:V106" si="17">+IFERROR(IF(D67&gt;0,+((D67/D28)*100)," "),"")</f>
        <v>98.054511677227723</v>
      </c>
      <c r="E106" s="62">
        <f t="shared" si="17"/>
        <v>99.328564933318333</v>
      </c>
      <c r="F106" s="62">
        <f t="shared" si="17"/>
        <v>47.189126596228093</v>
      </c>
      <c r="G106" s="62">
        <f t="shared" si="17"/>
        <v>97.803818583861087</v>
      </c>
      <c r="H106" s="62">
        <f t="shared" si="17"/>
        <v>93.888221720851845</v>
      </c>
      <c r="I106" s="62">
        <f t="shared" si="17"/>
        <v>77.777313391136872</v>
      </c>
      <c r="J106" s="62">
        <f t="shared" si="17"/>
        <v>85.596088499434174</v>
      </c>
      <c r="K106" s="62">
        <f t="shared" si="17"/>
        <v>81.886762246235818</v>
      </c>
      <c r="L106" s="62">
        <f t="shared" si="17"/>
        <v>90.555739084348318</v>
      </c>
      <c r="M106" s="62">
        <f t="shared" si="17"/>
        <v>42.086200835004369</v>
      </c>
      <c r="N106" s="62">
        <f t="shared" si="17"/>
        <v>60.835323751453842</v>
      </c>
      <c r="O106" s="62">
        <f t="shared" si="17"/>
        <v>53.105294752370092</v>
      </c>
      <c r="P106" s="62">
        <f t="shared" si="17"/>
        <v>92.791248677680443</v>
      </c>
      <c r="Q106" s="62">
        <f t="shared" si="17"/>
        <v>94.676611693474044</v>
      </c>
      <c r="R106" s="62">
        <f t="shared" si="17"/>
        <v>94.422709640588494</v>
      </c>
      <c r="S106" s="62">
        <f t="shared" si="17"/>
        <v>99.750315322031895</v>
      </c>
      <c r="T106" s="62">
        <f t="shared" si="17"/>
        <v>99.363833752019389</v>
      </c>
      <c r="U106" s="62">
        <f t="shared" si="17"/>
        <v>98.199524011969729</v>
      </c>
      <c r="V106" s="62">
        <f t="shared" si="17"/>
        <v>99.974759094086423</v>
      </c>
    </row>
    <row r="107" spans="3:22" x14ac:dyDescent="0.2">
      <c r="C107" s="87" t="s">
        <v>139</v>
      </c>
      <c r="D107" s="60">
        <f t="shared" ref="D107:V107" si="18">+IFERROR(IF(D68&gt;0,+((D68/D29)*100)," "),"")</f>
        <v>74.80144528301723</v>
      </c>
      <c r="E107" s="60">
        <f t="shared" si="18"/>
        <v>82.825919050268908</v>
      </c>
      <c r="F107" s="60">
        <f t="shared" si="18"/>
        <v>67.20397263156687</v>
      </c>
      <c r="G107" s="60">
        <f t="shared" si="18"/>
        <v>99.286254875684236</v>
      </c>
      <c r="H107" s="60">
        <f t="shared" si="18"/>
        <v>78.251000085191151</v>
      </c>
      <c r="I107" s="60">
        <f t="shared" si="18"/>
        <v>96.295258459762806</v>
      </c>
      <c r="J107" s="60">
        <f t="shared" si="18"/>
        <v>96.707585887392739</v>
      </c>
      <c r="K107" s="60">
        <f t="shared" si="18"/>
        <v>68.688742428297218</v>
      </c>
      <c r="L107" s="60">
        <f t="shared" si="18"/>
        <v>97.133676299916175</v>
      </c>
      <c r="M107" s="60">
        <f t="shared" si="18"/>
        <v>92.474044498009093</v>
      </c>
      <c r="N107" s="60">
        <f t="shared" si="18"/>
        <v>84.618158235682884</v>
      </c>
      <c r="O107" s="60">
        <f t="shared" si="18"/>
        <v>97.722607255306002</v>
      </c>
      <c r="P107" s="60">
        <f t="shared" si="18"/>
        <v>83.154022683702337</v>
      </c>
      <c r="Q107" s="60">
        <f t="shared" si="18"/>
        <v>86.16103727893595</v>
      </c>
      <c r="R107" s="60">
        <f t="shared" si="18"/>
        <v>92.098900516861761</v>
      </c>
      <c r="S107" s="60">
        <f t="shared" si="18"/>
        <v>96.368804037525152</v>
      </c>
      <c r="T107" s="60">
        <f t="shared" si="18"/>
        <v>97.098423683309292</v>
      </c>
      <c r="U107" s="60">
        <f t="shared" si="18"/>
        <v>87.266820381947042</v>
      </c>
      <c r="V107" s="60">
        <f t="shared" si="18"/>
        <v>53.593632151314843</v>
      </c>
    </row>
    <row r="108" spans="3:22" x14ac:dyDescent="0.2">
      <c r="C108" s="88" t="s">
        <v>140</v>
      </c>
      <c r="D108" s="62">
        <f t="shared" ref="D108:V108" si="19">+IFERROR(IF(D69&gt;0,+((D69/D30)*100)," "),"")</f>
        <v>83.338493623297865</v>
      </c>
      <c r="E108" s="62">
        <f t="shared" si="19"/>
        <v>74.118298848345304</v>
      </c>
      <c r="F108" s="62">
        <f t="shared" si="19"/>
        <v>77.339564616572602</v>
      </c>
      <c r="G108" s="62">
        <f t="shared" si="19"/>
        <v>99.670603374798844</v>
      </c>
      <c r="H108" s="62">
        <f t="shared" si="19"/>
        <v>98.289398107338627</v>
      </c>
      <c r="I108" s="62">
        <f t="shared" si="19"/>
        <v>92.85591602182997</v>
      </c>
      <c r="J108" s="62">
        <f t="shared" si="19"/>
        <v>82.732893588705167</v>
      </c>
      <c r="K108" s="62">
        <f t="shared" si="19"/>
        <v>61.587745922454864</v>
      </c>
      <c r="L108" s="62">
        <f t="shared" si="19"/>
        <v>97.80975769937055</v>
      </c>
      <c r="M108" s="62">
        <f t="shared" si="19"/>
        <v>88.450459191629719</v>
      </c>
      <c r="N108" s="62">
        <f t="shared" si="19"/>
        <v>94.789358032721552</v>
      </c>
      <c r="O108" s="62">
        <f t="shared" si="19"/>
        <v>96.091593130445133</v>
      </c>
      <c r="P108" s="62">
        <f t="shared" si="19"/>
        <v>96.665471566525852</v>
      </c>
      <c r="Q108" s="62">
        <f t="shared" si="19"/>
        <v>97.86741309083385</v>
      </c>
      <c r="R108" s="62">
        <f t="shared" si="19"/>
        <v>98.84426717599456</v>
      </c>
      <c r="S108" s="62">
        <f t="shared" si="19"/>
        <v>99.183886706775155</v>
      </c>
      <c r="T108" s="62">
        <f t="shared" si="19"/>
        <v>97.336187825364675</v>
      </c>
      <c r="U108" s="62">
        <f t="shared" si="19"/>
        <v>97.846633655643089</v>
      </c>
      <c r="V108" s="62">
        <f t="shared" si="19"/>
        <v>98.727615943947598</v>
      </c>
    </row>
    <row r="109" spans="3:22" x14ac:dyDescent="0.2">
      <c r="C109" s="87" t="s">
        <v>141</v>
      </c>
      <c r="D109" s="60">
        <f t="shared" ref="D109:V109" si="20">+IFERROR(IF(D70&gt;0,+((D70/D31)*100)," "),"")</f>
        <v>70.918216381042058</v>
      </c>
      <c r="E109" s="60">
        <f t="shared" si="20"/>
        <v>96.711325949547003</v>
      </c>
      <c r="F109" s="60">
        <f t="shared" si="20"/>
        <v>81.1457037047619</v>
      </c>
      <c r="G109" s="60">
        <f t="shared" si="20"/>
        <v>66.425466648137927</v>
      </c>
      <c r="H109" s="60">
        <f t="shared" si="20"/>
        <v>91.455567912074471</v>
      </c>
      <c r="I109" s="60">
        <f t="shared" si="20"/>
        <v>76.491429471604434</v>
      </c>
      <c r="J109" s="60">
        <f t="shared" si="20"/>
        <v>85.251763565367568</v>
      </c>
      <c r="K109" s="60">
        <f t="shared" si="20"/>
        <v>80.396384170992505</v>
      </c>
      <c r="L109" s="60">
        <f t="shared" si="20"/>
        <v>82.858427800739605</v>
      </c>
      <c r="M109" s="60">
        <f t="shared" si="20"/>
        <v>84.802573036322883</v>
      </c>
      <c r="N109" s="60">
        <f t="shared" si="20"/>
        <v>67.738727421457867</v>
      </c>
      <c r="O109" s="60">
        <f t="shared" si="20"/>
        <v>85.018384921282347</v>
      </c>
      <c r="P109" s="60">
        <f t="shared" si="20"/>
        <v>83.445863448093888</v>
      </c>
      <c r="Q109" s="60">
        <f t="shared" si="20"/>
        <v>81.250402228946569</v>
      </c>
      <c r="R109" s="60">
        <f t="shared" si="20"/>
        <v>92.629648589042219</v>
      </c>
      <c r="S109" s="60">
        <f t="shared" si="20"/>
        <v>94.438213354530632</v>
      </c>
      <c r="T109" s="60">
        <f t="shared" si="20"/>
        <v>90.879412768344338</v>
      </c>
      <c r="U109" s="60">
        <f t="shared" si="20"/>
        <v>92.937369628521566</v>
      </c>
      <c r="V109" s="60">
        <f t="shared" si="20"/>
        <v>97.076964476470465</v>
      </c>
    </row>
    <row r="110" spans="3:22" x14ac:dyDescent="0.2">
      <c r="C110" s="88" t="s">
        <v>142</v>
      </c>
      <c r="D110" s="62">
        <f t="shared" ref="D110:V110" si="21">+IFERROR(IF(D71&gt;0,+((D71/D32)*100)," "),"")</f>
        <v>68.316536749065023</v>
      </c>
      <c r="E110" s="62">
        <f t="shared" si="21"/>
        <v>97.221117664132848</v>
      </c>
      <c r="F110" s="62">
        <f t="shared" si="21"/>
        <v>95.600043773567776</v>
      </c>
      <c r="G110" s="62">
        <f t="shared" si="21"/>
        <v>94.663276006600611</v>
      </c>
      <c r="H110" s="62">
        <f t="shared" si="21"/>
        <v>82.248336504376681</v>
      </c>
      <c r="I110" s="62">
        <f t="shared" si="21"/>
        <v>51.757767457540716</v>
      </c>
      <c r="J110" s="62">
        <f t="shared" si="21"/>
        <v>68.686883572807616</v>
      </c>
      <c r="K110" s="62">
        <f t="shared" si="21"/>
        <v>95.958588536155702</v>
      </c>
      <c r="L110" s="62">
        <f t="shared" si="21"/>
        <v>95.212366463201775</v>
      </c>
      <c r="M110" s="62">
        <f t="shared" si="21"/>
        <v>93.481333879814599</v>
      </c>
      <c r="N110" s="62">
        <f t="shared" si="21"/>
        <v>93.43746518855292</v>
      </c>
      <c r="O110" s="62">
        <f t="shared" si="21"/>
        <v>92.168940419292213</v>
      </c>
      <c r="P110" s="62">
        <f t="shared" si="21"/>
        <v>92.302090483363955</v>
      </c>
      <c r="Q110" s="62">
        <f t="shared" si="21"/>
        <v>83.455905948496891</v>
      </c>
      <c r="R110" s="62">
        <f t="shared" si="21"/>
        <v>85.272409799471291</v>
      </c>
      <c r="S110" s="62">
        <f t="shared" si="21"/>
        <v>94.568269068570714</v>
      </c>
      <c r="T110" s="62">
        <f t="shared" si="21"/>
        <v>96.378845702818978</v>
      </c>
      <c r="U110" s="62">
        <f t="shared" si="21"/>
        <v>98.175235972707185</v>
      </c>
      <c r="V110" s="62">
        <f t="shared" si="21"/>
        <v>95.6190669114619</v>
      </c>
    </row>
    <row r="111" spans="3:22" x14ac:dyDescent="0.2">
      <c r="C111" s="87" t="s">
        <v>143</v>
      </c>
      <c r="D111" s="60">
        <f t="shared" ref="D111:V111" si="22">+IFERROR(IF(D72&gt;0,+((D72/D33)*100)," "),"")</f>
        <v>97.013622321299877</v>
      </c>
      <c r="E111" s="60">
        <f t="shared" si="22"/>
        <v>93.612083979960275</v>
      </c>
      <c r="F111" s="60">
        <f t="shared" si="22"/>
        <v>83.622869502516579</v>
      </c>
      <c r="G111" s="60">
        <f t="shared" si="22"/>
        <v>99.924967153624038</v>
      </c>
      <c r="H111" s="60">
        <f t="shared" si="22"/>
        <v>89.952257064030334</v>
      </c>
      <c r="I111" s="60">
        <f t="shared" si="22"/>
        <v>94.327359920168448</v>
      </c>
      <c r="J111" s="60">
        <f t="shared" si="22"/>
        <v>99.940643232884725</v>
      </c>
      <c r="K111" s="60">
        <f t="shared" si="22"/>
        <v>96.332225193342154</v>
      </c>
      <c r="L111" s="60">
        <f t="shared" si="22"/>
        <v>70.761160334801943</v>
      </c>
      <c r="M111" s="60">
        <f t="shared" si="22"/>
        <v>82.935342815502196</v>
      </c>
      <c r="N111" s="60">
        <f t="shared" si="22"/>
        <v>61.35926926803846</v>
      </c>
      <c r="O111" s="60">
        <f t="shared" si="22"/>
        <v>78.141440481139583</v>
      </c>
      <c r="P111" s="60">
        <f t="shared" si="22"/>
        <v>87.38223752617256</v>
      </c>
      <c r="Q111" s="60">
        <f t="shared" si="22"/>
        <v>90.90152213859831</v>
      </c>
      <c r="R111" s="60">
        <f t="shared" si="22"/>
        <v>93.783378987538384</v>
      </c>
      <c r="S111" s="60">
        <f t="shared" si="22"/>
        <v>95.556571031795585</v>
      </c>
      <c r="T111" s="60">
        <f t="shared" si="22"/>
        <v>94.918516643992831</v>
      </c>
      <c r="U111" s="60">
        <f t="shared" si="22"/>
        <v>98.79532667007696</v>
      </c>
      <c r="V111" s="60">
        <f t="shared" si="22"/>
        <v>88.821547973432885</v>
      </c>
    </row>
    <row r="112" spans="3:22" x14ac:dyDescent="0.2">
      <c r="C112" s="88" t="s">
        <v>144</v>
      </c>
      <c r="D112" s="62">
        <f t="shared" ref="D112:V112" si="23">+IFERROR(IF(D73&gt;0,+((D73/D34)*100)," "),"")</f>
        <v>64.306202573593779</v>
      </c>
      <c r="E112" s="62">
        <f t="shared" si="23"/>
        <v>95.727100082111917</v>
      </c>
      <c r="F112" s="62">
        <f t="shared" si="23"/>
        <v>74.108725222530509</v>
      </c>
      <c r="G112" s="62">
        <f t="shared" si="23"/>
        <v>98.989168990600689</v>
      </c>
      <c r="H112" s="62">
        <f t="shared" si="23"/>
        <v>99.854783472304717</v>
      </c>
      <c r="I112" s="62">
        <f t="shared" si="23"/>
        <v>98.440711182170517</v>
      </c>
      <c r="J112" s="62">
        <f t="shared" si="23"/>
        <v>97.130078225063187</v>
      </c>
      <c r="K112" s="62">
        <f t="shared" si="23"/>
        <v>93.757785705437882</v>
      </c>
      <c r="L112" s="62">
        <f t="shared" si="23"/>
        <v>91.882871309739173</v>
      </c>
      <c r="M112" s="62">
        <f t="shared" si="23"/>
        <v>98.942190202622427</v>
      </c>
      <c r="N112" s="62">
        <f t="shared" si="23"/>
        <v>87.054594863804141</v>
      </c>
      <c r="O112" s="62">
        <f t="shared" si="23"/>
        <v>77.956680575776872</v>
      </c>
      <c r="P112" s="62">
        <f t="shared" si="23"/>
        <v>53.813245988879324</v>
      </c>
      <c r="Q112" s="62">
        <f t="shared" si="23"/>
        <v>84.02333639863707</v>
      </c>
      <c r="R112" s="62">
        <f t="shared" si="23"/>
        <v>93.340369066456617</v>
      </c>
      <c r="S112" s="62">
        <f t="shared" si="23"/>
        <v>83.860590254407171</v>
      </c>
      <c r="T112" s="62">
        <f t="shared" si="23"/>
        <v>95.238760081132483</v>
      </c>
      <c r="U112" s="62">
        <f t="shared" si="23"/>
        <v>97.863583735279619</v>
      </c>
      <c r="V112" s="62">
        <f t="shared" si="23"/>
        <v>96.299697311447062</v>
      </c>
    </row>
    <row r="113" spans="3:22" x14ac:dyDescent="0.2">
      <c r="C113" s="87" t="s">
        <v>145</v>
      </c>
      <c r="D113" s="60">
        <f t="shared" ref="D113:V113" si="24">+IFERROR(IF(D74&gt;0,+((D74/D35)*100)," "),"")</f>
        <v>74.788145414587504</v>
      </c>
      <c r="E113" s="60">
        <f t="shared" si="24"/>
        <v>6.5227734399999999</v>
      </c>
      <c r="F113" s="60">
        <f t="shared" si="24"/>
        <v>98.342149469384381</v>
      </c>
      <c r="G113" s="60">
        <f t="shared" si="24"/>
        <v>97.360546900813475</v>
      </c>
      <c r="H113" s="60">
        <f t="shared" si="24"/>
        <v>99.467150378934335</v>
      </c>
      <c r="I113" s="60">
        <f t="shared" si="24"/>
        <v>95.971354496785082</v>
      </c>
      <c r="J113" s="60">
        <f t="shared" si="24"/>
        <v>91.779084536147195</v>
      </c>
      <c r="K113" s="60">
        <f t="shared" si="24"/>
        <v>96.280505540006331</v>
      </c>
      <c r="L113" s="60">
        <f t="shared" si="24"/>
        <v>98.977047064203035</v>
      </c>
      <c r="M113" s="60">
        <f t="shared" si="24"/>
        <v>99.367517729594994</v>
      </c>
      <c r="N113" s="60">
        <f t="shared" si="24"/>
        <v>81.512504812215369</v>
      </c>
      <c r="O113" s="60">
        <f t="shared" si="24"/>
        <v>86.978604623792805</v>
      </c>
      <c r="P113" s="60">
        <f t="shared" si="24"/>
        <v>84.344483371973169</v>
      </c>
      <c r="Q113" s="60">
        <f t="shared" si="24"/>
        <v>81.842417059937318</v>
      </c>
      <c r="R113" s="60">
        <f t="shared" si="24"/>
        <v>91.287929255319028</v>
      </c>
      <c r="S113" s="60">
        <f t="shared" si="24"/>
        <v>89.243033863553336</v>
      </c>
      <c r="T113" s="60">
        <f t="shared" si="24"/>
        <v>97.319214825192347</v>
      </c>
      <c r="U113" s="60">
        <f t="shared" si="24"/>
        <v>97.270086999293198</v>
      </c>
      <c r="V113" s="60">
        <f t="shared" si="24"/>
        <v>97.195512579709828</v>
      </c>
    </row>
    <row r="114" spans="3:22" x14ac:dyDescent="0.2">
      <c r="C114" s="88" t="s">
        <v>146</v>
      </c>
      <c r="D114" s="62">
        <f t="shared" ref="D114:V114" si="25">+IFERROR(IF(D75&gt;0,+((D75/D36)*100)," "),"")</f>
        <v>60.468694575144809</v>
      </c>
      <c r="E114" s="62">
        <f t="shared" si="25"/>
        <v>59.757328746428442</v>
      </c>
      <c r="F114" s="62">
        <f t="shared" si="25"/>
        <v>21.546440141223851</v>
      </c>
      <c r="G114" s="62">
        <f t="shared" si="25"/>
        <v>99.952722938897566</v>
      </c>
      <c r="H114" s="62">
        <f t="shared" si="25"/>
        <v>83.311009145382585</v>
      </c>
      <c r="I114" s="62">
        <f t="shared" si="25"/>
        <v>85.188283015953303</v>
      </c>
      <c r="J114" s="62">
        <f t="shared" si="25"/>
        <v>86.991848573249584</v>
      </c>
      <c r="K114" s="62">
        <f t="shared" si="25"/>
        <v>79.929581098136907</v>
      </c>
      <c r="L114" s="62">
        <f t="shared" si="25"/>
        <v>85.645937491170997</v>
      </c>
      <c r="M114" s="62">
        <f t="shared" si="25"/>
        <v>73.979005374965396</v>
      </c>
      <c r="N114" s="62">
        <f t="shared" si="25"/>
        <v>88.791472642928568</v>
      </c>
      <c r="O114" s="62">
        <f t="shared" si="25"/>
        <v>96.698156939953066</v>
      </c>
      <c r="P114" s="62">
        <f t="shared" si="25"/>
        <v>98.040545319197079</v>
      </c>
      <c r="Q114" s="62">
        <f t="shared" si="25"/>
        <v>97.630204501042613</v>
      </c>
      <c r="R114" s="62">
        <f t="shared" si="25"/>
        <v>98.453022713382239</v>
      </c>
      <c r="S114" s="62">
        <f t="shared" si="25"/>
        <v>98.714006160995766</v>
      </c>
      <c r="T114" s="62">
        <f t="shared" si="25"/>
        <v>97.972180166872064</v>
      </c>
      <c r="U114" s="62">
        <f t="shared" si="25"/>
        <v>99.866275299457556</v>
      </c>
      <c r="V114" s="62">
        <f t="shared" si="25"/>
        <v>99.068411198066514</v>
      </c>
    </row>
    <row r="115" spans="3:22" x14ac:dyDescent="0.2">
      <c r="C115" s="90" t="s">
        <v>147</v>
      </c>
      <c r="D115" s="61">
        <f t="shared" ref="D115:V115" si="26">+IFERROR(IF(D76&gt;0,+((D76/D37)*100)," "),"")</f>
        <v>68.38446033958175</v>
      </c>
      <c r="E115" s="61">
        <f t="shared" si="26"/>
        <v>93.489628234303737</v>
      </c>
      <c r="F115" s="61">
        <f t="shared" si="26"/>
        <v>86.080140381030546</v>
      </c>
      <c r="G115" s="61">
        <f t="shared" si="26"/>
        <v>96.955365367909664</v>
      </c>
      <c r="H115" s="61">
        <f t="shared" si="26"/>
        <v>96.218522415702154</v>
      </c>
      <c r="I115" s="61">
        <f t="shared" si="26"/>
        <v>94.972122565602305</v>
      </c>
      <c r="J115" s="61">
        <f t="shared" si="26"/>
        <v>94.771851767453668</v>
      </c>
      <c r="K115" s="61">
        <f t="shared" si="26"/>
        <v>94.102536521223229</v>
      </c>
      <c r="L115" s="61">
        <f t="shared" si="26"/>
        <v>98.04744258180078</v>
      </c>
      <c r="M115" s="61">
        <f t="shared" si="26"/>
        <v>97.422733993224355</v>
      </c>
      <c r="N115" s="61">
        <f t="shared" si="26"/>
        <v>94.971161136738374</v>
      </c>
      <c r="O115" s="61">
        <f t="shared" si="26"/>
        <v>94.099225393456834</v>
      </c>
      <c r="P115" s="61">
        <f t="shared" si="26"/>
        <v>95.449240897219681</v>
      </c>
      <c r="Q115" s="61">
        <f t="shared" si="26"/>
        <v>97.529999373414654</v>
      </c>
      <c r="R115" s="61">
        <f t="shared" si="26"/>
        <v>98.697099105656434</v>
      </c>
      <c r="S115" s="61">
        <f t="shared" si="26"/>
        <v>98.532479319017057</v>
      </c>
      <c r="T115" s="61">
        <f t="shared" si="26"/>
        <v>99.160558691312744</v>
      </c>
      <c r="U115" s="61">
        <f t="shared" si="26"/>
        <v>98.20319685129337</v>
      </c>
      <c r="V115" s="61">
        <f t="shared" si="26"/>
        <v>97.692202307021262</v>
      </c>
    </row>
    <row r="116" spans="3:22" ht="22.5" customHeight="1" x14ac:dyDescent="0.2">
      <c r="C116" s="89" t="s">
        <v>148</v>
      </c>
      <c r="D116" s="63" t="str">
        <f t="shared" ref="D116:V116" si="27">+IFERROR(IF(D77&gt;0,+((D77/D38)*100)," "),"")</f>
        <v xml:space="preserve"> </v>
      </c>
      <c r="E116" s="63" t="str">
        <f t="shared" si="27"/>
        <v xml:space="preserve"> </v>
      </c>
      <c r="F116" s="63" t="str">
        <f t="shared" si="27"/>
        <v xml:space="preserve"> </v>
      </c>
      <c r="G116" s="63" t="str">
        <f t="shared" si="27"/>
        <v xml:space="preserve"> </v>
      </c>
      <c r="H116" s="63" t="str">
        <f t="shared" si="27"/>
        <v xml:space="preserve"> </v>
      </c>
      <c r="I116" s="63" t="str">
        <f t="shared" si="27"/>
        <v xml:space="preserve"> </v>
      </c>
      <c r="J116" s="63" t="str">
        <f t="shared" si="27"/>
        <v xml:space="preserve"> </v>
      </c>
      <c r="K116" s="63" t="str">
        <f t="shared" si="27"/>
        <v xml:space="preserve"> </v>
      </c>
      <c r="L116" s="63" t="str">
        <f t="shared" si="27"/>
        <v xml:space="preserve"> </v>
      </c>
      <c r="M116" s="63" t="str">
        <f t="shared" si="27"/>
        <v xml:space="preserve"> </v>
      </c>
      <c r="N116" s="63" t="str">
        <f t="shared" si="27"/>
        <v xml:space="preserve"> </v>
      </c>
      <c r="O116" s="63" t="str">
        <f t="shared" si="27"/>
        <v xml:space="preserve"> </v>
      </c>
      <c r="P116" s="63" t="str">
        <f t="shared" si="27"/>
        <v xml:space="preserve"> </v>
      </c>
      <c r="Q116" s="63" t="str">
        <f t="shared" si="27"/>
        <v xml:space="preserve"> </v>
      </c>
      <c r="R116" s="63" t="str">
        <f t="shared" si="27"/>
        <v xml:space="preserve"> </v>
      </c>
      <c r="S116" s="63" t="str">
        <f t="shared" si="27"/>
        <v xml:space="preserve"> </v>
      </c>
      <c r="T116" s="63" t="str">
        <f t="shared" si="27"/>
        <v xml:space="preserve"> </v>
      </c>
      <c r="U116" s="63" t="str">
        <f t="shared" si="27"/>
        <v xml:space="preserve"> </v>
      </c>
      <c r="V116" s="63">
        <f t="shared" si="27"/>
        <v>93.221827626375472</v>
      </c>
    </row>
    <row r="117" spans="3:22" x14ac:dyDescent="0.2">
      <c r="C117" s="87" t="s">
        <v>149</v>
      </c>
      <c r="D117" s="60">
        <f t="shared" ref="D117:V117" si="28">+IFERROR(IF(D78&gt;0,+((D78/D39)*100)," "),"")</f>
        <v>94.314206676224387</v>
      </c>
      <c r="E117" s="60">
        <f t="shared" si="28"/>
        <v>99.371831726397758</v>
      </c>
      <c r="F117" s="60">
        <f t="shared" si="28"/>
        <v>99.369817013537059</v>
      </c>
      <c r="G117" s="60">
        <f t="shared" si="28"/>
        <v>98.739485751934438</v>
      </c>
      <c r="H117" s="60">
        <f t="shared" si="28"/>
        <v>99.81725819242682</v>
      </c>
      <c r="I117" s="60">
        <f t="shared" si="28"/>
        <v>98.630020901389059</v>
      </c>
      <c r="J117" s="60">
        <f t="shared" si="28"/>
        <v>91.850789315366725</v>
      </c>
      <c r="K117" s="60">
        <f t="shared" si="28"/>
        <v>98.764230373517435</v>
      </c>
      <c r="L117" s="60">
        <f t="shared" si="28"/>
        <v>95.529032237776121</v>
      </c>
      <c r="M117" s="60">
        <f t="shared" si="28"/>
        <v>83.120660434668324</v>
      </c>
      <c r="N117" s="60">
        <f t="shared" si="28"/>
        <v>91.836604002069222</v>
      </c>
      <c r="O117" s="60">
        <f t="shared" si="28"/>
        <v>93.913049903511819</v>
      </c>
      <c r="P117" s="60">
        <f t="shared" si="28"/>
        <v>97.215400322273382</v>
      </c>
      <c r="Q117" s="60">
        <f t="shared" si="28"/>
        <v>93.871788961543686</v>
      </c>
      <c r="R117" s="60">
        <f t="shared" si="28"/>
        <v>96.766616215057539</v>
      </c>
      <c r="S117" s="60">
        <f t="shared" si="28"/>
        <v>96.177744631396507</v>
      </c>
      <c r="T117" s="60">
        <f t="shared" si="28"/>
        <v>98.292123522449657</v>
      </c>
      <c r="U117" s="60">
        <f t="shared" si="28"/>
        <v>98.41334711950897</v>
      </c>
      <c r="V117" s="60">
        <f t="shared" si="28"/>
        <v>93.797450311702534</v>
      </c>
    </row>
    <row r="118" spans="3:22" x14ac:dyDescent="0.2">
      <c r="C118" s="88" t="s">
        <v>150</v>
      </c>
      <c r="D118" s="62">
        <f t="shared" ref="D118:V118" si="29">+IFERROR(IF(D79&gt;0,+((D79/D40)*100)," "),"")</f>
        <v>72.122237761640989</v>
      </c>
      <c r="E118" s="62">
        <f t="shared" si="29"/>
        <v>88.47209525679952</v>
      </c>
      <c r="F118" s="62">
        <f t="shared" si="29"/>
        <v>81.389204267162938</v>
      </c>
      <c r="G118" s="62">
        <f t="shared" si="29"/>
        <v>98.34016478975505</v>
      </c>
      <c r="H118" s="62">
        <f t="shared" si="29"/>
        <v>96.637668978743534</v>
      </c>
      <c r="I118" s="62">
        <f t="shared" si="29"/>
        <v>98.685184340370597</v>
      </c>
      <c r="J118" s="62">
        <f t="shared" si="29"/>
        <v>85.04116880041299</v>
      </c>
      <c r="K118" s="62">
        <f t="shared" si="29"/>
        <v>96.952864411419156</v>
      </c>
      <c r="L118" s="62">
        <f t="shared" si="29"/>
        <v>97.736252415920958</v>
      </c>
      <c r="M118" s="62">
        <f t="shared" si="29"/>
        <v>95.146179074591657</v>
      </c>
      <c r="N118" s="62">
        <f t="shared" si="29"/>
        <v>91.392928294917098</v>
      </c>
      <c r="O118" s="62">
        <f t="shared" si="29"/>
        <v>94.885700183009476</v>
      </c>
      <c r="P118" s="62">
        <f t="shared" si="29"/>
        <v>94.969169141713749</v>
      </c>
      <c r="Q118" s="62">
        <f t="shared" si="29"/>
        <v>98.969982922988152</v>
      </c>
      <c r="R118" s="62">
        <f t="shared" si="29"/>
        <v>98.189097304406786</v>
      </c>
      <c r="S118" s="62">
        <f t="shared" si="29"/>
        <v>97.603878221308861</v>
      </c>
      <c r="T118" s="62">
        <f t="shared" si="29"/>
        <v>99.812623459945542</v>
      </c>
      <c r="U118" s="62">
        <f t="shared" si="29"/>
        <v>98.746005571020106</v>
      </c>
      <c r="V118" s="62">
        <f t="shared" si="29"/>
        <v>99.150110656370387</v>
      </c>
    </row>
    <row r="119" spans="3:22" x14ac:dyDescent="0.2">
      <c r="C119" s="87" t="s">
        <v>151</v>
      </c>
      <c r="D119" s="60">
        <f t="shared" ref="D119:V119" si="30">+IFERROR(IF(D80&gt;0,+((D80/D41)*100)," "),"")</f>
        <v>94.75700922761753</v>
      </c>
      <c r="E119" s="60">
        <f t="shared" si="30"/>
        <v>88.973833495542024</v>
      </c>
      <c r="F119" s="60">
        <f t="shared" si="30"/>
        <v>85.437682621586603</v>
      </c>
      <c r="G119" s="60">
        <f t="shared" si="30"/>
        <v>92.727829064672108</v>
      </c>
      <c r="H119" s="60">
        <f t="shared" si="30"/>
        <v>95.666262223381551</v>
      </c>
      <c r="I119" s="60">
        <f t="shared" si="30"/>
        <v>99.005682640226098</v>
      </c>
      <c r="J119" s="60">
        <f t="shared" si="30"/>
        <v>90.348697939318768</v>
      </c>
      <c r="K119" s="60">
        <f t="shared" si="30"/>
        <v>99.470401449788895</v>
      </c>
      <c r="L119" s="60">
        <f t="shared" si="30"/>
        <v>99.099702042159464</v>
      </c>
      <c r="M119" s="60">
        <f t="shared" si="30"/>
        <v>97.021688286558373</v>
      </c>
      <c r="N119" s="60">
        <f t="shared" si="30"/>
        <v>99.466619411220492</v>
      </c>
      <c r="O119" s="60">
        <f t="shared" si="30"/>
        <v>98.702553903290806</v>
      </c>
      <c r="P119" s="60">
        <f t="shared" si="30"/>
        <v>99.880675592097504</v>
      </c>
      <c r="Q119" s="60">
        <f t="shared" si="30"/>
        <v>98.23533223106304</v>
      </c>
      <c r="R119" s="60">
        <f t="shared" si="30"/>
        <v>99.514945346193556</v>
      </c>
      <c r="S119" s="60">
        <f t="shared" si="30"/>
        <v>99.755266498961049</v>
      </c>
      <c r="T119" s="60">
        <f t="shared" si="30"/>
        <v>99.46465299638615</v>
      </c>
      <c r="U119" s="60">
        <f t="shared" si="30"/>
        <v>99.916072261317723</v>
      </c>
      <c r="V119" s="60">
        <f t="shared" si="30"/>
        <v>99.411453341819808</v>
      </c>
    </row>
    <row r="120" spans="3:22" x14ac:dyDescent="0.2">
      <c r="C120" s="91" t="s">
        <v>202</v>
      </c>
      <c r="D120" s="64">
        <f t="shared" ref="D120:V120" si="31">+IFERROR(IF(D81&gt;0,+((D81/D42)*100)," "),"")</f>
        <v>80.328413452784901</v>
      </c>
      <c r="E120" s="64">
        <f t="shared" si="31"/>
        <v>91.506175293855719</v>
      </c>
      <c r="F120" s="64">
        <f t="shared" si="31"/>
        <v>85.608393039852871</v>
      </c>
      <c r="G120" s="64">
        <f t="shared" si="31"/>
        <v>97.941115639634631</v>
      </c>
      <c r="H120" s="64">
        <f t="shared" si="31"/>
        <v>95.221298515952881</v>
      </c>
      <c r="I120" s="64">
        <f t="shared" si="31"/>
        <v>93.980050899499844</v>
      </c>
      <c r="J120" s="64">
        <f t="shared" si="31"/>
        <v>92.672105390482542</v>
      </c>
      <c r="K120" s="64">
        <f t="shared" si="31"/>
        <v>88.280591548463633</v>
      </c>
      <c r="L120" s="64">
        <f t="shared" si="31"/>
        <v>97.42548887888573</v>
      </c>
      <c r="M120" s="64">
        <f t="shared" si="31"/>
        <v>93.335863583955899</v>
      </c>
      <c r="N120" s="64">
        <f t="shared" si="31"/>
        <v>93.566990145436421</v>
      </c>
      <c r="O120" s="64">
        <f t="shared" si="31"/>
        <v>94.685576772045621</v>
      </c>
      <c r="P120" s="64">
        <f t="shared" si="31"/>
        <v>94.282958287672926</v>
      </c>
      <c r="Q120" s="64">
        <f t="shared" si="31"/>
        <v>95.224340682546355</v>
      </c>
      <c r="R120" s="64">
        <f t="shared" si="31"/>
        <v>96.00386460866271</v>
      </c>
      <c r="S120" s="64">
        <f t="shared" si="31"/>
        <v>96.776851394611327</v>
      </c>
      <c r="T120" s="64">
        <f t="shared" si="31"/>
        <v>97.050791297858055</v>
      </c>
      <c r="U120" s="64">
        <f t="shared" si="31"/>
        <v>98.064298787638862</v>
      </c>
      <c r="V120" s="64">
        <f t="shared" si="31"/>
        <v>96.897784348358456</v>
      </c>
    </row>
    <row r="121" spans="3:22" x14ac:dyDescent="0.2">
      <c r="C121" s="1" t="s">
        <v>52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3:22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6" spans="3:22" ht="18" customHeight="1" x14ac:dyDescent="0.2">
      <c r="C126" s="9"/>
      <c r="D126" s="164" t="s">
        <v>205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3:22" ht="15.75" customHeight="1" x14ac:dyDescent="0.2"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3:22" x14ac:dyDescent="0.2">
      <c r="C128" s="181" t="s">
        <v>120</v>
      </c>
      <c r="D128" s="155">
        <v>2000</v>
      </c>
      <c r="E128" s="155">
        <v>2001</v>
      </c>
      <c r="F128" s="155">
        <v>2002</v>
      </c>
      <c r="G128" s="155">
        <v>2003</v>
      </c>
      <c r="H128" s="155">
        <v>2004</v>
      </c>
      <c r="I128" s="155">
        <v>2005</v>
      </c>
      <c r="J128" s="155">
        <v>2006</v>
      </c>
      <c r="K128" s="155">
        <v>2007</v>
      </c>
      <c r="L128" s="155">
        <v>2008</v>
      </c>
      <c r="M128" s="155">
        <v>2009</v>
      </c>
      <c r="N128" s="155">
        <v>2010</v>
      </c>
      <c r="O128" s="155">
        <v>2011</v>
      </c>
      <c r="P128" s="155">
        <v>2012</v>
      </c>
      <c r="Q128" s="155">
        <v>2013</v>
      </c>
      <c r="R128" s="155">
        <v>2014</v>
      </c>
      <c r="S128" s="155">
        <v>2015</v>
      </c>
      <c r="T128" s="155">
        <v>2016</v>
      </c>
      <c r="U128" s="155">
        <v>2017</v>
      </c>
      <c r="V128" s="155">
        <v>2018</v>
      </c>
    </row>
    <row r="129" spans="3:22" ht="12" customHeight="1" thickBot="1" x14ac:dyDescent="0.25">
      <c r="C129" s="162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</row>
    <row r="130" spans="3:22" x14ac:dyDescent="0.2">
      <c r="C130" s="87" t="s">
        <v>123</v>
      </c>
      <c r="D130" s="56">
        <f>207.75689053058*Deflactores!$A$5</f>
        <v>775.33117513547609</v>
      </c>
      <c r="E130" s="56">
        <f>272.43566427354*Deflactores!$B$5</f>
        <v>944.47089292434612</v>
      </c>
      <c r="F130" s="56">
        <f>252.585938565229*Deflactores!$C$5</f>
        <v>818.43299564269967</v>
      </c>
      <c r="G130" s="56">
        <f>147.61099801293*Deflactores!$D$5</f>
        <v>449.13644375608141</v>
      </c>
      <c r="H130" s="56">
        <f>243.11482166859*Deflactores!$E$5</f>
        <v>701.18235219979226</v>
      </c>
      <c r="I130" s="56">
        <f>316.82432990279*Deflactores!$F$5</f>
        <v>871.46156058328427</v>
      </c>
      <c r="J130" s="56">
        <f>497.609970482129*Deflactores!$G$5</f>
        <v>1310.0689345577268</v>
      </c>
      <c r="K130" s="56">
        <f>914.85738942896*Deflactores!$H$5</f>
        <v>2278.8001836336844</v>
      </c>
      <c r="L130" s="56">
        <f>1098.93787471741*Deflactores!$I$5</f>
        <v>2542.2229912809694</v>
      </c>
      <c r="M130" s="56">
        <f>1097.81445766062*Deflactores!$J$5</f>
        <v>2489.7834550970979</v>
      </c>
      <c r="N130" s="56">
        <f>993.3353146508*Deflactores!$K$5</f>
        <v>2183.584138341379</v>
      </c>
      <c r="O130" s="56">
        <f>1081.40990698468*Deflactores!$L$5</f>
        <v>2291.7851443182035</v>
      </c>
      <c r="P130" s="56">
        <f>1534.72406654622*Deflactores!$M$5</f>
        <v>3175.0040947670182</v>
      </c>
      <c r="Q130" s="56">
        <f>1932.12086694923*Deflactores!$N$5</f>
        <v>3921.0614444881908</v>
      </c>
      <c r="R130" s="56">
        <f>2790.43210500736*Deflactores!$O$5</f>
        <v>5462.9800242424644</v>
      </c>
      <c r="S130" s="56">
        <f>2849.83266036778*Deflactores!$P$5</f>
        <v>5225.5050180824746</v>
      </c>
      <c r="T130" s="56">
        <f>1595.16618495287*Deflactores!$Q$5</f>
        <v>2765.887224965988</v>
      </c>
      <c r="U130" s="56">
        <f>2037.07655094953*Deflactores!$R$5</f>
        <v>3393.3360795908225</v>
      </c>
      <c r="V130" s="56">
        <f>927.172975358759*Deflactores!$S$5</f>
        <v>1496.872350011005</v>
      </c>
    </row>
    <row r="131" spans="3:22" x14ac:dyDescent="0.2">
      <c r="C131" s="88" t="s">
        <v>124</v>
      </c>
      <c r="D131" s="57">
        <f>24.38843370814*Deflactores!$A$5</f>
        <v>91.015575552535452</v>
      </c>
      <c r="E131" s="57">
        <f>34.42623613422*Deflactores!$B$5</f>
        <v>119.34772955814175</v>
      </c>
      <c r="F131" s="57">
        <f>37.64934524624*Deflactores!$C$5</f>
        <v>121.99201027934113</v>
      </c>
      <c r="G131" s="57">
        <f>56.91737805126*Deflactores!$D$5</f>
        <v>173.18268360751892</v>
      </c>
      <c r="H131" s="57">
        <f>52.02653453181*Deflactores!$E$5</f>
        <v>150.05291577634574</v>
      </c>
      <c r="I131" s="57">
        <f>74.29435947338*Deflactores!$F$5</f>
        <v>204.35513418136986</v>
      </c>
      <c r="J131" s="57">
        <f>128.66572878166*Deflactores!$G$5</f>
        <v>338.74115113844249</v>
      </c>
      <c r="K131" s="57">
        <f>374.26508692413*Deflactores!$H$5</f>
        <v>932.24950540404564</v>
      </c>
      <c r="L131" s="57">
        <f>389.24992232481*Deflactores!$I$5</f>
        <v>900.46955761073116</v>
      </c>
      <c r="M131" s="57">
        <f>360.13403759477*Deflactores!$J$5</f>
        <v>816.76440145586798</v>
      </c>
      <c r="N131" s="57">
        <f>432.34387071055*Deflactores!$K$5</f>
        <v>950.3932906327309</v>
      </c>
      <c r="O131" s="57">
        <f>252.78436895838*Deflactores!$L$5</f>
        <v>535.71495669946182</v>
      </c>
      <c r="P131" s="57">
        <f>138.306058197201*Deflactores!$M$5</f>
        <v>286.12459443306318</v>
      </c>
      <c r="Q131" s="57">
        <f>169.891483067059*Deflactores!$N$5</f>
        <v>344.77912608697466</v>
      </c>
      <c r="R131" s="57">
        <f>184.660942707571*Deflactores!$O$5</f>
        <v>361.52072629145073</v>
      </c>
      <c r="S131" s="57">
        <f>231.280426054616*Deflactores!$P$5</f>
        <v>424.07999730646657</v>
      </c>
      <c r="T131" s="57">
        <f>236.443298020056*Deflactores!$Q$5</f>
        <v>409.97327024069335</v>
      </c>
      <c r="U131" s="57">
        <f>268.70336574514*Deflactores!$R$5</f>
        <v>447.60263195090045</v>
      </c>
      <c r="V131" s="57">
        <f>240.04557480974*Deflactores!$S$5</f>
        <v>387.54104490175007</v>
      </c>
    </row>
    <row r="132" spans="3:22" x14ac:dyDescent="0.2">
      <c r="C132" s="87" t="s">
        <v>125</v>
      </c>
      <c r="D132" s="56">
        <f>22.3760689816*Deflactores!$A$5</f>
        <v>83.505600291330907</v>
      </c>
      <c r="E132" s="56">
        <f>34.4481051749799*Deflactores!$B$5</f>
        <v>119.42354442074051</v>
      </c>
      <c r="F132" s="56">
        <f>24.7174111176699*Deflactores!$C$5</f>
        <v>80.089750603209339</v>
      </c>
      <c r="G132" s="56">
        <f>12.22815740684*Deflactores!$D$5</f>
        <v>37.206652656847574</v>
      </c>
      <c r="H132" s="56">
        <f>36.23429495413*Deflactores!$E$5</f>
        <v>104.50555006009515</v>
      </c>
      <c r="I132" s="56">
        <f>37.50168702346*Deflactores!$F$5</f>
        <v>103.15267993464334</v>
      </c>
      <c r="J132" s="56">
        <f>38.2569486918*Deflactores!$G$5</f>
        <v>100.71992722239077</v>
      </c>
      <c r="K132" s="56">
        <f>107.22378086097*Deflactores!$H$5</f>
        <v>267.08159581942124</v>
      </c>
      <c r="L132" s="56">
        <f>172.059847420899*Deflactores!$I$5</f>
        <v>398.03387439183984</v>
      </c>
      <c r="M132" s="56">
        <f>174.16763726217*Deflactores!$J$5</f>
        <v>395.00272440642209</v>
      </c>
      <c r="N132" s="56">
        <f>310.11040079419*Deflactores!$K$5</f>
        <v>681.69543790651312</v>
      </c>
      <c r="O132" s="56">
        <f>351.51111180104*Deflactores!$L$5</f>
        <v>744.9422636922551</v>
      </c>
      <c r="P132" s="56">
        <f>374.33902296769*Deflactores!$M$5</f>
        <v>774.42450839269929</v>
      </c>
      <c r="Q132" s="56">
        <f>398.39529388994*Deflactores!$N$5</f>
        <v>808.50657599074168</v>
      </c>
      <c r="R132" s="56">
        <f>336.17126917952*Deflactores!$O$5</f>
        <v>658.14069618694782</v>
      </c>
      <c r="S132" s="56">
        <f>328.274931341819*Deflactores!$P$5</f>
        <v>601.93088699319526</v>
      </c>
      <c r="T132" s="56">
        <f>281.088120646199*Deflactores!$Q$5</f>
        <v>487.38372798943868</v>
      </c>
      <c r="U132" s="56">
        <f>356.684413090219*Deflactores!$R$5</f>
        <v>594.16033599844047</v>
      </c>
      <c r="V132" s="56">
        <f>247.07504864002*Deflactores!$S$5</f>
        <v>398.88976330847521</v>
      </c>
    </row>
    <row r="133" spans="3:22" x14ac:dyDescent="0.2">
      <c r="C133" s="88" t="s">
        <v>126</v>
      </c>
      <c r="D133" s="57">
        <f>53.24243859357*Deflactores!$A$5</f>
        <v>198.69628572321611</v>
      </c>
      <c r="E133" s="57">
        <f>67.7599987169*Deflactores!$B$5</f>
        <v>234.90810817061868</v>
      </c>
      <c r="F133" s="57">
        <f>45.3434680132099*Deflactores!$C$5</f>
        <v>146.92262985691383</v>
      </c>
      <c r="G133" s="57">
        <f>25.75932846141*Deflactores!$D$5</f>
        <v>78.377989001124917</v>
      </c>
      <c r="H133" s="57">
        <f>14.07881189925*Deflactores!$E$5</f>
        <v>40.605563971544399</v>
      </c>
      <c r="I133" s="57">
        <f>16.36594000554*Deflactores!$F$5</f>
        <v>45.016390067064407</v>
      </c>
      <c r="J133" s="57">
        <f>28.45390370256*Deflactores!$G$5</f>
        <v>74.911230720526092</v>
      </c>
      <c r="K133" s="57">
        <f>80.1799888930199*Deflactores!$H$5</f>
        <v>199.71874909072758</v>
      </c>
      <c r="L133" s="57">
        <f>68.0964490781*Deflactores!$I$5</f>
        <v>157.5306142901446</v>
      </c>
      <c r="M133" s="57">
        <f>161.22756615091*Deflactores!$J$5</f>
        <v>365.6553472282697</v>
      </c>
      <c r="N133" s="57">
        <f>196.947816135099*Deflactores!$K$5</f>
        <v>432.93751973849669</v>
      </c>
      <c r="O133" s="57">
        <f>190.46371623978*Deflactores!$L$5</f>
        <v>403.64149855726203</v>
      </c>
      <c r="P133" s="57">
        <f>269.75182525852*Deflactores!$M$5</f>
        <v>558.05676631766357</v>
      </c>
      <c r="Q133" s="57">
        <f>340.227922619699*Deflactores!$N$5</f>
        <v>690.46125040244078</v>
      </c>
      <c r="R133" s="57">
        <f>265.280484673829*Deflactores!$O$5</f>
        <v>519.35396886879801</v>
      </c>
      <c r="S133" s="57">
        <f>296.32573987144*Deflactores!$P$5</f>
        <v>543.34826820511603</v>
      </c>
      <c r="T133" s="57">
        <f>283.24741470155*Deflactores!$Q$5</f>
        <v>491.12776663505275</v>
      </c>
      <c r="U133" s="57">
        <f>344.67392163169*Deflactores!$R$5</f>
        <v>574.15341285122418</v>
      </c>
      <c r="V133" s="57">
        <f>176.62144535663*Deflactores!$S$5</f>
        <v>285.14610002628729</v>
      </c>
    </row>
    <row r="134" spans="3:22" x14ac:dyDescent="0.2">
      <c r="C134" s="87" t="s">
        <v>127</v>
      </c>
      <c r="D134" s="56">
        <f>0*Deflactores!$A$5</f>
        <v>0</v>
      </c>
      <c r="E134" s="56">
        <f>0*Deflactores!$B$5</f>
        <v>0</v>
      </c>
      <c r="F134" s="56">
        <f>0*Deflactores!$C$5</f>
        <v>0</v>
      </c>
      <c r="G134" s="56">
        <f>7.4222326*Deflactores!$D$5</f>
        <v>22.58365026705156</v>
      </c>
      <c r="H134" s="56">
        <f>0*Deflactores!$E$5</f>
        <v>0</v>
      </c>
      <c r="I134" s="56">
        <f>4.468227078*Deflactores!$F$5</f>
        <v>12.29036969360628</v>
      </c>
      <c r="J134" s="56">
        <f>37.905725492*Deflactores!$G$5</f>
        <v>99.795254023603917</v>
      </c>
      <c r="K134" s="56">
        <f>12.99541459514*Deflactores!$H$5</f>
        <v>32.370021281989615</v>
      </c>
      <c r="L134" s="56">
        <f>13.60924860814*Deflactores!$I$5</f>
        <v>31.482894075853732</v>
      </c>
      <c r="M134" s="56">
        <f>10.39842512527*Deflactores!$J$5</f>
        <v>23.583062379350476</v>
      </c>
      <c r="N134" s="56">
        <f>26.66466349089*Deflactores!$K$5</f>
        <v>58.615188037874496</v>
      </c>
      <c r="O134" s="56">
        <f>13.969757142*Deflactores!$L$5</f>
        <v>29.605500819794393</v>
      </c>
      <c r="P134" s="56">
        <f>5.50236868371*Deflactores!$M$5</f>
        <v>11.383181825650304</v>
      </c>
      <c r="Q134" s="56">
        <f>36.250531477*Deflactores!$N$5</f>
        <v>73.567116709994764</v>
      </c>
      <c r="R134" s="56">
        <f>50.0090147194*Deflactores!$O$5</f>
        <v>97.905355931750577</v>
      </c>
      <c r="S134" s="56">
        <f>52.21069267632*Deflactores!$P$5</f>
        <v>95.734476052521217</v>
      </c>
      <c r="T134" s="56">
        <f>62.44311337586*Deflactores!$Q$5</f>
        <v>108.27123293018954</v>
      </c>
      <c r="U134" s="56">
        <f>64.75029318367*Deflactores!$R$5</f>
        <v>107.86021071314899</v>
      </c>
      <c r="V134" s="56">
        <f>47.1439929030099*Deflactores!$S$5</f>
        <v>76.111514594485328</v>
      </c>
    </row>
    <row r="135" spans="3:22" x14ac:dyDescent="0.2">
      <c r="C135" s="88" t="s">
        <v>128</v>
      </c>
      <c r="D135" s="57">
        <f>10.81033053774*Deflactores!$A$5</f>
        <v>40.343240881318359</v>
      </c>
      <c r="E135" s="57">
        <f>16.33027567655*Deflactores!$B$5</f>
        <v>56.613256164750581</v>
      </c>
      <c r="F135" s="57">
        <f>9.56217100551*Deflactores!$C$5</f>
        <v>30.983499340230665</v>
      </c>
      <c r="G135" s="57">
        <f>8.85966617445*Deflactores!$D$5</f>
        <v>26.957333884497963</v>
      </c>
      <c r="H135" s="57">
        <f>23.9751768125299*Deflactores!$E$5</f>
        <v>69.148276342986861</v>
      </c>
      <c r="I135" s="57">
        <f>27.54740621182*Deflactores!$F$5</f>
        <v>75.772291903024424</v>
      </c>
      <c r="J135" s="57">
        <f>41.98571098829*Deflactores!$G$5</f>
        <v>110.5367233855559</v>
      </c>
      <c r="K135" s="57">
        <f>48.8601640135099*Deflactores!$H$5</f>
        <v>121.70481652430728</v>
      </c>
      <c r="L135" s="57">
        <f>66.02130261582*Deflactores!$I$5</f>
        <v>152.73008355218988</v>
      </c>
      <c r="M135" s="57">
        <f>74.20576713338*Deflactores!$J$5</f>
        <v>168.29464213395642</v>
      </c>
      <c r="N135" s="57">
        <f>88.33363912274*Deflactores!$K$5</f>
        <v>194.17806900200014</v>
      </c>
      <c r="O135" s="57">
        <f>99.35858038635*Deflactores!$L$5</f>
        <v>210.56633291339804</v>
      </c>
      <c r="P135" s="57">
        <f>178.169738125579*Deflactores!$M$5</f>
        <v>368.59371690529503</v>
      </c>
      <c r="Q135" s="57">
        <f>184.03218067343*Deflactores!$N$5</f>
        <v>373.47637020403471</v>
      </c>
      <c r="R135" s="57">
        <f>185.030510433559*Deflactores!$O$5</f>
        <v>362.24424903943452</v>
      </c>
      <c r="S135" s="57">
        <f>215.144885750789*Deflactores!$P$5</f>
        <v>394.49357702302484</v>
      </c>
      <c r="T135" s="57">
        <f>166.25990999328*Deflactores!$Q$5</f>
        <v>288.28103642881246</v>
      </c>
      <c r="U135" s="57">
        <f>162.92680751657*Deflactores!$R$5</f>
        <v>271.40139334519478</v>
      </c>
      <c r="V135" s="57">
        <f>114.45080612089*Deflactores!$S$5</f>
        <v>184.77484964716629</v>
      </c>
    </row>
    <row r="136" spans="3:22" x14ac:dyDescent="0.2">
      <c r="C136" s="87" t="s">
        <v>129</v>
      </c>
      <c r="D136" s="56">
        <f>374.780201278269*Deflactores!$A$5</f>
        <v>1398.6480695417411</v>
      </c>
      <c r="E136" s="56">
        <f>486.1584655014*Deflactores!$B$5</f>
        <v>1685.3979864905402</v>
      </c>
      <c r="F136" s="56">
        <f>594.142404962609*Deflactores!$C$5</f>
        <v>1925.1497177319336</v>
      </c>
      <c r="G136" s="56">
        <f>489.906165050439*Deflactores!$D$5</f>
        <v>1490.639015432035</v>
      </c>
      <c r="H136" s="56">
        <f>488.87610196832*Deflactores!$E$5</f>
        <v>1409.9975178794296</v>
      </c>
      <c r="I136" s="56">
        <f>443.46374567396*Deflactores!$F$5</f>
        <v>1219.797759804982</v>
      </c>
      <c r="J136" s="56">
        <f>780.094188589369*Deflactores!$G$5</f>
        <v>2053.7714738910204</v>
      </c>
      <c r="K136" s="56">
        <f>1051.38409716063*Deflactores!$H$5</f>
        <v>2618.8718606455809</v>
      </c>
      <c r="L136" s="56">
        <f>3178.24698326772*Deflactores!$I$5</f>
        <v>7352.3833682684663</v>
      </c>
      <c r="M136" s="56">
        <f>2692.66550749357*Deflactores!$J$5</f>
        <v>6106.818856215732</v>
      </c>
      <c r="N136" s="56">
        <f>1654.59335431806*Deflactores!$K$5</f>
        <v>3637.1844941041668</v>
      </c>
      <c r="O136" s="56">
        <f>1221.70833427074*Deflactores!$L$5</f>
        <v>2589.1135203101894</v>
      </c>
      <c r="P136" s="56">
        <f>1728.4208645898*Deflactores!$M$5</f>
        <v>3575.7198588167803</v>
      </c>
      <c r="Q136" s="56">
        <f>2611.96601479736*Deflactores!$N$5</f>
        <v>5300.7445911532195</v>
      </c>
      <c r="R136" s="56">
        <f>1954.77701016862*Deflactores!$O$5</f>
        <v>3826.9727972368687</v>
      </c>
      <c r="S136" s="56">
        <f>1297.93957147016*Deflactores!$P$5</f>
        <v>2379.9256139516096</v>
      </c>
      <c r="T136" s="56">
        <f>919.92657398606*Deflactores!$Q$5</f>
        <v>1595.0771668156622</v>
      </c>
      <c r="U136" s="56">
        <f>870.369440705935*Deflactores!$R$5</f>
        <v>1449.8502888092535</v>
      </c>
      <c r="V136" s="56">
        <f>572.697959538358*Deflactores!$S$5</f>
        <v>924.59094831682728</v>
      </c>
    </row>
    <row r="137" spans="3:22" x14ac:dyDescent="0.2">
      <c r="C137" s="88" t="s">
        <v>130</v>
      </c>
      <c r="D137" s="57">
        <f>27.695599534*Deflactores!$A$5</f>
        <v>103.35763920002012</v>
      </c>
      <c r="E137" s="57">
        <f>45.9626122644199*Deflactores!$B$5</f>
        <v>159.34165433981451</v>
      </c>
      <c r="F137" s="57">
        <f>17.7510424217999*Deflactores!$C$5</f>
        <v>57.517211399725433</v>
      </c>
      <c r="G137" s="57">
        <f>18.94644900922*Deflactores!$D$5</f>
        <v>57.648419456263071</v>
      </c>
      <c r="H137" s="57">
        <f>65.29733279061*Deflactores!$E$5</f>
        <v>188.32803810253222</v>
      </c>
      <c r="I137" s="57">
        <f>55.02314283727*Deflactores!$F$5</f>
        <v>151.34744841053325</v>
      </c>
      <c r="J137" s="57">
        <f>85.7099960436*Deflactores!$G$5</f>
        <v>225.65062972712008</v>
      </c>
      <c r="K137" s="57">
        <f>68.90876094461*Deflactores!$H$5</f>
        <v>171.64347023809057</v>
      </c>
      <c r="L137" s="57">
        <f>134.61671082754*Deflactores!$I$5</f>
        <v>311.41496271060521</v>
      </c>
      <c r="M137" s="57">
        <f>109.875524249819*Deflactores!$J$5</f>
        <v>249.19171039182103</v>
      </c>
      <c r="N137" s="57">
        <f>111.83176094635*Deflactores!$K$5</f>
        <v>245.83245532862131</v>
      </c>
      <c r="O137" s="57">
        <f>137.59055559581*Deflactores!$L$5</f>
        <v>291.58970088613432</v>
      </c>
      <c r="P137" s="57">
        <f>264.16768379326*Deflactores!$M$5</f>
        <v>546.50441472272303</v>
      </c>
      <c r="Q137" s="57">
        <f>321.37163963124*Deflactores!$N$5</f>
        <v>652.19415983002273</v>
      </c>
      <c r="R137" s="57">
        <f>290.49069110278*Deflactores!$O$5</f>
        <v>568.70935504044076</v>
      </c>
      <c r="S137" s="57">
        <f>350.12694987756*Deflactores!$P$5</f>
        <v>641.99914577264565</v>
      </c>
      <c r="T137" s="57">
        <f>227.25612097164*Deflactores!$Q$5</f>
        <v>394.04345937119746</v>
      </c>
      <c r="U137" s="57">
        <f>416.07362905724*Deflactores!$R$5</f>
        <v>693.09013281219643</v>
      </c>
      <c r="V137" s="57">
        <f>366.45051589856*Deflactores!$S$5</f>
        <v>591.61522118736843</v>
      </c>
    </row>
    <row r="138" spans="3:22" x14ac:dyDescent="0.2">
      <c r="C138" s="87" t="s">
        <v>131</v>
      </c>
      <c r="D138" s="56">
        <f>169.188048669849*Deflactores!$A$5</f>
        <v>631.39551356908703</v>
      </c>
      <c r="E138" s="56">
        <f>139.11346896152*Deflactores!$B$5</f>
        <v>482.27394382539023</v>
      </c>
      <c r="F138" s="56">
        <f>196.42927268097*Deflactores!$C$5</f>
        <v>636.47326919858006</v>
      </c>
      <c r="G138" s="56">
        <f>205.01550600608*Deflactores!$D$5</f>
        <v>623.80131915616857</v>
      </c>
      <c r="H138" s="56">
        <f>230.76454297012*Deflactores!$E$5</f>
        <v>665.56215673544057</v>
      </c>
      <c r="I138" s="56">
        <f>332.8362102315*Deflactores!$F$5</f>
        <v>915.50406900873179</v>
      </c>
      <c r="J138" s="56">
        <f>327.58081383208*Deflactores!$G$5</f>
        <v>862.42935876615172</v>
      </c>
      <c r="K138" s="56">
        <f>588.49145276112*Deflactores!$H$5</f>
        <v>1465.861724586342</v>
      </c>
      <c r="L138" s="56">
        <f>747.77543992495*Deflactores!$I$5</f>
        <v>1729.8629516989674</v>
      </c>
      <c r="M138" s="56">
        <f>847.0796552275*Deflactores!$J$5</f>
        <v>1921.1305662971845</v>
      </c>
      <c r="N138" s="56">
        <f>872.891935211169*Deflactores!$K$5</f>
        <v>1918.8213245828995</v>
      </c>
      <c r="O138" s="56">
        <f>823.59137679668*Deflactores!$L$5</f>
        <v>1745.4015079204805</v>
      </c>
      <c r="P138" s="56">
        <f>939.444264046669*Deflactores!$M$5</f>
        <v>1943.5020601885722</v>
      </c>
      <c r="Q138" s="56">
        <f>1452.86796654884*Deflactores!$N$5</f>
        <v>2948.461799163576</v>
      </c>
      <c r="R138" s="56">
        <f>1828.69422446178*Deflactores!$O$5</f>
        <v>3580.1337007108154</v>
      </c>
      <c r="S138" s="56">
        <f>2404.93892024993*Deflactores!$P$5</f>
        <v>4409.7397614658694</v>
      </c>
      <c r="T138" s="56">
        <f>2540.95208699506*Deflactores!$Q$5</f>
        <v>4405.802343959509</v>
      </c>
      <c r="U138" s="56">
        <f>3215.79767578864*Deflactores!$R$5</f>
        <v>5356.8346623161642</v>
      </c>
      <c r="V138" s="56">
        <f>3216.79805199394*Deflactores!$S$5</f>
        <v>5193.3524677375663</v>
      </c>
    </row>
    <row r="139" spans="3:22" x14ac:dyDescent="0.2">
      <c r="C139" s="88" t="s">
        <v>132</v>
      </c>
      <c r="D139" s="57">
        <f>10.71460767639*Deflactores!$A$5</f>
        <v>39.986011244369671</v>
      </c>
      <c r="E139" s="57">
        <f>13.4776209981599*Deflactores!$B$5</f>
        <v>46.72376787587978</v>
      </c>
      <c r="F139" s="57">
        <f>13.7587882372099*Deflactores!$C$5</f>
        <v>44.581445575939043</v>
      </c>
      <c r="G139" s="57">
        <f>4.77014016313*Deflactores!$D$5</f>
        <v>14.514120342839188</v>
      </c>
      <c r="H139" s="57">
        <f>8.00518310248*Deflactores!$E$5</f>
        <v>23.088239043025645</v>
      </c>
      <c r="I139" s="57">
        <f>7.40048757974*Deflactores!$F$5</f>
        <v>20.355887621686847</v>
      </c>
      <c r="J139" s="57">
        <f>13.73105068396*Deflactores!$G$5</f>
        <v>36.150045230132022</v>
      </c>
      <c r="K139" s="57">
        <f>18.82257105827*Deflactores!$H$5</f>
        <v>46.884770106974628</v>
      </c>
      <c r="L139" s="57">
        <f>26.45965187497*Deflactores!$I$5</f>
        <v>61.210316693413411</v>
      </c>
      <c r="M139" s="57">
        <f>54.8975614129099*Deflactores!$J$5</f>
        <v>124.50468216851843</v>
      </c>
      <c r="N139" s="57">
        <f>55.12108273146*Deflactores!$K$5</f>
        <v>121.16907570424112</v>
      </c>
      <c r="O139" s="57">
        <f>56.6895695242899*Deflactores!$L$5</f>
        <v>120.13974759656247</v>
      </c>
      <c r="P139" s="57">
        <f>80.1373566613899*Deflactores!$M$5</f>
        <v>165.78643750358839</v>
      </c>
      <c r="Q139" s="57">
        <f>102.67366818914*Deflactores!$N$5</f>
        <v>208.36675830549336</v>
      </c>
      <c r="R139" s="57">
        <f>104.075041159179*Deflactores!$O$5</f>
        <v>203.75334338167227</v>
      </c>
      <c r="S139" s="57">
        <f>129.36235917998*Deflactores!$P$5</f>
        <v>237.20117550998069</v>
      </c>
      <c r="T139" s="57">
        <f>194.748476017*Deflactores!$Q$5</f>
        <v>337.677871420607</v>
      </c>
      <c r="U139" s="57">
        <f>255.078204177249*Deflactores!$R$5</f>
        <v>424.90601197506913</v>
      </c>
      <c r="V139" s="57">
        <f>339.458929162989*Deflactores!$S$5</f>
        <v>548.03871395389717</v>
      </c>
    </row>
    <row r="140" spans="3:22" x14ac:dyDescent="0.2">
      <c r="C140" s="87" t="s">
        <v>133</v>
      </c>
      <c r="D140" s="56">
        <f>18.9942303141999*Deflactores!$A$5</f>
        <v>70.884863903634681</v>
      </c>
      <c r="E140" s="56">
        <f>24.84059606474*Deflactores!$B$5</f>
        <v>86.116551621823149</v>
      </c>
      <c r="F140" s="56">
        <f>9.08884023026*Deflactores!$C$5</f>
        <v>29.44980539622793</v>
      </c>
      <c r="G140" s="56">
        <f>18.127861628*Deflactores!$D$5</f>
        <v>55.157701079895553</v>
      </c>
      <c r="H140" s="56">
        <f>27.88430015412*Deflactores!$E$5</f>
        <v>80.422818474489461</v>
      </c>
      <c r="I140" s="56">
        <f>33.70649794642*Deflactores!$F$5</f>
        <v>92.713578250752164</v>
      </c>
      <c r="J140" s="56">
        <f>28.05706183419*Deflactores!$G$5</f>
        <v>73.866456229412762</v>
      </c>
      <c r="K140" s="56">
        <f>64.56180970379*Deflactores!$H$5</f>
        <v>160.81573533614008</v>
      </c>
      <c r="L140" s="56">
        <f>66.9291484721199*Deflactores!$I$5</f>
        <v>154.83024468187909</v>
      </c>
      <c r="M140" s="56">
        <f>65.28756853026*Deflactores!$J$5</f>
        <v>148.06865296395179</v>
      </c>
      <c r="N140" s="56">
        <f>47.77773096756*Deflactores!$K$5</f>
        <v>105.02666518342906</v>
      </c>
      <c r="O140" s="56">
        <f>77.95589247418*Deflactores!$L$5</f>
        <v>165.20854407793396</v>
      </c>
      <c r="P140" s="56">
        <f>86.19673746862*Deflactores!$M$5</f>
        <v>178.32195401373417</v>
      </c>
      <c r="Q140" s="56">
        <f>107.75934030461*Deflactores!$N$5</f>
        <v>218.68766171914203</v>
      </c>
      <c r="R140" s="56">
        <f>106.336095625098*Deflactores!$O$5</f>
        <v>208.17993213789902</v>
      </c>
      <c r="S140" s="56">
        <f>97.02218605889*Deflactores!$P$5</f>
        <v>177.90164565333902</v>
      </c>
      <c r="T140" s="56">
        <f>121.89319768445*Deflactores!$Q$5</f>
        <v>211.35279914151081</v>
      </c>
      <c r="U140" s="56">
        <f>145.77749863347*Deflactores!$R$5</f>
        <v>242.83429381918765</v>
      </c>
      <c r="V140" s="56">
        <f>91.74052183514*Deflactores!$S$5</f>
        <v>148.11028164131514</v>
      </c>
    </row>
    <row r="141" spans="3:22" x14ac:dyDescent="0.2">
      <c r="C141" s="88" t="s">
        <v>134</v>
      </c>
      <c r="D141" s="57">
        <f>801.46593205672*Deflactores!$A$5</f>
        <v>2991.003192941615</v>
      </c>
      <c r="E141" s="57">
        <f>1559.82854455736*Deflactores!$B$5</f>
        <v>5407.5616796183795</v>
      </c>
      <c r="F141" s="57">
        <f>809.87538221251*Deflactores!$C$5</f>
        <v>2624.1711590381697</v>
      </c>
      <c r="G141" s="57">
        <f>1103.3633023722*Deflactores!$D$5</f>
        <v>3357.2069593012789</v>
      </c>
      <c r="H141" s="57">
        <f>890.26765944766*Deflactores!$E$5</f>
        <v>2567.6755010431539</v>
      </c>
      <c r="I141" s="57">
        <f>1174.51310616847*Deflactores!$F$5</f>
        <v>3230.6326497751775</v>
      </c>
      <c r="J141" s="57">
        <f>291.993925303829*Deflactores!$G$5</f>
        <v>768.73895884659305</v>
      </c>
      <c r="K141" s="57">
        <f>765.099038578859*Deflactores!$H$5</f>
        <v>1905.7700683816199</v>
      </c>
      <c r="L141" s="57">
        <f>833.782151987589*Deflactores!$I$5</f>
        <v>1928.8261923337925</v>
      </c>
      <c r="M141" s="57">
        <f>939.48507055268*Deflactores!$J$5</f>
        <v>2130.7010202409901</v>
      </c>
      <c r="N141" s="57">
        <f>790.9529417306*Deflactores!$K$5</f>
        <v>1738.7001874030275</v>
      </c>
      <c r="O141" s="57">
        <f>1259.04466016327*Deflactores!$L$5</f>
        <v>2668.2387775056886</v>
      </c>
      <c r="P141" s="57">
        <f>2021.72160811752*Deflactores!$M$5</f>
        <v>4182.4941200651801</v>
      </c>
      <c r="Q141" s="57">
        <f>1814.92079018698*Deflactores!$N$5</f>
        <v>3683.2146771639855</v>
      </c>
      <c r="R141" s="57">
        <f>1015.41085541104*Deflactores!$O$5</f>
        <v>1987.9248126321402</v>
      </c>
      <c r="S141" s="57">
        <f>1110.37882274774*Deflactores!$P$5</f>
        <v>2036.0108124706601</v>
      </c>
      <c r="T141" s="57">
        <f>526.79344931591*Deflactores!$Q$5</f>
        <v>913.41659909979387</v>
      </c>
      <c r="U141" s="57">
        <f>810.35270506719*Deflactores!$R$5</f>
        <v>1349.8751777476252</v>
      </c>
      <c r="V141" s="57">
        <f>739.679385667829*Deflactores!$S$5</f>
        <v>1194.1737407206883</v>
      </c>
    </row>
    <row r="142" spans="3:22" x14ac:dyDescent="0.2">
      <c r="C142" s="87" t="s">
        <v>135</v>
      </c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3:22" x14ac:dyDescent="0.2">
      <c r="C143" s="88" t="s">
        <v>136</v>
      </c>
      <c r="D143" s="57">
        <f>817.00175736841*Deflactores!$A$5</f>
        <v>3048.9815813592022</v>
      </c>
      <c r="E143" s="57">
        <f>877.317112734489*Deflactores!$B$5</f>
        <v>3041.4537650628326</v>
      </c>
      <c r="F143" s="57">
        <f>857.16431398532*Deflactores!$C$5</f>
        <v>2777.397511666542</v>
      </c>
      <c r="G143" s="57">
        <f>928.74532389988*Deflactores!$D$5</f>
        <v>2825.8962919208989</v>
      </c>
      <c r="H143" s="57">
        <f>1078.94435076419*Deflactores!$E$5</f>
        <v>3111.8495062090883</v>
      </c>
      <c r="I143" s="57">
        <f>1311.52550112266*Deflactores!$F$5</f>
        <v>3607.5009147934197</v>
      </c>
      <c r="J143" s="57">
        <f>2123.84716704215*Deflactores!$G$5</f>
        <v>5591.5000911145971</v>
      </c>
      <c r="K143" s="57">
        <f>3287.63952890138*Deflactores!$H$5</f>
        <v>8189.1163024415619</v>
      </c>
      <c r="L143" s="57">
        <f>4135.68846171922*Deflactores!$I$5</f>
        <v>9567.2763074633694</v>
      </c>
      <c r="M143" s="57">
        <f>4964.55824101403*Deflactores!$J$5</f>
        <v>11259.347956377414</v>
      </c>
      <c r="N143" s="57">
        <f>5022.27878588627*Deflactores!$K$5</f>
        <v>11040.147403845074</v>
      </c>
      <c r="O143" s="57">
        <f>5129.14889700087*Deflactores!$L$5</f>
        <v>10869.982944690391</v>
      </c>
      <c r="P143" s="57">
        <f>6589.98532507785*Deflactores!$M$5</f>
        <v>13633.219708779881</v>
      </c>
      <c r="Q143" s="57">
        <f>7572.82294810456*Deflactores!$N$5</f>
        <v>15368.347082050554</v>
      </c>
      <c r="R143" s="57">
        <f>7946.36494688745*Deflactores!$O$5</f>
        <v>15557.028924762952</v>
      </c>
      <c r="S143" s="57">
        <f>9264.28027735149*Deflactores!$P$5</f>
        <v>16987.152877943077</v>
      </c>
      <c r="T143" s="57">
        <f>8514.94929041735*Deflactores!$Q$5</f>
        <v>14764.223117163427</v>
      </c>
      <c r="U143" s="57">
        <f>9806.64375952104*Deflactores!$R$5</f>
        <v>16335.781820946106</v>
      </c>
      <c r="V143" s="57">
        <f>9038.05083604682*Deflactores!$S$5</f>
        <v>14591.461090890309</v>
      </c>
    </row>
    <row r="144" spans="3:22" x14ac:dyDescent="0.2">
      <c r="C144" s="87" t="s">
        <v>137</v>
      </c>
      <c r="D144" s="56">
        <f>24.36744170196*Deflactores!$A$5</f>
        <v>90.937235157767205</v>
      </c>
      <c r="E144" s="56">
        <f>26.42519348584*Deflactores!$B$5</f>
        <v>91.609981218211303</v>
      </c>
      <c r="F144" s="56">
        <f>30.22770868621*Deflactores!$C$5</f>
        <v>97.944304865098019</v>
      </c>
      <c r="G144" s="56">
        <f>22.88263410236*Deflactores!$D$5</f>
        <v>69.625062108213314</v>
      </c>
      <c r="H144" s="56">
        <f>45.4067096615799*Deflactores!$E$5</f>
        <v>130.9602732883196</v>
      </c>
      <c r="I144" s="56">
        <f>137.53648224792*Deflactores!$F$5</f>
        <v>378.30982706941421</v>
      </c>
      <c r="J144" s="56">
        <f>70.83701341901*Deflactores!$G$5</f>
        <v>186.49419465445916</v>
      </c>
      <c r="K144" s="56">
        <f>95.87794444704*Deflactores!$H$5</f>
        <v>238.82047621510822</v>
      </c>
      <c r="L144" s="56">
        <f>120.604147199779*Deflactores!$I$5</f>
        <v>278.99906164755208</v>
      </c>
      <c r="M144" s="56">
        <f>110.95893645974*Deflactores!$J$5</f>
        <v>251.64883033270763</v>
      </c>
      <c r="N144" s="56">
        <f>131.72810381729*Deflactores!$K$5</f>
        <v>289.569286248862</v>
      </c>
      <c r="O144" s="56">
        <f>159.51962882887*Deflactores!$L$5</f>
        <v>338.06303531703929</v>
      </c>
      <c r="P144" s="56">
        <f>185.62468888608*Deflactores!$M$5</f>
        <v>384.01635847769421</v>
      </c>
      <c r="Q144" s="56">
        <f>229.75940640711*Deflactores!$N$5</f>
        <v>466.27556556226813</v>
      </c>
      <c r="R144" s="56">
        <f>442.145904402699*Deflactores!$O$5</f>
        <v>865.61297772417652</v>
      </c>
      <c r="S144" s="56">
        <f>233.386044956109*Deflactores!$P$5</f>
        <v>427.94089843548272</v>
      </c>
      <c r="T144" s="56">
        <f>183.21774493076*Deflactores!$Q$5</f>
        <v>317.68453022093024</v>
      </c>
      <c r="U144" s="56">
        <f>220.72471494984*Deflactores!$R$5</f>
        <v>367.68040874436866</v>
      </c>
      <c r="V144" s="56">
        <f>424.446039833209*Deflactores!$S$5</f>
        <v>685.24596594520244</v>
      </c>
    </row>
    <row r="145" spans="3:22" x14ac:dyDescent="0.2">
      <c r="C145" s="88" t="s">
        <v>138</v>
      </c>
      <c r="D145" s="57">
        <f>7.52295500662999*Deflactores!$A$5</f>
        <v>28.075032943002242</v>
      </c>
      <c r="E145" s="57">
        <f>20.17112825247*Deflactores!$B$5</f>
        <v>69.928596032763096</v>
      </c>
      <c r="F145" s="57">
        <f>4.38859275891*Deflactores!$C$5</f>
        <v>14.219988407640578</v>
      </c>
      <c r="G145" s="57">
        <f>2.28970573560999*Deflactores!$D$5</f>
        <v>6.9668947787324855</v>
      </c>
      <c r="H145" s="57">
        <f>7.12534524595*Deflactores!$E$5</f>
        <v>20.550644775584754</v>
      </c>
      <c r="I145" s="57">
        <f>3.16276031088*Deflactores!$F$5</f>
        <v>8.699534019739076</v>
      </c>
      <c r="J145" s="57">
        <f>2.11638848706*Deflactores!$G$5</f>
        <v>5.5718634569692744</v>
      </c>
      <c r="K145" s="57">
        <f>30.79647868335*Deflactores!$H$5</f>
        <v>76.71033987351133</v>
      </c>
      <c r="L145" s="57">
        <f>71.2173298511699*Deflactores!$I$5</f>
        <v>164.75028979398982</v>
      </c>
      <c r="M145" s="57">
        <f>25.2180316322599*Deflactores!$J$5</f>
        <v>57.193123564716402</v>
      </c>
      <c r="N145" s="57">
        <f>23.2431248755599*Deflactores!$K$5</f>
        <v>51.093843191916029</v>
      </c>
      <c r="O145" s="57">
        <f>20.1905176041299*Deflactores!$L$5</f>
        <v>42.788888840737798</v>
      </c>
      <c r="P145" s="57">
        <f>61.56805910132*Deflactores!$M$5</f>
        <v>127.37067464737103</v>
      </c>
      <c r="Q145" s="57">
        <f>35.68837414953*Deflactores!$N$5</f>
        <v>72.426270161424739</v>
      </c>
      <c r="R145" s="57">
        <f>16.94319640491*Deflactores!$O$5</f>
        <v>33.170613017511833</v>
      </c>
      <c r="S145" s="57">
        <f>15.94781464683*Deflactores!$P$5</f>
        <v>29.24220310314805</v>
      </c>
      <c r="T145" s="57">
        <f>10.34211277051*Deflactores!$Q$5</f>
        <v>17.932374608327322</v>
      </c>
      <c r="U145" s="57">
        <f>7.8715181802*Deflactores!$R$5</f>
        <v>13.112274366703232</v>
      </c>
      <c r="V145" s="57">
        <f>6.81710210028*Deflactores!$S$5</f>
        <v>11.005855339088837</v>
      </c>
    </row>
    <row r="146" spans="3:22" x14ac:dyDescent="0.2">
      <c r="C146" s="87" t="s">
        <v>139</v>
      </c>
      <c r="D146" s="56">
        <f>113.282107713959*Deflactores!$A$5</f>
        <v>422.75926190163801</v>
      </c>
      <c r="E146" s="56">
        <f>123.5719322651*Deflactores!$B$5</f>
        <v>428.39506170389876</v>
      </c>
      <c r="F146" s="56">
        <f>101.83389389402*Deflactores!$C$5</f>
        <v>329.96381077690279</v>
      </c>
      <c r="G146" s="56">
        <f>90.38338924063*Deflactores!$D$5</f>
        <v>275.00982016666774</v>
      </c>
      <c r="H146" s="56">
        <f>122.97180658007*Deflactores!$E$5</f>
        <v>354.67052152670777</v>
      </c>
      <c r="I146" s="56">
        <f>143.79416348421*Deflactores!$F$5</f>
        <v>395.52229511908467</v>
      </c>
      <c r="J146" s="56">
        <f>225.996687735199*Deflactores!$G$5</f>
        <v>594.98655066731726</v>
      </c>
      <c r="K146" s="56">
        <f>394.79532147188*Deflactores!$H$5</f>
        <v>983.38786073465883</v>
      </c>
      <c r="L146" s="56">
        <f>644.72682019834*Deflactores!$I$5</f>
        <v>1491.4758905958788</v>
      </c>
      <c r="M146" s="56">
        <f>644.77386761342*Deflactores!$J$5</f>
        <v>1462.312047960967</v>
      </c>
      <c r="N146" s="56">
        <f>379.485892584169*Deflactores!$K$5</f>
        <v>834.19904995768138</v>
      </c>
      <c r="O146" s="56">
        <f>3871.01836837401*Deflactores!$L$5</f>
        <v>8203.6814465286079</v>
      </c>
      <c r="P146" s="56">
        <f>314.057097133329*Deflactores!$M$5</f>
        <v>649.71455854793101</v>
      </c>
      <c r="Q146" s="56">
        <f>590.26395046095*Deflactores!$N$5</f>
        <v>1197.8863526680886</v>
      </c>
      <c r="R146" s="56">
        <f>597.90107394488*Deflactores!$O$5</f>
        <v>1170.5433067418712</v>
      </c>
      <c r="S146" s="56">
        <f>653.66416680226*Deflactores!$P$5</f>
        <v>1198.5705095137407</v>
      </c>
      <c r="T146" s="56">
        <f>680.13159640313*Deflactores!$Q$5</f>
        <v>1179.2923593366672</v>
      </c>
      <c r="U146" s="56">
        <f>751.12750158627*Deflactores!$R$5</f>
        <v>1251.2185908367228</v>
      </c>
      <c r="V146" s="56">
        <f>171.16764030663*Deflactores!$S$5</f>
        <v>276.34121658095546</v>
      </c>
    </row>
    <row r="147" spans="3:22" x14ac:dyDescent="0.2">
      <c r="C147" s="88" t="s">
        <v>140</v>
      </c>
      <c r="D147" s="57">
        <f>227.03769302656*Deflactores!$A$5</f>
        <v>847.28550222703814</v>
      </c>
      <c r="E147" s="57">
        <f>374.08923224375*Deflactores!$B$5</f>
        <v>1296.8800988401031</v>
      </c>
      <c r="F147" s="57">
        <f>231.66463807137*Deflactores!$C$5</f>
        <v>750.64346336234962</v>
      </c>
      <c r="G147" s="57">
        <f>324.010158458349*Deflactores!$D$5</f>
        <v>985.86671907793777</v>
      </c>
      <c r="H147" s="57">
        <f>553.23098619496*Deflactores!$E$5</f>
        <v>1595.6073823371948</v>
      </c>
      <c r="I147" s="57">
        <f>546.688745857729*Deflactores!$F$5</f>
        <v>1503.7299306043592</v>
      </c>
      <c r="J147" s="57">
        <f>631.35953685754*Deflactores!$G$5</f>
        <v>1662.1944189993324</v>
      </c>
      <c r="K147" s="57">
        <f>2364.65997421346*Deflactores!$H$5</f>
        <v>5890.0847779481019</v>
      </c>
      <c r="L147" s="57">
        <f>1592.21400222523*Deflactores!$I$5</f>
        <v>3683.3411029147969</v>
      </c>
      <c r="M147" s="57">
        <f>6301.95146951901*Deflactores!$J$5</f>
        <v>14292.483027659175</v>
      </c>
      <c r="N147" s="57">
        <f>1192.31335319672*Deflactores!$K$5</f>
        <v>2620.9845633931059</v>
      </c>
      <c r="O147" s="57">
        <f>1961.63514664162*Deflactores!$L$5</f>
        <v>4157.208343116662</v>
      </c>
      <c r="P147" s="57">
        <f>2396.12253346078*Deflactores!$M$5</f>
        <v>4957.0466907592363</v>
      </c>
      <c r="Q147" s="57">
        <f>2899.66958730926*Deflactores!$N$5</f>
        <v>5884.6125079669173</v>
      </c>
      <c r="R147" s="57">
        <f>2423.08673821602*Deflactores!$O$5</f>
        <v>4743.8081091910435</v>
      </c>
      <c r="S147" s="57">
        <f>2522.46524619877*Deflactores!$P$5</f>
        <v>4625.2381710894024</v>
      </c>
      <c r="T147" s="57">
        <f>2444.9303940781*Deflactores!$Q$5</f>
        <v>4239.3086104138265</v>
      </c>
      <c r="U147" s="57">
        <f>2901.18830494239*Deflactores!$R$5</f>
        <v>4832.7623938624693</v>
      </c>
      <c r="V147" s="57">
        <f>3247.85286163991*Deflactores!$S$5</f>
        <v>5243.4888361707808</v>
      </c>
    </row>
    <row r="148" spans="3:22" x14ac:dyDescent="0.2">
      <c r="C148" s="87" t="s">
        <v>141</v>
      </c>
      <c r="D148" s="56">
        <f>5.64863593475*Deflactores!$A$5</f>
        <v>21.080232410185992</v>
      </c>
      <c r="E148" s="56">
        <f>2.66726163305*Deflactores!$B$5</f>
        <v>9.2467738500647272</v>
      </c>
      <c r="F148" s="56">
        <f>1.55640111348999*Deflactores!$C$5</f>
        <v>5.0430757664931978</v>
      </c>
      <c r="G148" s="56">
        <f>1.83048793790999*Deflactores!$D$5</f>
        <v>5.5696313542929943</v>
      </c>
      <c r="H148" s="56">
        <f>4.84555397526*Deflactores!$E$5</f>
        <v>13.975359094787869</v>
      </c>
      <c r="I148" s="56">
        <f>5.14883565759999*Deflactores!$F$5</f>
        <v>14.162461445860803</v>
      </c>
      <c r="J148" s="56">
        <f>15.54192819144*Deflactores!$G$5</f>
        <v>40.917583076168967</v>
      </c>
      <c r="K148" s="56">
        <f>26.31463174855*Deflactores!$H$5</f>
        <v>65.54659595445608</v>
      </c>
      <c r="L148" s="56">
        <f>29.1385931337199*Deflactores!$I$5</f>
        <v>67.407633408916084</v>
      </c>
      <c r="M148" s="56">
        <f>47.78993232131*Deflactores!$J$5</f>
        <v>108.38496613294863</v>
      </c>
      <c r="N148" s="56">
        <f>49.09830355952*Deflactores!$K$5</f>
        <v>107.92959365360625</v>
      </c>
      <c r="O148" s="56">
        <f>38.6246968345799*Deflactores!$L$5</f>
        <v>81.855645891117746</v>
      </c>
      <c r="P148" s="56">
        <f>67.66939726001*Deflactores!$M$5</f>
        <v>139.99299162256105</v>
      </c>
      <c r="Q148" s="56">
        <f>84.7549178525399*Deflactores!$N$5</f>
        <v>172.00230394856069</v>
      </c>
      <c r="R148" s="56">
        <f>70.14538218855*Deflactores!$O$5</f>
        <v>137.32741284091952</v>
      </c>
      <c r="S148" s="56">
        <f>75.2911576258199*Deflactores!$P$5</f>
        <v>138.05523652753232</v>
      </c>
      <c r="T148" s="56">
        <f>73.5266226617762*Deflactores!$Q$5</f>
        <v>127.48912823845377</v>
      </c>
      <c r="U148" s="56">
        <f>184.88003834659*Deflactores!$R$5</f>
        <v>307.97080464413136</v>
      </c>
      <c r="V148" s="56">
        <f>187.80872071984*Deflactores!$S$5</f>
        <v>303.20737187976073</v>
      </c>
    </row>
    <row r="149" spans="3:22" x14ac:dyDescent="0.2">
      <c r="C149" s="88" t="s">
        <v>142</v>
      </c>
      <c r="D149" s="57">
        <f>73.75037041274*Deflactores!$A$5</f>
        <v>275.23015584587705</v>
      </c>
      <c r="E149" s="57">
        <f>252.48768843675*Deflactores!$B$5</f>
        <v>875.31591425866861</v>
      </c>
      <c r="F149" s="57">
        <f>76.58199002285*Deflactores!$C$5</f>
        <v>248.1421882101105</v>
      </c>
      <c r="G149" s="57">
        <f>71.36813679982*Deflactores!$D$5</f>
        <v>217.1520522946461</v>
      </c>
      <c r="H149" s="57">
        <f>178.39657636155*Deflactores!$E$5</f>
        <v>514.52449578783819</v>
      </c>
      <c r="I149" s="57">
        <f>49.46614453939*Deflactores!$F$5</f>
        <v>136.06228893330803</v>
      </c>
      <c r="J149" s="57">
        <f>77.96077735111*Deflactores!$G$5</f>
        <v>205.24908780003807</v>
      </c>
      <c r="K149" s="57">
        <f>235.402423269129*Deflactores!$H$5</f>
        <v>586.35924196703502</v>
      </c>
      <c r="L149" s="57">
        <f>216.37885741334*Deflactores!$I$5</f>
        <v>500.55905688458733</v>
      </c>
      <c r="M149" s="57">
        <f>392.20329242046*Deflactores!$J$5</f>
        <v>889.49572643080216</v>
      </c>
      <c r="N149" s="57">
        <f>364.27379815127*Deflactores!$K$5</f>
        <v>800.75929640748507</v>
      </c>
      <c r="O149" s="57">
        <f>331.60481365184*Deflactores!$L$5</f>
        <v>702.75570882342515</v>
      </c>
      <c r="P149" s="57">
        <f>479.672873293676*Deflactores!$M$5</f>
        <v>992.33690932038076</v>
      </c>
      <c r="Q149" s="57">
        <f>305.90711746438*Deflactores!$N$5</f>
        <v>620.81033562773439</v>
      </c>
      <c r="R149" s="57">
        <f>264.62577991303*Deflactores!$O$5</f>
        <v>518.07221790857818</v>
      </c>
      <c r="S149" s="57">
        <f>236.277721472553*Deflactores!$P$5</f>
        <v>433.24312910940563</v>
      </c>
      <c r="T149" s="57">
        <f>315.659091245459*Deflactores!$Q$5</f>
        <v>547.32695323903431</v>
      </c>
      <c r="U149" s="57">
        <f>356.97338186623*Deflactores!$R$5</f>
        <v>594.64169649176927</v>
      </c>
      <c r="V149" s="57">
        <f>192.89894153638*Deflactores!$S$5</f>
        <v>311.42526756721958</v>
      </c>
    </row>
    <row r="150" spans="3:22" x14ac:dyDescent="0.2">
      <c r="C150" s="87" t="s">
        <v>143</v>
      </c>
      <c r="D150" s="56">
        <f>718.40662013482*Deflactores!$A$5</f>
        <v>2681.0328533110651</v>
      </c>
      <c r="E150" s="56">
        <f>463.112746190829*Deflactores!$B$5</f>
        <v>1605.5038538578738</v>
      </c>
      <c r="F150" s="56">
        <f>548.64166500979*Deflactores!$C$5</f>
        <v>1777.7174928223578</v>
      </c>
      <c r="G150" s="56">
        <f>452.383238663089*Deflactores!$D$5</f>
        <v>1376.4678903546246</v>
      </c>
      <c r="H150" s="56">
        <f>566.94882185901*Deflactores!$E$5</f>
        <v>1635.171832632705</v>
      </c>
      <c r="I150" s="56">
        <f>494.27365250874*Deflactores!$F$5</f>
        <v>1359.5562206432471</v>
      </c>
      <c r="J150" s="56">
        <f>41.04272188957*Deflactores!$G$5</f>
        <v>108.05409482676171</v>
      </c>
      <c r="K150" s="56">
        <f>131.67513412123*Deflactores!$H$5</f>
        <v>327.98698822637556</v>
      </c>
      <c r="L150" s="56">
        <f>81.63637765991*Deflactores!$I$5</f>
        <v>188.85314719477412</v>
      </c>
      <c r="M150" s="56">
        <f>46.1006452501199*Deflactores!$J$5</f>
        <v>104.55375497389613</v>
      </c>
      <c r="N150" s="56">
        <f>46.53746680118*Deflactores!$K$5</f>
        <v>102.30027347952331</v>
      </c>
      <c r="O150" s="56">
        <f>58.33011774961*Deflactores!$L$5</f>
        <v>123.61649034419429</v>
      </c>
      <c r="P150" s="56">
        <f>372.748891778969*Deflactores!$M$5</f>
        <v>771.1348792369073</v>
      </c>
      <c r="Q150" s="56">
        <f>124.345286329229*Deflactores!$N$5</f>
        <v>252.34731241179438</v>
      </c>
      <c r="R150" s="56">
        <f>124.1417305893*Deflactores!$O$5</f>
        <v>243.03898782100876</v>
      </c>
      <c r="S150" s="56">
        <f>130.97061398072*Deflactores!$P$5</f>
        <v>240.15010077443378</v>
      </c>
      <c r="T150" s="56">
        <f>88.30376686255*Deflactores!$Q$5</f>
        <v>153.11148329584114</v>
      </c>
      <c r="U150" s="56">
        <f>65.19307945691*Deflactores!$R$5</f>
        <v>108.59779842718581</v>
      </c>
      <c r="V150" s="56">
        <f>78.5139442469199*Deflactores!$S$5</f>
        <v>126.75666284173666</v>
      </c>
    </row>
    <row r="151" spans="3:22" x14ac:dyDescent="0.2">
      <c r="C151" s="88" t="s">
        <v>144</v>
      </c>
      <c r="D151" s="57">
        <f>14.73981976564*Deflactores!$A$5</f>
        <v>55.00776292421763</v>
      </c>
      <c r="E151" s="57">
        <f>36.9019071491*Deflactores!$B$5</f>
        <v>127.93030343019896</v>
      </c>
      <c r="F151" s="57">
        <f>15.62194082882*Deflactores!$C$5</f>
        <v>50.618462385159098</v>
      </c>
      <c r="G151" s="57">
        <f>15.42717776738*Deflactores!$D$5</f>
        <v>46.940321879180026</v>
      </c>
      <c r="H151" s="57">
        <f>24.92414537975*Deflactores!$E$5</f>
        <v>71.885254728591505</v>
      </c>
      <c r="I151" s="57">
        <f>25.71910550014*Deflactores!$F$5</f>
        <v>70.743341658246678</v>
      </c>
      <c r="J151" s="57">
        <f>40.19750277736*Deflactores!$G$5</f>
        <v>105.82886750519512</v>
      </c>
      <c r="K151" s="57">
        <f>62.7475421650899*Deflactores!$H$5</f>
        <v>156.29661219397357</v>
      </c>
      <c r="L151" s="57">
        <f>66.64584190023*Deflactores!$I$5</f>
        <v>154.17485869763979</v>
      </c>
      <c r="M151" s="57">
        <f>66.84890307403*Deflactores!$J$5</f>
        <v>151.60967475303804</v>
      </c>
      <c r="N151" s="57">
        <f>57.07880841601*Deflactores!$K$5</f>
        <v>125.4726161995367</v>
      </c>
      <c r="O151" s="57">
        <f>39.60658874449*Deflactores!$L$5</f>
        <v>83.936526857644779</v>
      </c>
      <c r="P151" s="57">
        <f>44.1923291217699*Deflactores!$M$5</f>
        <v>91.424138695283546</v>
      </c>
      <c r="Q151" s="57">
        <f>181.58406608302*Deflactores!$N$5</f>
        <v>368.50814699587562</v>
      </c>
      <c r="R151" s="57">
        <f>192.71394876508*Deflactores!$O$5</f>
        <v>377.28653229272567</v>
      </c>
      <c r="S151" s="57">
        <f>147.0199113*Deflactores!$P$5</f>
        <v>269.57838435223937</v>
      </c>
      <c r="T151" s="57">
        <f>104.66538750656*Deflactores!$Q$5</f>
        <v>181.48119044352876</v>
      </c>
      <c r="U151" s="57">
        <f>173.59849377794*Deflactores!$R$5</f>
        <v>289.17815190829396</v>
      </c>
      <c r="V151" s="57">
        <f>151.81051551769*Deflactores!$S$5</f>
        <v>245.09014947444783</v>
      </c>
    </row>
    <row r="152" spans="3:22" x14ac:dyDescent="0.2">
      <c r="C152" s="87" t="s">
        <v>145</v>
      </c>
      <c r="D152" s="56">
        <f>6.68320523515*Deflactores!$A$5</f>
        <v>24.941157693528893</v>
      </c>
      <c r="E152" s="56">
        <f>0.179651677*Deflactores!$B$5</f>
        <v>0.62281045414517622</v>
      </c>
      <c r="F152" s="56">
        <f>0.061303668*Deflactores!$C$5</f>
        <v>0.19863712497268968</v>
      </c>
      <c r="G152" s="56">
        <f>8.40790062*Deflactores!$D$5</f>
        <v>25.58274542382382</v>
      </c>
      <c r="H152" s="56">
        <f>9.425352765*Deflactores!$E$5</f>
        <v>27.184237376874716</v>
      </c>
      <c r="I152" s="56">
        <f>54.204262007*Deflactores!$F$5</f>
        <v>149.0950230160006</v>
      </c>
      <c r="J152" s="56">
        <f>89.03308216332*Deflactores!$G$5</f>
        <v>234.39939311722483</v>
      </c>
      <c r="K152" s="56">
        <f>11.112593046*Deflactores!$H$5</f>
        <v>27.680138310603439</v>
      </c>
      <c r="L152" s="56">
        <f>99.338879946*Deflactores!$I$5</f>
        <v>229.80515126185986</v>
      </c>
      <c r="M152" s="56">
        <f>96.725080599*Deflactores!$J$5</f>
        <v>219.36721974085381</v>
      </c>
      <c r="N152" s="56">
        <f>55.392725633*Deflactores!$K$5</f>
        <v>121.76621055120293</v>
      </c>
      <c r="O152" s="56">
        <f>41.18434711021*Deflactores!$L$5</f>
        <v>87.280201777327292</v>
      </c>
      <c r="P152" s="56">
        <f>49.59683279394*Deflactores!$M$5</f>
        <v>102.60485949282678</v>
      </c>
      <c r="Q152" s="56">
        <f>53.04030926297*Deflactores!$N$5</f>
        <v>107.64042519925148</v>
      </c>
      <c r="R152" s="56">
        <f>63.97678277378*Deflactores!$O$5</f>
        <v>125.25081175825194</v>
      </c>
      <c r="S152" s="56">
        <f>75.8594413196*Deflactores!$P$5</f>
        <v>139.09725184823506</v>
      </c>
      <c r="T152" s="56">
        <f>77.4344168357599*Deflactores!$Q$5</f>
        <v>134.26492256356818</v>
      </c>
      <c r="U152" s="56">
        <f>91.0800743556*Deflactores!$R$5</f>
        <v>151.72002362827729</v>
      </c>
      <c r="V152" s="56">
        <f>71.3016582573999*Deflactores!$S$5</f>
        <v>115.11280375071114</v>
      </c>
    </row>
    <row r="153" spans="3:22" x14ac:dyDescent="0.2">
      <c r="C153" s="88" t="s">
        <v>146</v>
      </c>
      <c r="D153" s="57">
        <f>3.22159064087999*Deflactores!$A$5</f>
        <v>12.022704282009265</v>
      </c>
      <c r="E153" s="57">
        <f>4.15648078777*Deflactores!$B$5</f>
        <v>14.409549247217623</v>
      </c>
      <c r="F153" s="57">
        <f>1.22104400305*Deflactores!$C$5</f>
        <v>3.9564462966717775</v>
      </c>
      <c r="G153" s="57">
        <f>2.72121537173*Deflactores!$D$5</f>
        <v>8.279850493566455</v>
      </c>
      <c r="H153" s="57">
        <f>2.51507912359*Deflactores!$E$5</f>
        <v>7.2538937928327591</v>
      </c>
      <c r="I153" s="57">
        <f>4.06416115487*Deflactores!$F$5</f>
        <v>11.178940151381926</v>
      </c>
      <c r="J153" s="57">
        <f>4.29933402766*Deflactores!$G$5</f>
        <v>11.318953162186684</v>
      </c>
      <c r="K153" s="57">
        <f>4.2471910791*Deflactores!$H$5</f>
        <v>10.579244287485723</v>
      </c>
      <c r="L153" s="57">
        <f>8.28613521355*Deflactores!$I$5</f>
        <v>19.168693638998054</v>
      </c>
      <c r="M153" s="57">
        <f>9.8050009605*Deflactores!$J$5</f>
        <v>22.237208663370431</v>
      </c>
      <c r="N153" s="57">
        <f>12.12643918677*Deflactores!$K$5</f>
        <v>26.656759175123906</v>
      </c>
      <c r="O153" s="57">
        <f>12.2800177855892*Deflactores!$L$5</f>
        <v>26.024509440133457</v>
      </c>
      <c r="P153" s="57">
        <f>66.5097178681379*Deflactores!$M$5</f>
        <v>137.59387187323901</v>
      </c>
      <c r="Q153" s="57">
        <f>56.5490803393421*Deflactores!$N$5</f>
        <v>114.76115311045181</v>
      </c>
      <c r="R153" s="57">
        <f>54.5006118748415*Deflactores!$O$5</f>
        <v>106.69879888744524</v>
      </c>
      <c r="S153" s="57">
        <f>70.0090265771473*Deflactores!$P$5</f>
        <v>128.36982492955943</v>
      </c>
      <c r="T153" s="57">
        <f>83.3066685856979*Deflactores!$Q$5</f>
        <v>144.44692507223942</v>
      </c>
      <c r="U153" s="57">
        <f>90.76807237012*Deflactores!$R$5</f>
        <v>151.20029470903773</v>
      </c>
      <c r="V153" s="57">
        <f>72.205492557945*Deflactores!$S$5</f>
        <v>116.57199702902473</v>
      </c>
    </row>
    <row r="154" spans="3:22" x14ac:dyDescent="0.2">
      <c r="C154" s="90" t="s">
        <v>147</v>
      </c>
      <c r="D154" s="58">
        <f>971.46803810106*Deflactores!$A$5</f>
        <v>3625.4366999037484</v>
      </c>
      <c r="E154" s="58">
        <f>1444.16817623228*Deflactores!$B$5</f>
        <v>5006.5941644465547</v>
      </c>
      <c r="F154" s="58">
        <f>1237.23579845466*Deflactores!$C$5</f>
        <v>4008.9112109625121</v>
      </c>
      <c r="G154" s="58">
        <f>1286.61709889984*Deflactores!$D$5</f>
        <v>3914.7938571963473</v>
      </c>
      <c r="H154" s="58">
        <f>1757.78294595062*Deflactores!$E$5</f>
        <v>5069.7294892966047</v>
      </c>
      <c r="I154" s="58">
        <f>2013.19805546808*Deflactores!$F$5</f>
        <v>5537.531539070088</v>
      </c>
      <c r="J154" s="58">
        <f>2374.70064626304*Deflactores!$G$5</f>
        <v>6251.927674457831</v>
      </c>
      <c r="K154" s="58">
        <f>2846.84021725201*Deflactores!$H$5</f>
        <v>7091.1380121211705</v>
      </c>
      <c r="L154" s="58">
        <f>2543.73241313696*Deflactores!$I$5</f>
        <v>5884.5319404486909</v>
      </c>
      <c r="M154" s="58">
        <f>3177.62275260752*Deflactores!$J$5</f>
        <v>7206.6755003768612</v>
      </c>
      <c r="N154" s="58">
        <f>3843.70821348829*Deflactores!$K$5</f>
        <v>8449.3726978145642</v>
      </c>
      <c r="O154" s="58">
        <f>4958.18497879838*Deflactores!$L$5</f>
        <v>10507.666522933723</v>
      </c>
      <c r="P154" s="58">
        <f>5518.05437003525*Deflactores!$M$5</f>
        <v>11415.632035689672</v>
      </c>
      <c r="Q154" s="58">
        <f>6865.41331515895*Deflactores!$N$5</f>
        <v>13932.724350237544</v>
      </c>
      <c r="R154" s="58">
        <f>7804.77834762242*Deflactores!$O$5</f>
        <v>15279.837172956026</v>
      </c>
      <c r="S154" s="58">
        <f>8685.5361302055*Deflactores!$P$5</f>
        <v>15925.957079623136</v>
      </c>
      <c r="T154" s="58">
        <f>8754.06241530257*Deflactores!$Q$5</f>
        <v>15178.825648034695</v>
      </c>
      <c r="U154" s="58">
        <f>4904.71281720446*Deflactores!$R$5</f>
        <v>8170.2079162874779</v>
      </c>
      <c r="V154" s="58">
        <f>4882.98883149726*Deflactores!$S$5</f>
        <v>7883.3304696489668</v>
      </c>
    </row>
    <row r="155" spans="3:22" ht="22.5" customHeight="1" x14ac:dyDescent="0.2">
      <c r="C155" s="89" t="s">
        <v>148</v>
      </c>
      <c r="D155" s="59">
        <f>0*Deflactores!$A$5</f>
        <v>0</v>
      </c>
      <c r="E155" s="59">
        <f>0*Deflactores!$B$5</f>
        <v>0</v>
      </c>
      <c r="F155" s="59">
        <f>0*Deflactores!$C$5</f>
        <v>0</v>
      </c>
      <c r="G155" s="59">
        <f>0*Deflactores!$D$5</f>
        <v>0</v>
      </c>
      <c r="H155" s="59">
        <f>0*Deflactores!$E$5</f>
        <v>0</v>
      </c>
      <c r="I155" s="59">
        <f>0*Deflactores!$F$5</f>
        <v>0</v>
      </c>
      <c r="J155" s="59">
        <f>0*Deflactores!$G$5</f>
        <v>0</v>
      </c>
      <c r="K155" s="59">
        <f>0*Deflactores!$H$5</f>
        <v>0</v>
      </c>
      <c r="L155" s="59">
        <f>0*Deflactores!$I$5</f>
        <v>0</v>
      </c>
      <c r="M155" s="59">
        <f>0*Deflactores!$J$5</f>
        <v>0</v>
      </c>
      <c r="N155" s="59">
        <f>0*Deflactores!$K$5</f>
        <v>0</v>
      </c>
      <c r="O155" s="59">
        <f>0*Deflactores!$L$5</f>
        <v>0</v>
      </c>
      <c r="P155" s="59">
        <f>0*Deflactores!$M$5</f>
        <v>0</v>
      </c>
      <c r="Q155" s="59">
        <f>0*Deflactores!$N$5</f>
        <v>0</v>
      </c>
      <c r="R155" s="59">
        <f>0*Deflactores!$O$5</f>
        <v>0</v>
      </c>
      <c r="S155" s="59">
        <f>0*Deflactores!$P$5</f>
        <v>0</v>
      </c>
      <c r="T155" s="59">
        <f>0*Deflactores!$Q$5</f>
        <v>0</v>
      </c>
      <c r="U155" s="59">
        <f>0*Deflactores!$R$5</f>
        <v>0</v>
      </c>
      <c r="V155" s="59">
        <f>12.311477938*Deflactores!$S$5</f>
        <v>19.876238202512237</v>
      </c>
    </row>
    <row r="156" spans="3:22" x14ac:dyDescent="0.2">
      <c r="C156" s="87" t="s">
        <v>149</v>
      </c>
      <c r="D156" s="56">
        <f>94.40266373272*Deflactores!$A$5</f>
        <v>352.30277090152913</v>
      </c>
      <c r="E156" s="56">
        <f>81.43017299833*Deflactores!$B$5</f>
        <v>282.29941335983284</v>
      </c>
      <c r="F156" s="56">
        <f>35.13029292422*Deflactores!$C$5</f>
        <v>113.82973667930415</v>
      </c>
      <c r="G156" s="56">
        <f>7.24933269774*Deflactores!$D$5</f>
        <v>22.057567195517635</v>
      </c>
      <c r="H156" s="56">
        <f>109.438533897589*Deflactores!$E$5</f>
        <v>315.63838063404404</v>
      </c>
      <c r="I156" s="56">
        <f>51.41709900302*Deflactores!$F$5</f>
        <v>141.42861235305165</v>
      </c>
      <c r="J156" s="56">
        <f>164.40030992394*Deflactores!$G$5</f>
        <v>432.82038471685149</v>
      </c>
      <c r="K156" s="56">
        <f>291.67470827661*Deflactores!$H$5</f>
        <v>726.52676412977985</v>
      </c>
      <c r="L156" s="56">
        <f>380.42160236914*Deflactores!$I$5</f>
        <v>880.04660333639595</v>
      </c>
      <c r="M156" s="56">
        <f>555.316363883059*Deflactores!$J$5</f>
        <v>1259.4272971108423</v>
      </c>
      <c r="N156" s="56">
        <f>627.407203402709*Deflactores!$K$5</f>
        <v>1379.1882735115396</v>
      </c>
      <c r="O156" s="56">
        <f>727.71011415458*Deflactores!$L$5</f>
        <v>1542.204503785073</v>
      </c>
      <c r="P156" s="56">
        <f>788.17832313196*Deflactores!$M$5</f>
        <v>1630.5663395128693</v>
      </c>
      <c r="Q156" s="56">
        <f>983.85580846924*Deflactores!$N$5</f>
        <v>1996.6447977013979</v>
      </c>
      <c r="R156" s="56">
        <f>1446.93779287466*Deflactores!$O$5</f>
        <v>2832.7484637992652</v>
      </c>
      <c r="S156" s="56">
        <f>1032.25091600697*Deflactores!$P$5</f>
        <v>1892.7540611519753</v>
      </c>
      <c r="T156" s="56">
        <f>1051.63255207066*Deflactores!$Q$5</f>
        <v>1823.4445216857182</v>
      </c>
      <c r="U156" s="56">
        <f>1023.37485997553*Deflactores!$R$5</f>
        <v>1704.7247604330255</v>
      </c>
      <c r="V156" s="56">
        <f>945.31420821359*Deflactores!$S$5</f>
        <v>1526.160423086043</v>
      </c>
    </row>
    <row r="157" spans="3:22" x14ac:dyDescent="0.2">
      <c r="C157" s="88" t="s">
        <v>150</v>
      </c>
      <c r="D157" s="57">
        <f>682.09655497948*Deflactores!$A$5</f>
        <v>2545.5267557070888</v>
      </c>
      <c r="E157" s="57">
        <f>1131.43884252533*Deflactores!$B$5</f>
        <v>3922.4345194990492</v>
      </c>
      <c r="F157" s="57">
        <f>758.15952853007*Deflactores!$C$5</f>
        <v>2456.6006232753152</v>
      </c>
      <c r="G157" s="57">
        <f>625.27694496387*Deflactores!$D$5</f>
        <v>1902.5321094241224</v>
      </c>
      <c r="H157" s="57">
        <f>722.12438531332*Deflactores!$E$5</f>
        <v>2082.723182402503</v>
      </c>
      <c r="I157" s="57">
        <f>1055.88292690967*Deflactores!$F$5</f>
        <v>2904.3267717484841</v>
      </c>
      <c r="J157" s="57">
        <f>1468.84770911653*Deflactores!$G$5</f>
        <v>3867.0683214916789</v>
      </c>
      <c r="K157" s="57">
        <f>2482.14491252525*Deflactores!$H$5</f>
        <v>6182.7256879878732</v>
      </c>
      <c r="L157" s="57">
        <f>1982.43551078557*Deflactores!$I$5</f>
        <v>4586.0582751749107</v>
      </c>
      <c r="M157" s="57">
        <f>3001.02539719712*Deflactores!$J$5</f>
        <v>6806.1623074173995</v>
      </c>
      <c r="N157" s="57">
        <f>2785.10933767969*Deflactores!$K$5</f>
        <v>6122.3239359427689</v>
      </c>
      <c r="O157" s="57">
        <f>4038.06054733299*Deflactores!$L$5</f>
        <v>8557.686696286466</v>
      </c>
      <c r="P157" s="57">
        <f>6577.41866073648*Deflactores!$M$5</f>
        <v>13607.222064244859</v>
      </c>
      <c r="Q157" s="57">
        <f>7327.1784824746*Deflactores!$N$5</f>
        <v>14869.834251042012</v>
      </c>
      <c r="R157" s="57">
        <f>6250.32099694961*Deflactores!$O$5</f>
        <v>12236.591849042285</v>
      </c>
      <c r="S157" s="57">
        <f>5623.62541849055*Deflactores!$P$5</f>
        <v>10311.581887880438</v>
      </c>
      <c r="T157" s="57">
        <f>4614.80123962273*Deflactores!$Q$5</f>
        <v>8001.6865420243548</v>
      </c>
      <c r="U157" s="57">
        <f>4113.60200255287*Deflactores!$R$5</f>
        <v>6852.3856336342224</v>
      </c>
      <c r="V157" s="57">
        <f>3163.7539422333*Deflactores!$S$5</f>
        <v>5107.7155225915667</v>
      </c>
    </row>
    <row r="158" spans="3:22" x14ac:dyDescent="0.2">
      <c r="C158" s="87" t="s">
        <v>151</v>
      </c>
      <c r="D158" s="56">
        <f>100.948252663*Deflactores!$A$5</f>
        <v>376.73035616383726</v>
      </c>
      <c r="E158" s="56">
        <f>22.2915544975*Deflactores!$B$5</f>
        <v>77.279619160971833</v>
      </c>
      <c r="F158" s="56">
        <f>62.2780432594*Deflactores!$C$5</f>
        <v>201.7943112632675</v>
      </c>
      <c r="G158" s="56">
        <f>37.7819633763*Deflactores!$D$5</f>
        <v>114.95929773110448</v>
      </c>
      <c r="H158" s="56">
        <f>11.2291030325*Deflactores!$E$5</f>
        <v>32.386544034552507</v>
      </c>
      <c r="I158" s="56">
        <f>41.03221104073*Deflactores!$F$5</f>
        <v>112.86379009689287</v>
      </c>
      <c r="J158" s="56">
        <f>125.64485526255*Deflactores!$G$5</f>
        <v>330.78802964294744</v>
      </c>
      <c r="K158" s="56">
        <f>325.9551277969*Deflactores!$H$5</f>
        <v>811.9151833528424</v>
      </c>
      <c r="L158" s="56">
        <f>389.407859120639*Deflactores!$I$5</f>
        <v>900.83491998722502</v>
      </c>
      <c r="M158" s="56">
        <f>650.05388572466*Deflactores!$J$5</f>
        <v>1474.2868417380428</v>
      </c>
      <c r="N158" s="56">
        <f>306.21313702589*Deflactores!$K$5</f>
        <v>673.12833753076131</v>
      </c>
      <c r="O158" s="56">
        <f>637.29823071676*Deflactores!$L$5</f>
        <v>1350.5985179379688</v>
      </c>
      <c r="P158" s="56">
        <f>1657.54176837605*Deflactores!$M$5</f>
        <v>3429.0867111275802</v>
      </c>
      <c r="Q158" s="56">
        <f>2016.43837959365*Deflactores!$N$5</f>
        <v>4092.1760748307597</v>
      </c>
      <c r="R158" s="56">
        <f>2151.24944030729*Deflactores!$O$5</f>
        <v>4211.6175120234684</v>
      </c>
      <c r="S158" s="56">
        <f>2217.50120484273*Deflactores!$P$5</f>
        <v>4066.0505561102696</v>
      </c>
      <c r="T158" s="56">
        <f>1425.55479938684*Deflactores!$Q$5</f>
        <v>2471.7950050010045</v>
      </c>
      <c r="U158" s="56">
        <f>1825.77093120336*Deflactores!$R$5</f>
        <v>3041.3458792369124</v>
      </c>
      <c r="V158" s="56">
        <f>347.66261301993*Deflactores!$S$5</f>
        <v>561.28313312922421</v>
      </c>
    </row>
    <row r="159" spans="3:22" x14ac:dyDescent="0.2">
      <c r="C159" s="79" t="s">
        <v>202</v>
      </c>
      <c r="D159" s="44">
        <f t="shared" ref="D159:V159" si="32">+SUM(D130:D158)</f>
        <v>20831.517230716076</v>
      </c>
      <c r="E159" s="44">
        <f t="shared" si="32"/>
        <v>26192.083539432817</v>
      </c>
      <c r="F159" s="44">
        <f t="shared" si="32"/>
        <v>19352.744757927667</v>
      </c>
      <c r="G159" s="44">
        <f t="shared" si="32"/>
        <v>18184.112399341277</v>
      </c>
      <c r="H159" s="44">
        <f t="shared" si="32"/>
        <v>20984.679927547066</v>
      </c>
      <c r="I159" s="44">
        <f t="shared" si="32"/>
        <v>23273.111309957436</v>
      </c>
      <c r="J159" s="44">
        <f t="shared" si="32"/>
        <v>25684.499652428232</v>
      </c>
      <c r="K159" s="44">
        <f t="shared" si="32"/>
        <v>41566.646726793464</v>
      </c>
      <c r="L159" s="44">
        <f t="shared" si="32"/>
        <v>44318.280984038436</v>
      </c>
      <c r="M159" s="44">
        <f t="shared" si="32"/>
        <v>60504.684604212205</v>
      </c>
      <c r="N159" s="44">
        <f t="shared" si="32"/>
        <v>45013.029986868125</v>
      </c>
      <c r="O159" s="44">
        <f t="shared" si="32"/>
        <v>58471.297477867876</v>
      </c>
      <c r="P159" s="44">
        <f t="shared" si="32"/>
        <v>67834.878499980259</v>
      </c>
      <c r="Q159" s="44">
        <f t="shared" si="32"/>
        <v>78740.518460732434</v>
      </c>
      <c r="R159" s="44">
        <f t="shared" si="32"/>
        <v>76276.452652468215</v>
      </c>
      <c r="S159" s="44">
        <f t="shared" si="32"/>
        <v>73980.852550878975</v>
      </c>
      <c r="T159" s="44">
        <f t="shared" si="32"/>
        <v>61690.607810340072</v>
      </c>
      <c r="U159" s="44">
        <f t="shared" si="32"/>
        <v>59078.433080085932</v>
      </c>
      <c r="V159" s="44">
        <f t="shared" si="32"/>
        <v>48553.290000174369</v>
      </c>
    </row>
    <row r="160" spans="3:22" x14ac:dyDescent="0.2">
      <c r="C160" s="1" t="s">
        <v>52</v>
      </c>
      <c r="D160" s="12"/>
      <c r="E160" s="12"/>
      <c r="F160" s="12"/>
      <c r="G160" s="12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2:22" x14ac:dyDescent="0.2">
      <c r="B161" s="9"/>
    </row>
    <row r="162" spans="2:22" x14ac:dyDescent="0.2"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ht="18" customHeight="1" x14ac:dyDescent="0.2">
      <c r="C164" s="9"/>
      <c r="D164" s="164" t="s">
        <v>206</v>
      </c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</row>
    <row r="165" spans="2:22" ht="1.5" customHeight="1" x14ac:dyDescent="0.2">
      <c r="H165" s="27"/>
      <c r="I165" s="27"/>
      <c r="J165" s="27"/>
      <c r="L165" s="179"/>
      <c r="M165" s="160"/>
      <c r="N165" s="160"/>
      <c r="O165" s="160"/>
      <c r="P165" s="160"/>
      <c r="Q165" s="160"/>
      <c r="R165" s="28"/>
      <c r="S165" s="28"/>
      <c r="T165" s="28"/>
      <c r="U165" s="28"/>
      <c r="V165" s="28"/>
    </row>
    <row r="166" spans="2:22" x14ac:dyDescent="0.2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x14ac:dyDescent="0.2">
      <c r="C167" s="181" t="s">
        <v>120</v>
      </c>
      <c r="D167" s="155">
        <v>2000</v>
      </c>
      <c r="E167" s="155">
        <v>2001</v>
      </c>
      <c r="F167" s="155">
        <v>2002</v>
      </c>
      <c r="G167" s="155">
        <v>2003</v>
      </c>
      <c r="H167" s="155">
        <v>2004</v>
      </c>
      <c r="I167" s="155">
        <v>2005</v>
      </c>
      <c r="J167" s="155">
        <v>2006</v>
      </c>
      <c r="K167" s="155">
        <v>2007</v>
      </c>
      <c r="L167" s="155">
        <v>2008</v>
      </c>
      <c r="M167" s="155">
        <v>2009</v>
      </c>
      <c r="N167" s="155">
        <v>2010</v>
      </c>
      <c r="O167" s="155">
        <v>2011</v>
      </c>
      <c r="P167" s="155">
        <v>2012</v>
      </c>
      <c r="Q167" s="155">
        <v>2013</v>
      </c>
      <c r="R167" s="155">
        <v>2014</v>
      </c>
      <c r="S167" s="155">
        <v>2015</v>
      </c>
      <c r="T167" s="155">
        <v>2016</v>
      </c>
      <c r="U167" s="155">
        <v>2017</v>
      </c>
      <c r="V167" s="155">
        <v>2018</v>
      </c>
    </row>
    <row r="168" spans="2:22" ht="12" customHeight="1" thickBot="1" x14ac:dyDescent="0.25">
      <c r="C168" s="162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</row>
    <row r="169" spans="2:22" x14ac:dyDescent="0.2">
      <c r="C169" s="87" t="s">
        <v>123</v>
      </c>
      <c r="D169" s="60">
        <f t="shared" ref="D169:V169" si="33">+IFERROR(IF(D130&gt;0,+((D130/D13)*100)," "),"")</f>
        <v>79.018396143070163</v>
      </c>
      <c r="E169" s="60">
        <f t="shared" si="33"/>
        <v>55.154954001706521</v>
      </c>
      <c r="F169" s="60">
        <f t="shared" si="33"/>
        <v>48.992902465314167</v>
      </c>
      <c r="G169" s="60">
        <f t="shared" si="33"/>
        <v>58.079822161071959</v>
      </c>
      <c r="H169" s="60">
        <f t="shared" si="33"/>
        <v>64.643652946145536</v>
      </c>
      <c r="I169" s="60">
        <f t="shared" si="33"/>
        <v>80.222120944124555</v>
      </c>
      <c r="J169" s="60">
        <f t="shared" si="33"/>
        <v>79.786377568310257</v>
      </c>
      <c r="K169" s="60">
        <f t="shared" si="33"/>
        <v>93.018582868121484</v>
      </c>
      <c r="L169" s="60">
        <f t="shared" si="33"/>
        <v>96.240865771644025</v>
      </c>
      <c r="M169" s="60">
        <f t="shared" si="33"/>
        <v>84.800534812813609</v>
      </c>
      <c r="N169" s="60">
        <f t="shared" si="33"/>
        <v>77.490075603889807</v>
      </c>
      <c r="O169" s="60">
        <f t="shared" si="33"/>
        <v>74.277722565511638</v>
      </c>
      <c r="P169" s="60">
        <f t="shared" si="33"/>
        <v>84.57644987702443</v>
      </c>
      <c r="Q169" s="60">
        <f t="shared" si="33"/>
        <v>82.821098556276922</v>
      </c>
      <c r="R169" s="60">
        <f t="shared" si="33"/>
        <v>91.737664048981401</v>
      </c>
      <c r="S169" s="60">
        <f t="shared" si="33"/>
        <v>86.686388826959003</v>
      </c>
      <c r="T169" s="60">
        <f t="shared" si="33"/>
        <v>77.505568746829397</v>
      </c>
      <c r="U169" s="60">
        <f t="shared" si="33"/>
        <v>90.628290397157642</v>
      </c>
      <c r="V169" s="60">
        <f t="shared" si="33"/>
        <v>53.071962070529629</v>
      </c>
    </row>
    <row r="170" spans="2:22" x14ac:dyDescent="0.2">
      <c r="C170" s="88" t="s">
        <v>124</v>
      </c>
      <c r="D170" s="62">
        <f t="shared" ref="D170:V170" si="34">+IFERROR(IF(D131&gt;0,+((D131/D14)*100)," "),"")</f>
        <v>45.427422852954329</v>
      </c>
      <c r="E170" s="62">
        <f t="shared" si="34"/>
        <v>53.282234970435816</v>
      </c>
      <c r="F170" s="62">
        <f t="shared" si="34"/>
        <v>50.517007225708568</v>
      </c>
      <c r="G170" s="62">
        <f t="shared" si="34"/>
        <v>55.454828045229313</v>
      </c>
      <c r="H170" s="62">
        <f t="shared" si="34"/>
        <v>22.368191467314404</v>
      </c>
      <c r="I170" s="62">
        <f t="shared" si="34"/>
        <v>37.616036401121633</v>
      </c>
      <c r="J170" s="62">
        <f t="shared" si="34"/>
        <v>40.457263877603964</v>
      </c>
      <c r="K170" s="62">
        <f t="shared" si="34"/>
        <v>94.10323867703589</v>
      </c>
      <c r="L170" s="62">
        <f t="shared" si="34"/>
        <v>92.271274121312373</v>
      </c>
      <c r="M170" s="62">
        <f t="shared" si="34"/>
        <v>78.663488505760569</v>
      </c>
      <c r="N170" s="62">
        <f t="shared" si="34"/>
        <v>83.039734660623594</v>
      </c>
      <c r="O170" s="62">
        <f t="shared" si="34"/>
        <v>83.424497014563144</v>
      </c>
      <c r="P170" s="62">
        <f t="shared" si="34"/>
        <v>77.618213029522735</v>
      </c>
      <c r="Q170" s="62">
        <f t="shared" si="34"/>
        <v>57.242801522640171</v>
      </c>
      <c r="R170" s="62">
        <f t="shared" si="34"/>
        <v>59.688797283372217</v>
      </c>
      <c r="S170" s="62">
        <f t="shared" si="34"/>
        <v>53.425270769267932</v>
      </c>
      <c r="T170" s="62">
        <f t="shared" si="34"/>
        <v>57.761011630239402</v>
      </c>
      <c r="U170" s="62">
        <f t="shared" si="34"/>
        <v>62.299374196312876</v>
      </c>
      <c r="V170" s="62">
        <f t="shared" si="34"/>
        <v>62.674553195269347</v>
      </c>
    </row>
    <row r="171" spans="2:22" x14ac:dyDescent="0.2">
      <c r="C171" s="87" t="s">
        <v>125</v>
      </c>
      <c r="D171" s="60">
        <f t="shared" ref="D171:V171" si="35">+IFERROR(IF(D132&gt;0,+((D132/D15)*100)," "),"")</f>
        <v>60.3886967411309</v>
      </c>
      <c r="E171" s="60">
        <f t="shared" si="35"/>
        <v>49.296107561265259</v>
      </c>
      <c r="F171" s="60">
        <f t="shared" si="35"/>
        <v>29.940145790694906</v>
      </c>
      <c r="G171" s="60">
        <f t="shared" si="35"/>
        <v>18.211423679428094</v>
      </c>
      <c r="H171" s="60">
        <f t="shared" si="35"/>
        <v>41.471657885409883</v>
      </c>
      <c r="I171" s="60">
        <f t="shared" si="35"/>
        <v>40.493980455974778</v>
      </c>
      <c r="J171" s="60">
        <f t="shared" si="35"/>
        <v>31.039083972286779</v>
      </c>
      <c r="K171" s="60">
        <f t="shared" si="35"/>
        <v>83.164763024500743</v>
      </c>
      <c r="L171" s="60">
        <f t="shared" si="35"/>
        <v>90.28818053024203</v>
      </c>
      <c r="M171" s="60">
        <f t="shared" si="35"/>
        <v>83.693273712992692</v>
      </c>
      <c r="N171" s="60">
        <f t="shared" si="35"/>
        <v>93.866548012097752</v>
      </c>
      <c r="O171" s="60">
        <f t="shared" si="35"/>
        <v>95.235448712212673</v>
      </c>
      <c r="P171" s="60">
        <f t="shared" si="35"/>
        <v>91.692770258591779</v>
      </c>
      <c r="Q171" s="60">
        <f t="shared" si="35"/>
        <v>96.575461161576214</v>
      </c>
      <c r="R171" s="60">
        <f t="shared" si="35"/>
        <v>94.968176646831566</v>
      </c>
      <c r="S171" s="60">
        <f t="shared" si="35"/>
        <v>98.468155598670265</v>
      </c>
      <c r="T171" s="60">
        <f t="shared" si="35"/>
        <v>98.750892667861848</v>
      </c>
      <c r="U171" s="60">
        <f t="shared" si="35"/>
        <v>99.939707188785704</v>
      </c>
      <c r="V171" s="60">
        <f t="shared" si="35"/>
        <v>79.425433055381617</v>
      </c>
    </row>
    <row r="172" spans="2:22" x14ac:dyDescent="0.2">
      <c r="C172" s="88" t="s">
        <v>126</v>
      </c>
      <c r="D172" s="62">
        <f t="shared" ref="D172:V172" si="36">+IFERROR(IF(D133&gt;0,+((D133/D16)*100)," "),"")</f>
        <v>55.402681674538655</v>
      </c>
      <c r="E172" s="62">
        <f t="shared" si="36"/>
        <v>48.364853975738733</v>
      </c>
      <c r="F172" s="62">
        <f t="shared" si="36"/>
        <v>33.645308085070255</v>
      </c>
      <c r="G172" s="62">
        <f t="shared" si="36"/>
        <v>50.247241465246773</v>
      </c>
      <c r="H172" s="62">
        <f t="shared" si="36"/>
        <v>32.314558088893996</v>
      </c>
      <c r="I172" s="62">
        <f t="shared" si="36"/>
        <v>34.328101006664866</v>
      </c>
      <c r="J172" s="62">
        <f t="shared" si="36"/>
        <v>48.796894889719574</v>
      </c>
      <c r="K172" s="62">
        <f t="shared" si="36"/>
        <v>89.376360283047802</v>
      </c>
      <c r="L172" s="62">
        <f t="shared" si="36"/>
        <v>92.641770122558896</v>
      </c>
      <c r="M172" s="62">
        <f t="shared" si="36"/>
        <v>88.472896462350931</v>
      </c>
      <c r="N172" s="62">
        <f t="shared" si="36"/>
        <v>89.893188081359057</v>
      </c>
      <c r="O172" s="62">
        <f t="shared" si="36"/>
        <v>89.622183256298541</v>
      </c>
      <c r="P172" s="62">
        <f t="shared" si="36"/>
        <v>93.955393421055646</v>
      </c>
      <c r="Q172" s="62">
        <f t="shared" si="36"/>
        <v>92.104464598508102</v>
      </c>
      <c r="R172" s="62">
        <f t="shared" si="36"/>
        <v>94.950716076893855</v>
      </c>
      <c r="S172" s="62">
        <f t="shared" si="36"/>
        <v>95.631336853011078</v>
      </c>
      <c r="T172" s="62">
        <f t="shared" si="36"/>
        <v>97.818281250817662</v>
      </c>
      <c r="U172" s="62">
        <f t="shared" si="36"/>
        <v>96.384840169530477</v>
      </c>
      <c r="V172" s="62">
        <f t="shared" si="36"/>
        <v>70.060226583987358</v>
      </c>
    </row>
    <row r="173" spans="2:22" x14ac:dyDescent="0.2">
      <c r="C173" s="87" t="s">
        <v>127</v>
      </c>
      <c r="D173" s="60" t="str">
        <f t="shared" ref="D173:V173" si="37">+IFERROR(IF(D134&gt;0,+((D134/D17)*100)," "),"")</f>
        <v xml:space="preserve"> </v>
      </c>
      <c r="E173" s="60" t="str">
        <f t="shared" si="37"/>
        <v xml:space="preserve"> </v>
      </c>
      <c r="F173" s="60" t="str">
        <f t="shared" si="37"/>
        <v xml:space="preserve"> </v>
      </c>
      <c r="G173" s="60">
        <f t="shared" si="37"/>
        <v>43.660191764705878</v>
      </c>
      <c r="H173" s="60" t="str">
        <f t="shared" si="37"/>
        <v xml:space="preserve"> </v>
      </c>
      <c r="I173" s="60">
        <f t="shared" si="37"/>
        <v>51.065452320000006</v>
      </c>
      <c r="J173" s="60">
        <f t="shared" si="37"/>
        <v>89.189942334117646</v>
      </c>
      <c r="K173" s="60">
        <f t="shared" si="37"/>
        <v>93.49219133194245</v>
      </c>
      <c r="L173" s="60">
        <f t="shared" si="37"/>
        <v>71.252610513821992</v>
      </c>
      <c r="M173" s="60">
        <f t="shared" si="37"/>
        <v>48.70456733147541</v>
      </c>
      <c r="N173" s="60">
        <f t="shared" si="37"/>
        <v>66.661658727225003</v>
      </c>
      <c r="O173" s="60">
        <f t="shared" si="37"/>
        <v>27.939514284000001</v>
      </c>
      <c r="P173" s="60">
        <f t="shared" si="37"/>
        <v>12.418999828489419</v>
      </c>
      <c r="Q173" s="60">
        <f t="shared" si="37"/>
        <v>58.007980926966198</v>
      </c>
      <c r="R173" s="60">
        <f t="shared" si="37"/>
        <v>83.064423898218493</v>
      </c>
      <c r="S173" s="60">
        <f t="shared" si="37"/>
        <v>94.475704184733573</v>
      </c>
      <c r="T173" s="60">
        <f t="shared" si="37"/>
        <v>94.677585228277508</v>
      </c>
      <c r="U173" s="60">
        <f t="shared" si="37"/>
        <v>93.474552255921111</v>
      </c>
      <c r="V173" s="60">
        <f t="shared" si="37"/>
        <v>65.555159428505732</v>
      </c>
    </row>
    <row r="174" spans="2:22" x14ac:dyDescent="0.2">
      <c r="C174" s="88" t="s">
        <v>128</v>
      </c>
      <c r="D174" s="62">
        <f t="shared" ref="D174:V174" si="38">+IFERROR(IF(D135&gt;0,+((D135/D18)*100)," "),"")</f>
        <v>43.822572482041508</v>
      </c>
      <c r="E174" s="62">
        <f t="shared" si="38"/>
        <v>65.191397900936295</v>
      </c>
      <c r="F174" s="62">
        <f t="shared" si="38"/>
        <v>55.33984030042248</v>
      </c>
      <c r="G174" s="62">
        <f t="shared" si="38"/>
        <v>70.509824283054826</v>
      </c>
      <c r="H174" s="62">
        <f t="shared" si="38"/>
        <v>65.34492586046467</v>
      </c>
      <c r="I174" s="62">
        <f t="shared" si="38"/>
        <v>81.301537981302275</v>
      </c>
      <c r="J174" s="62">
        <f t="shared" si="38"/>
        <v>76.512171663724246</v>
      </c>
      <c r="K174" s="62">
        <f t="shared" si="38"/>
        <v>77.039334639712337</v>
      </c>
      <c r="L174" s="62">
        <f t="shared" si="38"/>
        <v>87.767293717641891</v>
      </c>
      <c r="M174" s="62">
        <f t="shared" si="38"/>
        <v>76.599534017844334</v>
      </c>
      <c r="N174" s="62">
        <f t="shared" si="38"/>
        <v>86.354071593388397</v>
      </c>
      <c r="O174" s="62">
        <f t="shared" si="38"/>
        <v>83.257239715771206</v>
      </c>
      <c r="P174" s="62">
        <f t="shared" si="38"/>
        <v>92.090300383232645</v>
      </c>
      <c r="Q174" s="62">
        <f t="shared" si="38"/>
        <v>92.682477274170296</v>
      </c>
      <c r="R174" s="62">
        <f t="shared" si="38"/>
        <v>96.536220450728365</v>
      </c>
      <c r="S174" s="62">
        <f t="shared" si="38"/>
        <v>97.600455414699709</v>
      </c>
      <c r="T174" s="62">
        <f t="shared" si="38"/>
        <v>96.834783441487687</v>
      </c>
      <c r="U174" s="62">
        <f t="shared" si="38"/>
        <v>87.439786872908996</v>
      </c>
      <c r="V174" s="62">
        <f t="shared" si="38"/>
        <v>79.852003479037805</v>
      </c>
    </row>
    <row r="175" spans="2:22" x14ac:dyDescent="0.2">
      <c r="C175" s="87" t="s">
        <v>129</v>
      </c>
      <c r="D175" s="60">
        <f t="shared" ref="D175:V175" si="39">+IFERROR(IF(D136&gt;0,+((D136/D19)*100)," "),"")</f>
        <v>78.520878243874591</v>
      </c>
      <c r="E175" s="60">
        <f t="shared" si="39"/>
        <v>55.643977807899283</v>
      </c>
      <c r="F175" s="60">
        <f t="shared" si="39"/>
        <v>58.997604604334299</v>
      </c>
      <c r="G175" s="60">
        <f t="shared" si="39"/>
        <v>52.993895863215393</v>
      </c>
      <c r="H175" s="60">
        <f t="shared" si="39"/>
        <v>55.348108075475743</v>
      </c>
      <c r="I175" s="60">
        <f t="shared" si="39"/>
        <v>56.466712670806764</v>
      </c>
      <c r="J175" s="60">
        <f t="shared" si="39"/>
        <v>68.257799147121602</v>
      </c>
      <c r="K175" s="60">
        <f t="shared" si="39"/>
        <v>93.115833299189021</v>
      </c>
      <c r="L175" s="60">
        <f t="shared" si="39"/>
        <v>93.471712042320902</v>
      </c>
      <c r="M175" s="60">
        <f t="shared" si="39"/>
        <v>85.931977076698359</v>
      </c>
      <c r="N175" s="60">
        <f t="shared" si="39"/>
        <v>78.263378029140554</v>
      </c>
      <c r="O175" s="60">
        <f t="shared" si="39"/>
        <v>80.336729896328393</v>
      </c>
      <c r="P175" s="60">
        <f t="shared" si="39"/>
        <v>90.200204663502049</v>
      </c>
      <c r="Q175" s="60">
        <f t="shared" si="39"/>
        <v>89.798565787296354</v>
      </c>
      <c r="R175" s="60">
        <f t="shared" si="39"/>
        <v>82.092416162272968</v>
      </c>
      <c r="S175" s="60">
        <f t="shared" si="39"/>
        <v>88.226620936981348</v>
      </c>
      <c r="T175" s="60">
        <f t="shared" si="39"/>
        <v>88.007273036184969</v>
      </c>
      <c r="U175" s="60">
        <f t="shared" si="39"/>
        <v>87.072431097109828</v>
      </c>
      <c r="V175" s="60">
        <f t="shared" si="39"/>
        <v>68.382880959212173</v>
      </c>
    </row>
    <row r="176" spans="2:22" x14ac:dyDescent="0.2">
      <c r="C176" s="88" t="s">
        <v>130</v>
      </c>
      <c r="D176" s="62">
        <f t="shared" ref="D176:V176" si="40">+IFERROR(IF(D137&gt;0,+((D137/D20)*100)," "),"")</f>
        <v>83.948572674793098</v>
      </c>
      <c r="E176" s="62">
        <f t="shared" si="40"/>
        <v>63.938325036318545</v>
      </c>
      <c r="F176" s="62">
        <f t="shared" si="40"/>
        <v>57.563729592180557</v>
      </c>
      <c r="G176" s="62">
        <f t="shared" si="40"/>
        <v>58.057675884776138</v>
      </c>
      <c r="H176" s="62">
        <f t="shared" si="40"/>
        <v>80.512352065727669</v>
      </c>
      <c r="I176" s="62">
        <f t="shared" si="40"/>
        <v>86.031463072486204</v>
      </c>
      <c r="J176" s="62">
        <f t="shared" si="40"/>
        <v>91.435982427563019</v>
      </c>
      <c r="K176" s="62">
        <f t="shared" si="40"/>
        <v>89.903304951311512</v>
      </c>
      <c r="L176" s="62">
        <f t="shared" si="40"/>
        <v>92.46796411716403</v>
      </c>
      <c r="M176" s="62">
        <f t="shared" si="40"/>
        <v>81.141755464283534</v>
      </c>
      <c r="N176" s="62">
        <f t="shared" si="40"/>
        <v>87.106883832014148</v>
      </c>
      <c r="O176" s="62">
        <f t="shared" si="40"/>
        <v>84.201235081794067</v>
      </c>
      <c r="P176" s="62">
        <f t="shared" si="40"/>
        <v>84.805898209628154</v>
      </c>
      <c r="Q176" s="62">
        <f t="shared" si="40"/>
        <v>88.273391390315979</v>
      </c>
      <c r="R176" s="62">
        <f t="shared" si="40"/>
        <v>88.644324158159506</v>
      </c>
      <c r="S176" s="62">
        <f t="shared" si="40"/>
        <v>85.882842038393321</v>
      </c>
      <c r="T176" s="62">
        <f t="shared" si="40"/>
        <v>65.824877622423841</v>
      </c>
      <c r="U176" s="62">
        <f t="shared" si="40"/>
        <v>77.907867147495395</v>
      </c>
      <c r="V176" s="62">
        <f t="shared" si="40"/>
        <v>68.995934225392048</v>
      </c>
    </row>
    <row r="177" spans="3:22" x14ac:dyDescent="0.2">
      <c r="C177" s="87" t="s">
        <v>131</v>
      </c>
      <c r="D177" s="60">
        <f t="shared" ref="D177:V177" si="41">+IFERROR(IF(D138&gt;0,+((D138/D21)*100)," "),"")</f>
        <v>81.153054045001255</v>
      </c>
      <c r="E177" s="60">
        <f t="shared" si="41"/>
        <v>58.637918909102417</v>
      </c>
      <c r="F177" s="60">
        <f t="shared" si="41"/>
        <v>70.056314298586841</v>
      </c>
      <c r="G177" s="60">
        <f t="shared" si="41"/>
        <v>79.082405400024058</v>
      </c>
      <c r="H177" s="60">
        <f t="shared" si="41"/>
        <v>55.660375205503584</v>
      </c>
      <c r="I177" s="60">
        <f t="shared" si="41"/>
        <v>53.123545995220624</v>
      </c>
      <c r="J177" s="60">
        <f t="shared" si="41"/>
        <v>48.086881710254922</v>
      </c>
      <c r="K177" s="60">
        <f t="shared" si="41"/>
        <v>91.328175276102442</v>
      </c>
      <c r="L177" s="60">
        <f t="shared" si="41"/>
        <v>87.780068443446211</v>
      </c>
      <c r="M177" s="60">
        <f t="shared" si="41"/>
        <v>85.518877305604747</v>
      </c>
      <c r="N177" s="60">
        <f t="shared" si="41"/>
        <v>84.196820559018903</v>
      </c>
      <c r="O177" s="60">
        <f t="shared" si="41"/>
        <v>87.034364269195507</v>
      </c>
      <c r="P177" s="60">
        <f t="shared" si="41"/>
        <v>77.37728207691633</v>
      </c>
      <c r="Q177" s="60">
        <f t="shared" si="41"/>
        <v>92.430782799445879</v>
      </c>
      <c r="R177" s="60">
        <f t="shared" si="41"/>
        <v>95.97635169093806</v>
      </c>
      <c r="S177" s="60">
        <f t="shared" si="41"/>
        <v>97.577170664556988</v>
      </c>
      <c r="T177" s="60">
        <f t="shared" si="41"/>
        <v>97.783952038520411</v>
      </c>
      <c r="U177" s="60">
        <f t="shared" si="41"/>
        <v>98.198968672832791</v>
      </c>
      <c r="V177" s="60">
        <f t="shared" si="41"/>
        <v>93.875947762775169</v>
      </c>
    </row>
    <row r="178" spans="3:22" x14ac:dyDescent="0.2">
      <c r="C178" s="88" t="s">
        <v>132</v>
      </c>
      <c r="D178" s="62">
        <f t="shared" ref="D178:V178" si="42">+IFERROR(IF(D139&gt;0,+((D139/D22)*100)," "),"")</f>
        <v>93.987786634999978</v>
      </c>
      <c r="E178" s="62">
        <f t="shared" si="42"/>
        <v>63.301276465225989</v>
      </c>
      <c r="F178" s="62">
        <f t="shared" si="42"/>
        <v>70.899661121353716</v>
      </c>
      <c r="G178" s="62">
        <f t="shared" si="42"/>
        <v>94.480074464676647</v>
      </c>
      <c r="H178" s="62">
        <f t="shared" si="42"/>
        <v>63.193109957285444</v>
      </c>
      <c r="I178" s="62">
        <f t="shared" si="42"/>
        <v>47.695084793132708</v>
      </c>
      <c r="J178" s="62">
        <f t="shared" si="42"/>
        <v>71.786177021465988</v>
      </c>
      <c r="K178" s="62">
        <f t="shared" si="42"/>
        <v>41.368585751226902</v>
      </c>
      <c r="L178" s="62">
        <f t="shared" si="42"/>
        <v>60.912291373451424</v>
      </c>
      <c r="M178" s="62">
        <f t="shared" si="42"/>
        <v>83.106115681206731</v>
      </c>
      <c r="N178" s="62">
        <f t="shared" si="42"/>
        <v>63.343414763478748</v>
      </c>
      <c r="O178" s="62">
        <f t="shared" si="42"/>
        <v>59.756953715458074</v>
      </c>
      <c r="P178" s="62">
        <f t="shared" si="42"/>
        <v>71.460908047750451</v>
      </c>
      <c r="Q178" s="62">
        <f t="shared" si="42"/>
        <v>85.014483483916294</v>
      </c>
      <c r="R178" s="62">
        <f t="shared" si="42"/>
        <v>76.390644778614643</v>
      </c>
      <c r="S178" s="62">
        <f t="shared" si="42"/>
        <v>79.593406538152081</v>
      </c>
      <c r="T178" s="62">
        <f t="shared" si="42"/>
        <v>91.481068965618462</v>
      </c>
      <c r="U178" s="62">
        <f t="shared" si="42"/>
        <v>89.370315322567507</v>
      </c>
      <c r="V178" s="62">
        <f t="shared" si="42"/>
        <v>91.316412585665887</v>
      </c>
    </row>
    <row r="179" spans="3:22" x14ac:dyDescent="0.2">
      <c r="C179" s="87" t="s">
        <v>133</v>
      </c>
      <c r="D179" s="60">
        <f t="shared" ref="D179:V179" si="43">+IFERROR(IF(D140&gt;0,+((D140/D23)*100)," "),"")</f>
        <v>66.856704083298837</v>
      </c>
      <c r="E179" s="60">
        <f t="shared" si="43"/>
        <v>65.010719876315108</v>
      </c>
      <c r="F179" s="60">
        <f t="shared" si="43"/>
        <v>31.493231730364691</v>
      </c>
      <c r="G179" s="60">
        <f t="shared" si="43"/>
        <v>61.661162158306048</v>
      </c>
      <c r="H179" s="60">
        <f t="shared" si="43"/>
        <v>69.184138022705667</v>
      </c>
      <c r="I179" s="60">
        <f t="shared" si="43"/>
        <v>71.775562602819747</v>
      </c>
      <c r="J179" s="60">
        <f t="shared" si="43"/>
        <v>50.628552416342806</v>
      </c>
      <c r="K179" s="60">
        <f t="shared" si="43"/>
        <v>87.775425342390719</v>
      </c>
      <c r="L179" s="60">
        <f t="shared" si="43"/>
        <v>67.933890715806683</v>
      </c>
      <c r="M179" s="60">
        <f t="shared" si="43"/>
        <v>63.787610758895056</v>
      </c>
      <c r="N179" s="60">
        <f t="shared" si="43"/>
        <v>40.708201372622177</v>
      </c>
      <c r="O179" s="60">
        <f t="shared" si="43"/>
        <v>60.725135325554049</v>
      </c>
      <c r="P179" s="60">
        <f t="shared" si="43"/>
        <v>62.335828887183787</v>
      </c>
      <c r="Q179" s="60">
        <f t="shared" si="43"/>
        <v>69.681357937586782</v>
      </c>
      <c r="R179" s="60">
        <f t="shared" si="43"/>
        <v>69.146418246094527</v>
      </c>
      <c r="S179" s="60">
        <f t="shared" si="43"/>
        <v>59.903550208003011</v>
      </c>
      <c r="T179" s="60">
        <f t="shared" si="43"/>
        <v>66.647901769265033</v>
      </c>
      <c r="U179" s="60">
        <f t="shared" si="43"/>
        <v>85.408137172665818</v>
      </c>
      <c r="V179" s="60">
        <f t="shared" si="43"/>
        <v>64.455029855976505</v>
      </c>
    </row>
    <row r="180" spans="3:22" x14ac:dyDescent="0.2">
      <c r="C180" s="88" t="s">
        <v>134</v>
      </c>
      <c r="D180" s="62">
        <f t="shared" ref="D180:V180" si="44">+IFERROR(IF(D141&gt;0,+((D141/D24)*100)," "),"")</f>
        <v>90.980232759711924</v>
      </c>
      <c r="E180" s="62">
        <f t="shared" si="44"/>
        <v>86.756406183038308</v>
      </c>
      <c r="F180" s="62">
        <f t="shared" si="44"/>
        <v>70.168438629194213</v>
      </c>
      <c r="G180" s="62">
        <f t="shared" si="44"/>
        <v>84.168530995898436</v>
      </c>
      <c r="H180" s="62">
        <f t="shared" si="44"/>
        <v>58.688714074368008</v>
      </c>
      <c r="I180" s="62">
        <f t="shared" si="44"/>
        <v>60.078365179123082</v>
      </c>
      <c r="J180" s="62">
        <f t="shared" si="44"/>
        <v>33.694508431156557</v>
      </c>
      <c r="K180" s="62">
        <f t="shared" si="44"/>
        <v>80.260183158148607</v>
      </c>
      <c r="L180" s="62">
        <f t="shared" si="44"/>
        <v>84.791224664089299</v>
      </c>
      <c r="M180" s="62">
        <f t="shared" si="44"/>
        <v>92.225462164266446</v>
      </c>
      <c r="N180" s="62">
        <f t="shared" si="44"/>
        <v>95.242063978983168</v>
      </c>
      <c r="O180" s="62">
        <f t="shared" si="44"/>
        <v>87.977408396691104</v>
      </c>
      <c r="P180" s="62">
        <f t="shared" si="44"/>
        <v>81.457057624029332</v>
      </c>
      <c r="Q180" s="62">
        <f t="shared" si="44"/>
        <v>69.862764804735605</v>
      </c>
      <c r="R180" s="62">
        <f t="shared" si="44"/>
        <v>34.832550627724892</v>
      </c>
      <c r="S180" s="62">
        <f t="shared" si="44"/>
        <v>35.48638861238932</v>
      </c>
      <c r="T180" s="62">
        <f t="shared" si="44"/>
        <v>25.837551530722497</v>
      </c>
      <c r="U180" s="62">
        <f t="shared" si="44"/>
        <v>52.891134396750118</v>
      </c>
      <c r="V180" s="62">
        <f t="shared" si="44"/>
        <v>47.951445822997904</v>
      </c>
    </row>
    <row r="181" spans="3:22" x14ac:dyDescent="0.2">
      <c r="C181" s="87" t="s">
        <v>135</v>
      </c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</row>
    <row r="182" spans="3:22" x14ac:dyDescent="0.2">
      <c r="C182" s="88" t="s">
        <v>136</v>
      </c>
      <c r="D182" s="62">
        <f t="shared" ref="D182:V182" si="45">+IFERROR(IF(D143&gt;0,+((D143/D26)*100)," "),"")</f>
        <v>77.296509399212582</v>
      </c>
      <c r="E182" s="62">
        <f t="shared" si="45"/>
        <v>75.07515505002003</v>
      </c>
      <c r="F182" s="62">
        <f t="shared" si="45"/>
        <v>77.872088777176941</v>
      </c>
      <c r="G182" s="62">
        <f t="shared" si="45"/>
        <v>83.618555275676343</v>
      </c>
      <c r="H182" s="62">
        <f t="shared" si="45"/>
        <v>84.426179575635331</v>
      </c>
      <c r="I182" s="62">
        <f t="shared" si="45"/>
        <v>81.822249086861007</v>
      </c>
      <c r="J182" s="62">
        <f t="shared" si="45"/>
        <v>81.135347929647111</v>
      </c>
      <c r="K182" s="62">
        <f t="shared" si="45"/>
        <v>90.7719519253519</v>
      </c>
      <c r="L182" s="62">
        <f t="shared" si="45"/>
        <v>87.756782851610126</v>
      </c>
      <c r="M182" s="62">
        <f t="shared" si="45"/>
        <v>91.668314657426535</v>
      </c>
      <c r="N182" s="62">
        <f t="shared" si="45"/>
        <v>87.278974760953702</v>
      </c>
      <c r="O182" s="62">
        <f t="shared" si="45"/>
        <v>85.283520942692903</v>
      </c>
      <c r="P182" s="62">
        <f t="shared" si="45"/>
        <v>89.409646204104305</v>
      </c>
      <c r="Q182" s="62">
        <f t="shared" si="45"/>
        <v>90.63300023686547</v>
      </c>
      <c r="R182" s="62">
        <f t="shared" si="45"/>
        <v>91.607354393634921</v>
      </c>
      <c r="S182" s="62">
        <f t="shared" si="45"/>
        <v>94.64992069766501</v>
      </c>
      <c r="T182" s="62">
        <f t="shared" si="45"/>
        <v>88.668239640286941</v>
      </c>
      <c r="U182" s="62">
        <f t="shared" si="45"/>
        <v>96.116153047755986</v>
      </c>
      <c r="V182" s="62">
        <f t="shared" si="45"/>
        <v>92.227441751141242</v>
      </c>
    </row>
    <row r="183" spans="3:22" x14ac:dyDescent="0.2">
      <c r="C183" s="87" t="s">
        <v>137</v>
      </c>
      <c r="D183" s="60">
        <f t="shared" ref="D183:V183" si="46">+IFERROR(IF(D144&gt;0,+((D144/D27)*100)," "),"")</f>
        <v>47.637692079934936</v>
      </c>
      <c r="E183" s="60">
        <f t="shared" si="46"/>
        <v>65.382279000583083</v>
      </c>
      <c r="F183" s="60">
        <f t="shared" si="46"/>
        <v>53.800109285346196</v>
      </c>
      <c r="G183" s="60">
        <f t="shared" si="46"/>
        <v>53.754806658054022</v>
      </c>
      <c r="H183" s="60">
        <f t="shared" si="46"/>
        <v>58.064195826744424</v>
      </c>
      <c r="I183" s="60">
        <f t="shared" si="46"/>
        <v>63.499498239798889</v>
      </c>
      <c r="J183" s="60">
        <f t="shared" si="46"/>
        <v>78.286253382018074</v>
      </c>
      <c r="K183" s="60">
        <f t="shared" si="46"/>
        <v>84.200196231559403</v>
      </c>
      <c r="L183" s="60">
        <f t="shared" si="46"/>
        <v>84.170645372621408</v>
      </c>
      <c r="M183" s="60">
        <f t="shared" si="46"/>
        <v>79.606279120569539</v>
      </c>
      <c r="N183" s="60">
        <f t="shared" si="46"/>
        <v>70.867212301083242</v>
      </c>
      <c r="O183" s="60">
        <f t="shared" si="46"/>
        <v>83.471558350105042</v>
      </c>
      <c r="P183" s="60">
        <f t="shared" si="46"/>
        <v>84.806440141644686</v>
      </c>
      <c r="Q183" s="60">
        <f t="shared" si="46"/>
        <v>83.421145528831843</v>
      </c>
      <c r="R183" s="60">
        <f t="shared" si="46"/>
        <v>96.084425211038024</v>
      </c>
      <c r="S183" s="60">
        <f t="shared" si="46"/>
        <v>90.502743454289458</v>
      </c>
      <c r="T183" s="60">
        <f t="shared" si="46"/>
        <v>91.005950775228627</v>
      </c>
      <c r="U183" s="60">
        <f t="shared" si="46"/>
        <v>88.013590558176105</v>
      </c>
      <c r="V183" s="60">
        <f t="shared" si="46"/>
        <v>90.998857987332258</v>
      </c>
    </row>
    <row r="184" spans="3:22" x14ac:dyDescent="0.2">
      <c r="C184" s="88" t="s">
        <v>138</v>
      </c>
      <c r="D184" s="62">
        <f t="shared" ref="D184:V184" si="47">+IFERROR(IF(D145&gt;0,+((D145/D28)*100)," "),"")</f>
        <v>67.713366396309553</v>
      </c>
      <c r="E184" s="62">
        <f t="shared" si="47"/>
        <v>90.758732294578181</v>
      </c>
      <c r="F184" s="62">
        <f t="shared" si="47"/>
        <v>36.126943856944116</v>
      </c>
      <c r="G184" s="62">
        <f t="shared" si="47"/>
        <v>5.4901343762483865</v>
      </c>
      <c r="H184" s="62">
        <f t="shared" si="47"/>
        <v>26.390167577592592</v>
      </c>
      <c r="I184" s="62">
        <f t="shared" si="47"/>
        <v>13.80816551355599</v>
      </c>
      <c r="J184" s="62">
        <f t="shared" si="47"/>
        <v>4.7015998212564822</v>
      </c>
      <c r="K184" s="62">
        <f t="shared" si="47"/>
        <v>69.833284996258499</v>
      </c>
      <c r="L184" s="62">
        <f t="shared" si="47"/>
        <v>69.32734426672063</v>
      </c>
      <c r="M184" s="62">
        <f t="shared" si="47"/>
        <v>29.878147856785798</v>
      </c>
      <c r="N184" s="62">
        <f t="shared" si="47"/>
        <v>29.935901064134708</v>
      </c>
      <c r="O184" s="62">
        <f t="shared" si="47"/>
        <v>39.712280406219072</v>
      </c>
      <c r="P184" s="62">
        <f t="shared" si="47"/>
        <v>81.601138636607033</v>
      </c>
      <c r="Q184" s="62">
        <f t="shared" si="47"/>
        <v>90.15279792140727</v>
      </c>
      <c r="R184" s="62">
        <f t="shared" si="47"/>
        <v>83.820776135423685</v>
      </c>
      <c r="S184" s="62">
        <f t="shared" si="47"/>
        <v>94.527974908600569</v>
      </c>
      <c r="T184" s="62">
        <f t="shared" si="47"/>
        <v>97.182040692632981</v>
      </c>
      <c r="U184" s="62">
        <f t="shared" si="47"/>
        <v>91.201744670202686</v>
      </c>
      <c r="V184" s="62">
        <f t="shared" si="47"/>
        <v>96.85860163507715</v>
      </c>
    </row>
    <row r="185" spans="3:22" x14ac:dyDescent="0.2">
      <c r="C185" s="87" t="s">
        <v>139</v>
      </c>
      <c r="D185" s="60">
        <f t="shared" ref="D185:V185" si="48">+IFERROR(IF(D146&gt;0,+((D146/D29)*100)," "),"")</f>
        <v>70.774749807173322</v>
      </c>
      <c r="E185" s="60">
        <f t="shared" si="48"/>
        <v>64.596209948302828</v>
      </c>
      <c r="F185" s="60">
        <f t="shared" si="48"/>
        <v>53.395999876516967</v>
      </c>
      <c r="G185" s="60">
        <f t="shared" si="48"/>
        <v>80.861225421998384</v>
      </c>
      <c r="H185" s="60">
        <f t="shared" si="48"/>
        <v>45.933031884935694</v>
      </c>
      <c r="I185" s="60">
        <f t="shared" si="48"/>
        <v>78.966651416639039</v>
      </c>
      <c r="J185" s="60">
        <f t="shared" si="48"/>
        <v>83.033688797781863</v>
      </c>
      <c r="K185" s="60">
        <f t="shared" si="48"/>
        <v>66.359182256436867</v>
      </c>
      <c r="L185" s="60">
        <f t="shared" si="48"/>
        <v>82.461823744392916</v>
      </c>
      <c r="M185" s="60">
        <f t="shared" si="48"/>
        <v>83.105844593111328</v>
      </c>
      <c r="N185" s="60">
        <f t="shared" si="48"/>
        <v>71.180506664988414</v>
      </c>
      <c r="O185" s="60">
        <f t="shared" si="48"/>
        <v>95.921603191778743</v>
      </c>
      <c r="P185" s="60">
        <f t="shared" si="48"/>
        <v>63.944096357953882</v>
      </c>
      <c r="Q185" s="60">
        <f t="shared" si="48"/>
        <v>75.686345353439819</v>
      </c>
      <c r="R185" s="60">
        <f t="shared" si="48"/>
        <v>80.1508722980671</v>
      </c>
      <c r="S185" s="60">
        <f t="shared" si="48"/>
        <v>78.93805464242395</v>
      </c>
      <c r="T185" s="60">
        <f t="shared" si="48"/>
        <v>70.500809073799758</v>
      </c>
      <c r="U185" s="60">
        <f t="shared" si="48"/>
        <v>65.16136320305894</v>
      </c>
      <c r="V185" s="60">
        <f t="shared" si="48"/>
        <v>33.833637536664732</v>
      </c>
    </row>
    <row r="186" spans="3:22" x14ac:dyDescent="0.2">
      <c r="C186" s="88" t="s">
        <v>140</v>
      </c>
      <c r="D186" s="62">
        <f t="shared" ref="D186:V186" si="49">+IFERROR(IF(D147&gt;0,+((D147/D30)*100)," "),"")</f>
        <v>83.26614212078789</v>
      </c>
      <c r="E186" s="62">
        <f t="shared" si="49"/>
        <v>70.357707117487834</v>
      </c>
      <c r="F186" s="62">
        <f t="shared" si="49"/>
        <v>73.90477643225563</v>
      </c>
      <c r="G186" s="62">
        <f t="shared" si="49"/>
        <v>94.488713647575025</v>
      </c>
      <c r="H186" s="62">
        <f t="shared" si="49"/>
        <v>83.095361691564548</v>
      </c>
      <c r="I186" s="62">
        <f t="shared" si="49"/>
        <v>62.343056232372618</v>
      </c>
      <c r="J186" s="62">
        <f t="shared" si="49"/>
        <v>66.724835717083778</v>
      </c>
      <c r="K186" s="62">
        <f t="shared" si="49"/>
        <v>59.980990374354469</v>
      </c>
      <c r="L186" s="62">
        <f t="shared" si="49"/>
        <v>92.55043130029064</v>
      </c>
      <c r="M186" s="62">
        <f t="shared" si="49"/>
        <v>87.511093948473857</v>
      </c>
      <c r="N186" s="62">
        <f t="shared" si="49"/>
        <v>83.590387181305317</v>
      </c>
      <c r="O186" s="62">
        <f t="shared" si="49"/>
        <v>88.859923358856705</v>
      </c>
      <c r="P186" s="62">
        <f t="shared" si="49"/>
        <v>92.75081688419624</v>
      </c>
      <c r="Q186" s="62">
        <f t="shared" si="49"/>
        <v>92.335451223611656</v>
      </c>
      <c r="R186" s="62">
        <f t="shared" si="49"/>
        <v>94.912373812136693</v>
      </c>
      <c r="S186" s="62">
        <f t="shared" si="49"/>
        <v>94.530498934415292</v>
      </c>
      <c r="T186" s="62">
        <f t="shared" si="49"/>
        <v>90.114519164041312</v>
      </c>
      <c r="U186" s="62">
        <f t="shared" si="49"/>
        <v>90.479867999785341</v>
      </c>
      <c r="V186" s="62">
        <f t="shared" si="49"/>
        <v>92.022684325549619</v>
      </c>
    </row>
    <row r="187" spans="3:22" x14ac:dyDescent="0.2">
      <c r="C187" s="87" t="s">
        <v>141</v>
      </c>
      <c r="D187" s="60">
        <f t="shared" ref="D187:V187" si="50">+IFERROR(IF(D148&gt;0,+((D148/D31)*100)," "),"")</f>
        <v>70.918216381042058</v>
      </c>
      <c r="E187" s="60">
        <f t="shared" si="50"/>
        <v>12.840658737964569</v>
      </c>
      <c r="F187" s="60">
        <f t="shared" si="50"/>
        <v>7.4114338737618581</v>
      </c>
      <c r="G187" s="60">
        <f t="shared" si="50"/>
        <v>9.8471646873872398</v>
      </c>
      <c r="H187" s="60">
        <f t="shared" si="50"/>
        <v>19.957529773328083</v>
      </c>
      <c r="I187" s="60">
        <f t="shared" si="50"/>
        <v>16.557019609322495</v>
      </c>
      <c r="J187" s="60">
        <f t="shared" si="50"/>
        <v>43.873939858961535</v>
      </c>
      <c r="K187" s="60">
        <f t="shared" si="50"/>
        <v>55.317180620637387</v>
      </c>
      <c r="L187" s="60">
        <f t="shared" si="50"/>
        <v>52.357414797402093</v>
      </c>
      <c r="M187" s="60">
        <f t="shared" si="50"/>
        <v>69.384345945524402</v>
      </c>
      <c r="N187" s="60">
        <f t="shared" si="50"/>
        <v>46.758475365311284</v>
      </c>
      <c r="O187" s="60">
        <f t="shared" si="50"/>
        <v>41.619050506977921</v>
      </c>
      <c r="P187" s="60">
        <f t="shared" si="50"/>
        <v>75.850216528538354</v>
      </c>
      <c r="Q187" s="60">
        <f t="shared" si="50"/>
        <v>72.030695493596127</v>
      </c>
      <c r="R187" s="60">
        <f t="shared" si="50"/>
        <v>85.563311585332997</v>
      </c>
      <c r="S187" s="60">
        <f t="shared" si="50"/>
        <v>46.382743162945708</v>
      </c>
      <c r="T187" s="60">
        <f t="shared" si="50"/>
        <v>75.826076492363242</v>
      </c>
      <c r="U187" s="60">
        <f t="shared" si="50"/>
        <v>80.151906933408455</v>
      </c>
      <c r="V187" s="60">
        <f t="shared" si="50"/>
        <v>83.459393215535897</v>
      </c>
    </row>
    <row r="188" spans="3:22" x14ac:dyDescent="0.2">
      <c r="C188" s="88" t="s">
        <v>142</v>
      </c>
      <c r="D188" s="62">
        <f t="shared" ref="D188:V188" si="51">+IFERROR(IF(D149&gt;0,+((D149/D32)*100)," "),"")</f>
        <v>15.758938379423812</v>
      </c>
      <c r="E188" s="62">
        <f t="shared" si="51"/>
        <v>23.907403925443802</v>
      </c>
      <c r="F188" s="62">
        <f t="shared" si="51"/>
        <v>8.9635828780653899</v>
      </c>
      <c r="G188" s="62">
        <f t="shared" si="51"/>
        <v>18.322004129512198</v>
      </c>
      <c r="H188" s="62">
        <f t="shared" si="51"/>
        <v>61.376351147917553</v>
      </c>
      <c r="I188" s="62">
        <f t="shared" si="51"/>
        <v>19.235966975786933</v>
      </c>
      <c r="J188" s="62">
        <f t="shared" si="51"/>
        <v>23.174936229005848</v>
      </c>
      <c r="K188" s="62">
        <f t="shared" si="51"/>
        <v>63.712289761763607</v>
      </c>
      <c r="L188" s="62">
        <f t="shared" si="51"/>
        <v>36.926726211807278</v>
      </c>
      <c r="M188" s="62">
        <f t="shared" si="51"/>
        <v>35.477341966961184</v>
      </c>
      <c r="N188" s="62">
        <f t="shared" si="51"/>
        <v>41.39595202300999</v>
      </c>
      <c r="O188" s="62">
        <f t="shared" si="51"/>
        <v>38.1819466957568</v>
      </c>
      <c r="P188" s="62">
        <f t="shared" si="51"/>
        <v>50.164196423351918</v>
      </c>
      <c r="Q188" s="62">
        <f t="shared" si="51"/>
        <v>56.650953197554244</v>
      </c>
      <c r="R188" s="62">
        <f t="shared" si="51"/>
        <v>84.337872090173036</v>
      </c>
      <c r="S188" s="62">
        <f t="shared" si="51"/>
        <v>93.893013168650853</v>
      </c>
      <c r="T188" s="62">
        <f t="shared" si="51"/>
        <v>79.802670827811326</v>
      </c>
      <c r="U188" s="62">
        <f t="shared" si="51"/>
        <v>97.735159581830828</v>
      </c>
      <c r="V188" s="62">
        <f t="shared" si="51"/>
        <v>60.271292638798847</v>
      </c>
    </row>
    <row r="189" spans="3:22" x14ac:dyDescent="0.2">
      <c r="C189" s="87" t="s">
        <v>143</v>
      </c>
      <c r="D189" s="60">
        <f t="shared" ref="D189:V189" si="52">+IFERROR(IF(D150&gt;0,+((D150/D33)*100)," "),"")</f>
        <v>96.948052426058311</v>
      </c>
      <c r="E189" s="60">
        <f t="shared" si="52"/>
        <v>60.014283834613188</v>
      </c>
      <c r="F189" s="60">
        <f t="shared" si="52"/>
        <v>49.185174382135841</v>
      </c>
      <c r="G189" s="60">
        <f t="shared" si="52"/>
        <v>59.563853457369575</v>
      </c>
      <c r="H189" s="60">
        <f t="shared" si="52"/>
        <v>74.39369184759785</v>
      </c>
      <c r="I189" s="60">
        <f t="shared" si="52"/>
        <v>83.312624988370061</v>
      </c>
      <c r="J189" s="60">
        <f t="shared" si="52"/>
        <v>85.44842247444106</v>
      </c>
      <c r="K189" s="60">
        <f t="shared" si="52"/>
        <v>95.877397004671963</v>
      </c>
      <c r="L189" s="60">
        <f t="shared" si="52"/>
        <v>69.70633981634343</v>
      </c>
      <c r="M189" s="60">
        <f t="shared" si="52"/>
        <v>78.819129209559605</v>
      </c>
      <c r="N189" s="60">
        <f t="shared" si="52"/>
        <v>59.579415115492985</v>
      </c>
      <c r="O189" s="60">
        <f t="shared" si="52"/>
        <v>68.205216850179781</v>
      </c>
      <c r="P189" s="60">
        <f t="shared" si="52"/>
        <v>84.809858144077211</v>
      </c>
      <c r="Q189" s="60">
        <f t="shared" si="52"/>
        <v>87.399865868612267</v>
      </c>
      <c r="R189" s="60">
        <f t="shared" si="52"/>
        <v>87.193521341632419</v>
      </c>
      <c r="S189" s="60">
        <f t="shared" si="52"/>
        <v>91.584675236614643</v>
      </c>
      <c r="T189" s="60">
        <f t="shared" si="52"/>
        <v>92.748780906212744</v>
      </c>
      <c r="U189" s="60">
        <f t="shared" si="52"/>
        <v>77.647099176385822</v>
      </c>
      <c r="V189" s="60">
        <f t="shared" si="52"/>
        <v>8.9147718003496959</v>
      </c>
    </row>
    <row r="190" spans="3:22" x14ac:dyDescent="0.2">
      <c r="C190" s="88" t="s">
        <v>144</v>
      </c>
      <c r="D190" s="62">
        <f t="shared" ref="D190:V190" si="53">+IFERROR(IF(D151&gt;0,+((D151/D34)*100)," "),"")</f>
        <v>62.280016848992211</v>
      </c>
      <c r="E190" s="62">
        <f t="shared" si="53"/>
        <v>77.93433400021118</v>
      </c>
      <c r="F190" s="62">
        <f t="shared" si="53"/>
        <v>37.437260128618156</v>
      </c>
      <c r="G190" s="62">
        <f t="shared" si="53"/>
        <v>41.045462446108907</v>
      </c>
      <c r="H190" s="62">
        <f t="shared" si="53"/>
        <v>36.880893472647251</v>
      </c>
      <c r="I190" s="62">
        <f t="shared" si="53"/>
        <v>36.717418211854671</v>
      </c>
      <c r="J190" s="62">
        <f t="shared" si="53"/>
        <v>48.352535717539837</v>
      </c>
      <c r="K190" s="62">
        <f t="shared" si="53"/>
        <v>67.510760496373507</v>
      </c>
      <c r="L190" s="62">
        <f t="shared" si="53"/>
        <v>64.0988672156208</v>
      </c>
      <c r="M190" s="62">
        <f t="shared" si="53"/>
        <v>76.295734050083709</v>
      </c>
      <c r="N190" s="62">
        <f t="shared" si="53"/>
        <v>37.551919218540384</v>
      </c>
      <c r="O190" s="62">
        <f t="shared" si="53"/>
        <v>17.187246214677028</v>
      </c>
      <c r="P190" s="62">
        <f t="shared" si="53"/>
        <v>21.978689645097436</v>
      </c>
      <c r="Q190" s="62">
        <f t="shared" si="53"/>
        <v>54.708816799519347</v>
      </c>
      <c r="R190" s="62">
        <f t="shared" si="53"/>
        <v>71.806678646760602</v>
      </c>
      <c r="S190" s="62">
        <f t="shared" si="53"/>
        <v>58.833159399031878</v>
      </c>
      <c r="T190" s="62">
        <f t="shared" si="53"/>
        <v>63.224141448955841</v>
      </c>
      <c r="U190" s="62">
        <f t="shared" si="53"/>
        <v>73.567404360881184</v>
      </c>
      <c r="V190" s="62">
        <f t="shared" si="53"/>
        <v>68.019877489688668</v>
      </c>
    </row>
    <row r="191" spans="3:22" x14ac:dyDescent="0.2">
      <c r="C191" s="87" t="s">
        <v>145</v>
      </c>
      <c r="D191" s="60">
        <f t="shared" ref="D191:V191" si="54">+IFERROR(IF(D152&gt;0,+((D152/D35)*100)," "),"")</f>
        <v>19.154574010352704</v>
      </c>
      <c r="E191" s="60">
        <f t="shared" si="54"/>
        <v>3.59303354</v>
      </c>
      <c r="F191" s="60">
        <f t="shared" si="54"/>
        <v>0.42299979299780582</v>
      </c>
      <c r="G191" s="60">
        <f t="shared" si="54"/>
        <v>54.502626268221313</v>
      </c>
      <c r="H191" s="60">
        <f t="shared" si="54"/>
        <v>40.88457092911429</v>
      </c>
      <c r="I191" s="60">
        <f t="shared" si="54"/>
        <v>92.59417899507342</v>
      </c>
      <c r="J191" s="60">
        <f t="shared" si="54"/>
        <v>88.981455467216165</v>
      </c>
      <c r="K191" s="60">
        <f t="shared" si="54"/>
        <v>10.890448576865037</v>
      </c>
      <c r="L191" s="60">
        <f t="shared" si="54"/>
        <v>89.768586071461527</v>
      </c>
      <c r="M191" s="60">
        <f t="shared" si="54"/>
        <v>79.83317838460205</v>
      </c>
      <c r="N191" s="60">
        <f t="shared" si="54"/>
        <v>59.354648414679879</v>
      </c>
      <c r="O191" s="60">
        <f t="shared" si="54"/>
        <v>58.800968414213052</v>
      </c>
      <c r="P191" s="60">
        <f t="shared" si="54"/>
        <v>64.23346274583804</v>
      </c>
      <c r="Q191" s="60">
        <f t="shared" si="54"/>
        <v>71.783579919639507</v>
      </c>
      <c r="R191" s="60">
        <f t="shared" si="54"/>
        <v>85.099337854341186</v>
      </c>
      <c r="S191" s="60">
        <f t="shared" si="54"/>
        <v>84.711738941047471</v>
      </c>
      <c r="T191" s="60">
        <f t="shared" si="54"/>
        <v>91.478346069794668</v>
      </c>
      <c r="U191" s="60">
        <f t="shared" si="54"/>
        <v>94.423311773242986</v>
      </c>
      <c r="V191" s="60">
        <f t="shared" si="54"/>
        <v>70.839697463837609</v>
      </c>
    </row>
    <row r="192" spans="3:22" x14ac:dyDescent="0.2">
      <c r="C192" s="88" t="s">
        <v>146</v>
      </c>
      <c r="D192" s="62">
        <f t="shared" ref="D192:V192" si="55">+IFERROR(IF(D153&gt;0,+((D153/D36)*100)," "),"")</f>
        <v>60.468694575144809</v>
      </c>
      <c r="E192" s="62">
        <f t="shared" si="55"/>
        <v>54.979904600132279</v>
      </c>
      <c r="F192" s="62">
        <f t="shared" si="55"/>
        <v>16.711296991472757</v>
      </c>
      <c r="G192" s="62">
        <f t="shared" si="55"/>
        <v>99.468425807063056</v>
      </c>
      <c r="H192" s="62">
        <f t="shared" si="55"/>
        <v>74.355860327238759</v>
      </c>
      <c r="I192" s="62">
        <f t="shared" si="55"/>
        <v>79.069283168677046</v>
      </c>
      <c r="J192" s="62">
        <f t="shared" si="55"/>
        <v>63.730659605698101</v>
      </c>
      <c r="K192" s="62">
        <f t="shared" si="55"/>
        <v>56.702479661971239</v>
      </c>
      <c r="L192" s="62">
        <f t="shared" si="55"/>
        <v>77.008691575743498</v>
      </c>
      <c r="M192" s="62">
        <f t="shared" si="55"/>
        <v>66.519680871777467</v>
      </c>
      <c r="N192" s="62">
        <f t="shared" si="55"/>
        <v>86.617422762642846</v>
      </c>
      <c r="O192" s="62">
        <f t="shared" si="55"/>
        <v>92.952976955485582</v>
      </c>
      <c r="P192" s="62">
        <f t="shared" si="55"/>
        <v>93.346958035049141</v>
      </c>
      <c r="Q192" s="62">
        <f t="shared" si="55"/>
        <v>92.121984750903479</v>
      </c>
      <c r="R192" s="62">
        <f t="shared" si="55"/>
        <v>96.329019177875139</v>
      </c>
      <c r="S192" s="62">
        <f t="shared" si="55"/>
        <v>98.221480248893187</v>
      </c>
      <c r="T192" s="62">
        <f t="shared" si="55"/>
        <v>96.913240432959185</v>
      </c>
      <c r="U192" s="62">
        <f t="shared" si="55"/>
        <v>96.847790204877569</v>
      </c>
      <c r="V192" s="62">
        <f t="shared" si="55"/>
        <v>97.638012526598999</v>
      </c>
    </row>
    <row r="193" spans="3:23" x14ac:dyDescent="0.2">
      <c r="C193" s="90" t="s">
        <v>147</v>
      </c>
      <c r="D193" s="61">
        <f t="shared" ref="D193:V193" si="56">+IFERROR(IF(D154&gt;0,+((D154/D37)*100)," "),"")</f>
        <v>67.118750888815853</v>
      </c>
      <c r="E193" s="61">
        <f t="shared" si="56"/>
        <v>76.89224114202527</v>
      </c>
      <c r="F193" s="61">
        <f t="shared" si="56"/>
        <v>71.250089160578185</v>
      </c>
      <c r="G193" s="61">
        <f t="shared" si="56"/>
        <v>70.186527330792103</v>
      </c>
      <c r="H193" s="61">
        <f t="shared" si="56"/>
        <v>71.689341174263447</v>
      </c>
      <c r="I193" s="61">
        <f t="shared" si="56"/>
        <v>79.00247971927233</v>
      </c>
      <c r="J193" s="61">
        <f t="shared" si="56"/>
        <v>70.978903405987765</v>
      </c>
      <c r="K193" s="61">
        <f t="shared" si="56"/>
        <v>75.400025398456407</v>
      </c>
      <c r="L193" s="61">
        <f t="shared" si="56"/>
        <v>83.827420722694427</v>
      </c>
      <c r="M193" s="61">
        <f t="shared" si="56"/>
        <v>90.805687202882751</v>
      </c>
      <c r="N193" s="61">
        <f t="shared" si="56"/>
        <v>85.77507836941723</v>
      </c>
      <c r="O193" s="61">
        <f t="shared" si="56"/>
        <v>87.843341166859645</v>
      </c>
      <c r="P193" s="61">
        <f t="shared" si="56"/>
        <v>89.140813414680608</v>
      </c>
      <c r="Q193" s="61">
        <f t="shared" si="56"/>
        <v>94.612028976462057</v>
      </c>
      <c r="R193" s="61">
        <f t="shared" si="56"/>
        <v>94.083589926093353</v>
      </c>
      <c r="S193" s="61">
        <f t="shared" si="56"/>
        <v>95.63578566463832</v>
      </c>
      <c r="T193" s="61">
        <f t="shared" si="56"/>
        <v>95.155988337890619</v>
      </c>
      <c r="U193" s="61">
        <f t="shared" si="56"/>
        <v>91.524083550008072</v>
      </c>
      <c r="V193" s="61">
        <f t="shared" si="56"/>
        <v>91.531018792996207</v>
      </c>
    </row>
    <row r="194" spans="3:23" ht="22.5" customHeight="1" x14ac:dyDescent="0.2">
      <c r="C194" s="89" t="s">
        <v>148</v>
      </c>
      <c r="D194" s="63" t="str">
        <f t="shared" ref="D194:V194" si="57">+IFERROR(IF(D155&gt;0,+((D155/D38)*100)," "),"")</f>
        <v xml:space="preserve"> </v>
      </c>
      <c r="E194" s="63" t="str">
        <f t="shared" si="57"/>
        <v xml:space="preserve"> </v>
      </c>
      <c r="F194" s="63" t="str">
        <f t="shared" si="57"/>
        <v xml:space="preserve"> </v>
      </c>
      <c r="G194" s="63" t="str">
        <f t="shared" si="57"/>
        <v xml:space="preserve"> </v>
      </c>
      <c r="H194" s="63" t="str">
        <f t="shared" si="57"/>
        <v xml:space="preserve"> </v>
      </c>
      <c r="I194" s="63" t="str">
        <f t="shared" si="57"/>
        <v xml:space="preserve"> </v>
      </c>
      <c r="J194" s="63" t="str">
        <f t="shared" si="57"/>
        <v xml:space="preserve"> </v>
      </c>
      <c r="K194" s="63" t="str">
        <f t="shared" si="57"/>
        <v xml:space="preserve"> </v>
      </c>
      <c r="L194" s="63" t="str">
        <f t="shared" si="57"/>
        <v xml:space="preserve"> </v>
      </c>
      <c r="M194" s="63" t="str">
        <f t="shared" si="57"/>
        <v xml:space="preserve"> </v>
      </c>
      <c r="N194" s="63" t="str">
        <f t="shared" si="57"/>
        <v xml:space="preserve"> </v>
      </c>
      <c r="O194" s="63" t="str">
        <f t="shared" si="57"/>
        <v xml:space="preserve"> </v>
      </c>
      <c r="P194" s="63" t="str">
        <f t="shared" si="57"/>
        <v xml:space="preserve"> </v>
      </c>
      <c r="Q194" s="63" t="str">
        <f t="shared" si="57"/>
        <v xml:space="preserve"> </v>
      </c>
      <c r="R194" s="63" t="str">
        <f t="shared" si="57"/>
        <v xml:space="preserve"> </v>
      </c>
      <c r="S194" s="63" t="str">
        <f t="shared" si="57"/>
        <v xml:space="preserve"> </v>
      </c>
      <c r="T194" s="63" t="str">
        <f t="shared" si="57"/>
        <v xml:space="preserve"> </v>
      </c>
      <c r="U194" s="63" t="str">
        <f t="shared" si="57"/>
        <v xml:space="preserve"> </v>
      </c>
      <c r="V194" s="63">
        <f t="shared" si="57"/>
        <v>56.255603915121867</v>
      </c>
    </row>
    <row r="195" spans="3:23" x14ac:dyDescent="0.2">
      <c r="C195" s="87" t="s">
        <v>149</v>
      </c>
      <c r="D195" s="60">
        <f t="shared" ref="D195:V195" si="58">+IFERROR(IF(D156&gt;0,+((D156/D39)*100)," "),"")</f>
        <v>93.791611384549654</v>
      </c>
      <c r="E195" s="60">
        <f t="shared" si="58"/>
        <v>64.752341149063994</v>
      </c>
      <c r="F195" s="60">
        <f t="shared" si="58"/>
        <v>27.466828138854488</v>
      </c>
      <c r="G195" s="60">
        <f t="shared" si="58"/>
        <v>11.46182019854704</v>
      </c>
      <c r="H195" s="60">
        <f t="shared" si="58"/>
        <v>94.828423066932146</v>
      </c>
      <c r="I195" s="60">
        <f t="shared" si="58"/>
        <v>37.304193313586126</v>
      </c>
      <c r="J195" s="60">
        <f t="shared" si="58"/>
        <v>88.124905707481474</v>
      </c>
      <c r="K195" s="60">
        <f t="shared" si="58"/>
        <v>98.713023115262388</v>
      </c>
      <c r="L195" s="60">
        <f t="shared" si="58"/>
        <v>94.93936819236886</v>
      </c>
      <c r="M195" s="60">
        <f t="shared" si="58"/>
        <v>83.074993722442557</v>
      </c>
      <c r="N195" s="60">
        <f t="shared" si="58"/>
        <v>91.762659616443358</v>
      </c>
      <c r="O195" s="60">
        <f t="shared" si="58"/>
        <v>93.901477307825019</v>
      </c>
      <c r="P195" s="60">
        <f t="shared" si="58"/>
        <v>97.188847258502449</v>
      </c>
      <c r="Q195" s="60">
        <f t="shared" si="58"/>
        <v>92.968685983166054</v>
      </c>
      <c r="R195" s="60">
        <f t="shared" si="58"/>
        <v>96.735077909065751</v>
      </c>
      <c r="S195" s="60">
        <f t="shared" si="58"/>
        <v>91.422745722450813</v>
      </c>
      <c r="T195" s="60">
        <f t="shared" si="58"/>
        <v>96.843563979058828</v>
      </c>
      <c r="U195" s="60">
        <f t="shared" si="58"/>
        <v>89.672740344398576</v>
      </c>
      <c r="V195" s="60">
        <f t="shared" si="58"/>
        <v>91.513409838564215</v>
      </c>
    </row>
    <row r="196" spans="3:23" x14ac:dyDescent="0.2">
      <c r="C196" s="88" t="s">
        <v>150</v>
      </c>
      <c r="D196" s="62">
        <f t="shared" ref="D196:V196" si="59">+IFERROR(IF(D157&gt;0,+((D157/D40)*100)," "),"")</f>
        <v>70.076013750642147</v>
      </c>
      <c r="E196" s="62">
        <f t="shared" si="59"/>
        <v>72.903077651130459</v>
      </c>
      <c r="F196" s="62">
        <f t="shared" si="59"/>
        <v>49.465091125500074</v>
      </c>
      <c r="G196" s="62">
        <f t="shared" si="59"/>
        <v>67.092746591923117</v>
      </c>
      <c r="H196" s="62">
        <f t="shared" si="59"/>
        <v>62.128937737553471</v>
      </c>
      <c r="I196" s="62">
        <f t="shared" si="59"/>
        <v>71.803100840871224</v>
      </c>
      <c r="J196" s="62">
        <f t="shared" si="59"/>
        <v>57.125596457087603</v>
      </c>
      <c r="K196" s="62">
        <f t="shared" si="59"/>
        <v>86.246927571648186</v>
      </c>
      <c r="L196" s="62">
        <f t="shared" si="59"/>
        <v>85.026900340269947</v>
      </c>
      <c r="M196" s="62">
        <f t="shared" si="59"/>
        <v>85.080006728926833</v>
      </c>
      <c r="N196" s="62">
        <f t="shared" si="59"/>
        <v>73.516048117685799</v>
      </c>
      <c r="O196" s="62">
        <f t="shared" si="59"/>
        <v>81.250726231883846</v>
      </c>
      <c r="P196" s="62">
        <f t="shared" si="59"/>
        <v>85.540966286162373</v>
      </c>
      <c r="Q196" s="62">
        <f t="shared" si="59"/>
        <v>92.13365530857925</v>
      </c>
      <c r="R196" s="62">
        <f t="shared" si="59"/>
        <v>88.661591240771216</v>
      </c>
      <c r="S196" s="62">
        <f t="shared" si="59"/>
        <v>84.84062459675728</v>
      </c>
      <c r="T196" s="62">
        <f t="shared" si="59"/>
        <v>88.038633310065123</v>
      </c>
      <c r="U196" s="62">
        <f t="shared" si="59"/>
        <v>72.88086651587254</v>
      </c>
      <c r="V196" s="62">
        <f t="shared" si="59"/>
        <v>70.302296184917338</v>
      </c>
    </row>
    <row r="197" spans="3:23" x14ac:dyDescent="0.2">
      <c r="C197" s="87" t="s">
        <v>151</v>
      </c>
      <c r="D197" s="60">
        <f t="shared" ref="D197:V197" si="60">+IFERROR(IF(D158&gt;0,+((D158/D41)*100)," "),"")</f>
        <v>66.121883219855434</v>
      </c>
      <c r="E197" s="60">
        <f t="shared" si="60"/>
        <v>11.755471761077676</v>
      </c>
      <c r="F197" s="60">
        <f t="shared" si="60"/>
        <v>38.791884629385088</v>
      </c>
      <c r="G197" s="60">
        <f t="shared" si="60"/>
        <v>19.369437079955119</v>
      </c>
      <c r="H197" s="60">
        <f t="shared" si="60"/>
        <v>4.8189102512151294</v>
      </c>
      <c r="I197" s="60">
        <f t="shared" si="60"/>
        <v>15.995404362432511</v>
      </c>
      <c r="J197" s="60">
        <f t="shared" si="60"/>
        <v>57.79432164790709</v>
      </c>
      <c r="K197" s="60">
        <f t="shared" si="60"/>
        <v>88.215190202138018</v>
      </c>
      <c r="L197" s="60">
        <f t="shared" si="60"/>
        <v>89.870234090765734</v>
      </c>
      <c r="M197" s="60">
        <f t="shared" si="60"/>
        <v>91.014898005211222</v>
      </c>
      <c r="N197" s="60">
        <f t="shared" si="60"/>
        <v>49.137140943346623</v>
      </c>
      <c r="O197" s="60">
        <f t="shared" si="60"/>
        <v>78.000455818625468</v>
      </c>
      <c r="P197" s="60">
        <f t="shared" si="60"/>
        <v>96.599085997935774</v>
      </c>
      <c r="Q197" s="60">
        <f t="shared" si="60"/>
        <v>94.676899214478411</v>
      </c>
      <c r="R197" s="60">
        <f t="shared" si="60"/>
        <v>97.958847755075567</v>
      </c>
      <c r="S197" s="60">
        <f t="shared" si="60"/>
        <v>97.003641566519889</v>
      </c>
      <c r="T197" s="60">
        <f t="shared" si="60"/>
        <v>95.434045090296777</v>
      </c>
      <c r="U197" s="60">
        <f t="shared" si="60"/>
        <v>96.053981358867745</v>
      </c>
      <c r="V197" s="60">
        <f t="shared" si="60"/>
        <v>18.900875658137668</v>
      </c>
    </row>
    <row r="198" spans="3:23" x14ac:dyDescent="0.2">
      <c r="C198" s="91" t="s">
        <v>202</v>
      </c>
      <c r="D198" s="64">
        <f t="shared" ref="D198:V198" si="61">+IFERROR(IF(D159&gt;0,+((D159/D42)*100)," "),"")</f>
        <v>73.246463002290753</v>
      </c>
      <c r="E198" s="64">
        <f t="shared" si="61"/>
        <v>65.889789945537601</v>
      </c>
      <c r="F198" s="64">
        <f t="shared" si="61"/>
        <v>56.172875923750709</v>
      </c>
      <c r="G198" s="64">
        <f t="shared" si="61"/>
        <v>66.678554058845705</v>
      </c>
      <c r="H198" s="64">
        <f t="shared" si="61"/>
        <v>65.104790881448466</v>
      </c>
      <c r="I198" s="64">
        <f t="shared" si="61"/>
        <v>67.159518907935279</v>
      </c>
      <c r="J198" s="64">
        <f t="shared" si="61"/>
        <v>65.118095767545583</v>
      </c>
      <c r="K198" s="64">
        <f t="shared" si="61"/>
        <v>79.493899081491321</v>
      </c>
      <c r="L198" s="64">
        <f t="shared" si="61"/>
        <v>86.724891816867228</v>
      </c>
      <c r="M198" s="64">
        <f t="shared" si="61"/>
        <v>85.534618155728381</v>
      </c>
      <c r="N198" s="64">
        <f t="shared" si="61"/>
        <v>79.724388810463452</v>
      </c>
      <c r="O198" s="64">
        <f t="shared" si="61"/>
        <v>83.961857553564727</v>
      </c>
      <c r="P198" s="64">
        <f t="shared" si="61"/>
        <v>86.106966448851352</v>
      </c>
      <c r="Q198" s="64">
        <f t="shared" si="61"/>
        <v>88.897320690505296</v>
      </c>
      <c r="R198" s="64">
        <f t="shared" si="61"/>
        <v>87.583201970333974</v>
      </c>
      <c r="S198" s="64">
        <f t="shared" si="61"/>
        <v>87.541938622862162</v>
      </c>
      <c r="T198" s="64">
        <f t="shared" si="61"/>
        <v>86.479889032492167</v>
      </c>
      <c r="U198" s="64">
        <f t="shared" si="61"/>
        <v>87.746350472972495</v>
      </c>
      <c r="V198" s="64">
        <f t="shared" si="61"/>
        <v>77.868759927326664</v>
      </c>
    </row>
    <row r="199" spans="3:23" x14ac:dyDescent="0.2">
      <c r="C199" s="1" t="s">
        <v>52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3" spans="3:23" ht="18" customHeight="1" x14ac:dyDescent="0.2">
      <c r="C203" s="9"/>
      <c r="D203" s="164" t="s">
        <v>207</v>
      </c>
      <c r="E203" s="160"/>
      <c r="F203" s="160"/>
      <c r="G203" s="160"/>
      <c r="H203" s="160"/>
      <c r="I203" s="160"/>
      <c r="J203" s="160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</row>
    <row r="204" spans="3:23" ht="15.75" customHeight="1" x14ac:dyDescent="0.2"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</row>
    <row r="205" spans="3:23" x14ac:dyDescent="0.2">
      <c r="C205" s="181" t="s">
        <v>120</v>
      </c>
      <c r="D205" s="155">
        <v>2000</v>
      </c>
      <c r="E205" s="155">
        <v>2001</v>
      </c>
      <c r="F205" s="155">
        <v>2002</v>
      </c>
      <c r="G205" s="155">
        <v>2003</v>
      </c>
      <c r="H205" s="155">
        <v>2004</v>
      </c>
      <c r="I205" s="155">
        <v>2005</v>
      </c>
      <c r="J205" s="155">
        <v>2006</v>
      </c>
      <c r="K205" s="155">
        <v>2007</v>
      </c>
      <c r="L205" s="155">
        <v>2008</v>
      </c>
      <c r="M205" s="155">
        <v>2009</v>
      </c>
      <c r="N205" s="155">
        <v>2010</v>
      </c>
      <c r="O205" s="155">
        <v>2011</v>
      </c>
      <c r="P205" s="155">
        <v>2012</v>
      </c>
      <c r="Q205" s="155">
        <v>2013</v>
      </c>
      <c r="R205" s="155">
        <v>2014</v>
      </c>
      <c r="S205" s="155">
        <v>2015</v>
      </c>
      <c r="T205" s="155">
        <v>2016</v>
      </c>
      <c r="U205" s="155">
        <v>2017</v>
      </c>
      <c r="V205" s="155">
        <v>2018</v>
      </c>
    </row>
    <row r="206" spans="3:23" ht="12" customHeight="1" thickBot="1" x14ac:dyDescent="0.25">
      <c r="C206" s="162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</row>
    <row r="207" spans="3:23" x14ac:dyDescent="0.2">
      <c r="C207" s="87" t="s">
        <v>123</v>
      </c>
      <c r="D207" s="56">
        <f>99.10952180939*Deflactores!$A$5</f>
        <v>369.86836785699234</v>
      </c>
      <c r="E207" s="56">
        <f>248.04562709175*Deflactores!$B$5</f>
        <v>859.91632384115087</v>
      </c>
      <c r="F207" s="56">
        <f>230.283060488229*Deflactores!$C$5</f>
        <v>746.16685359339021</v>
      </c>
      <c r="G207" s="56">
        <f>111.354457543919*Deflactores!$D$5</f>
        <v>338.81855505971453</v>
      </c>
      <c r="H207" s="56">
        <f>197.1877969146*Deflactores!$E$5</f>
        <v>568.72140627507326</v>
      </c>
      <c r="I207" s="56">
        <f>260.52354861379*Deflactores!$F$5</f>
        <v>716.59982146361438</v>
      </c>
      <c r="J207" s="56">
        <f>475.930595846129*Deflactores!$G$5</f>
        <v>1252.993158516213</v>
      </c>
      <c r="K207" s="56">
        <f>861.41880649804*Deflactores!$H$5</f>
        <v>2145.6910739481682</v>
      </c>
      <c r="L207" s="56">
        <f>1031.93177930338*Deflactores!$I$5</f>
        <v>2387.2147417370015</v>
      </c>
      <c r="M207" s="56">
        <f>925.12756592372*Deflactores!$J$5</f>
        <v>2098.1389809708576</v>
      </c>
      <c r="N207" s="56">
        <f>926.83479651271*Deflactores!$K$5</f>
        <v>2037.4003930782162</v>
      </c>
      <c r="O207" s="56">
        <f>1071.02721173368*Deflactores!$L$5</f>
        <v>2269.7815482899655</v>
      </c>
      <c r="P207" s="56">
        <f>1062.66447960915*Deflactores!$M$5</f>
        <v>2198.4173882901073</v>
      </c>
      <c r="Q207" s="56">
        <f>1383.90511387535*Deflactores!$N$5</f>
        <v>2808.5080378096563</v>
      </c>
      <c r="R207" s="56">
        <f>1612.388401401*Deflactores!$O$5</f>
        <v>3156.660078690813</v>
      </c>
      <c r="S207" s="56">
        <f>1764.32221134968*Deflactores!$P$5</f>
        <v>3235.0933081566686</v>
      </c>
      <c r="T207" s="56">
        <f>837.936984161919*Deflactores!$Q$5</f>
        <v>1452.9139482031178</v>
      </c>
      <c r="U207" s="56">
        <f>1231.74448211525*Deflactores!$R$5</f>
        <v>2051.824213503573</v>
      </c>
      <c r="V207" s="56">
        <f>926.520736244369*Deflactores!$S$5</f>
        <v>1495.8193440219679</v>
      </c>
      <c r="W207" s="56"/>
    </row>
    <row r="208" spans="3:23" x14ac:dyDescent="0.2">
      <c r="C208" s="88" t="s">
        <v>124</v>
      </c>
      <c r="D208" s="57">
        <f>11.79249974571*Deflactores!$A$5</f>
        <v>44.008613443703588</v>
      </c>
      <c r="E208" s="57">
        <f>30.24559771309*Deflactores!$B$5</f>
        <v>104.85443143167478</v>
      </c>
      <c r="F208" s="57">
        <f>30.67455127769*Deflactores!$C$5</f>
        <v>99.392171372644242</v>
      </c>
      <c r="G208" s="57">
        <f>40.11175035109*Deflactores!$D$5</f>
        <v>122.04814782122286</v>
      </c>
      <c r="H208" s="57">
        <f>36.60003396981*Deflactores!$E$5</f>
        <v>105.56040036311504</v>
      </c>
      <c r="I208" s="57">
        <f>58.06870917372*Deflactores!$F$5</f>
        <v>159.72462699791313</v>
      </c>
      <c r="J208" s="57">
        <f>94.13472899466*Deflactores!$G$5</f>
        <v>247.8306131997883</v>
      </c>
      <c r="K208" s="57">
        <f>310.55155166785*Deflactores!$H$5</f>
        <v>773.54672011792832</v>
      </c>
      <c r="L208" s="57">
        <f>130.636880893619*Deflactores!$I$5</f>
        <v>302.20824102763117</v>
      </c>
      <c r="M208" s="57">
        <f>117.32464622693*Deflactores!$J$5</f>
        <v>266.08591371023346</v>
      </c>
      <c r="N208" s="57">
        <f>258.3054795625*Deflactores!$K$5</f>
        <v>567.81606341824227</v>
      </c>
      <c r="O208" s="57">
        <f>244.223000420019*Deflactores!$L$5</f>
        <v>517.57121943154812</v>
      </c>
      <c r="P208" s="57">
        <f>124.401494611401*Deflactores!$M$5</f>
        <v>257.35913275615542</v>
      </c>
      <c r="Q208" s="57">
        <f>151.46329180815*Deflactores!$N$5</f>
        <v>307.38080827311239</v>
      </c>
      <c r="R208" s="57">
        <f>172.053184590821*Deflactores!$O$5</f>
        <v>336.83783555969279</v>
      </c>
      <c r="S208" s="57">
        <f>203.891573619706*Deflactores!$P$5</f>
        <v>373.85929914811493</v>
      </c>
      <c r="T208" s="57">
        <f>192.433107145286*Deflactores!$Q$5</f>
        <v>333.6632118548722</v>
      </c>
      <c r="U208" s="57">
        <f>224.18491433572*Deflactores!$R$5</f>
        <v>373.44436465128416</v>
      </c>
      <c r="V208" s="57">
        <f>236.9849627421*Deflactores!$S$5</f>
        <v>382.59984654942792</v>
      </c>
      <c r="W208" s="56"/>
    </row>
    <row r="209" spans="3:23" x14ac:dyDescent="0.2">
      <c r="C209" s="87" t="s">
        <v>125</v>
      </c>
      <c r="D209" s="56">
        <f>22.3760689816*Deflactores!$A$5</f>
        <v>83.505600291330907</v>
      </c>
      <c r="E209" s="56">
        <f>34.4481051749799*Deflactores!$B$5</f>
        <v>119.42354442074051</v>
      </c>
      <c r="F209" s="56">
        <f>24.7174111176699*Deflactores!$C$5</f>
        <v>80.089750603209339</v>
      </c>
      <c r="G209" s="56">
        <f>12.22815740684*Deflactores!$D$5</f>
        <v>37.206652656847574</v>
      </c>
      <c r="H209" s="56">
        <f>36.23429495413*Deflactores!$E$5</f>
        <v>104.50555006009515</v>
      </c>
      <c r="I209" s="56">
        <f>37.50168702346*Deflactores!$F$5</f>
        <v>103.15267993464334</v>
      </c>
      <c r="J209" s="56">
        <f>38.2569486918*Deflactores!$G$5</f>
        <v>100.71992722239077</v>
      </c>
      <c r="K209" s="56">
        <f>72.76630529198*Deflactores!$H$5</f>
        <v>181.25215118523664</v>
      </c>
      <c r="L209" s="56">
        <f>99.59513083283*Deflactores!$I$5</f>
        <v>230.39794809871734</v>
      </c>
      <c r="M209" s="56">
        <f>110.82101792925*Deflactores!$J$5</f>
        <v>251.33603861005437</v>
      </c>
      <c r="N209" s="56">
        <f>211.80156890719*Deflactores!$K$5</f>
        <v>465.58955422232481</v>
      </c>
      <c r="O209" s="56">
        <f>225.14783206324*Deflactores!$L$5</f>
        <v>477.14604190813372</v>
      </c>
      <c r="P209" s="56">
        <f>302.43796730171*Deflactores!$M$5</f>
        <v>625.67715299916688</v>
      </c>
      <c r="Q209" s="56">
        <f>356.01186820313*Deflactores!$N$5</f>
        <v>722.49331502519578</v>
      </c>
      <c r="R209" s="56">
        <f>280.1938069688*Deflactores!$O$5</f>
        <v>548.55058743060374</v>
      </c>
      <c r="S209" s="56">
        <f>158.76243391372*Deflactores!$P$5</f>
        <v>291.10968746918172</v>
      </c>
      <c r="T209" s="56">
        <f>223.529243989709*Deflactores!$Q$5</f>
        <v>387.58136060645506</v>
      </c>
      <c r="U209" s="56">
        <f>314.70929897612*Deflactores!$R$5</f>
        <v>524.23872745509868</v>
      </c>
      <c r="V209" s="56">
        <f>185.78409540762*Deflactores!$S$5</f>
        <v>299.93872004289943</v>
      </c>
      <c r="W209" s="56"/>
    </row>
    <row r="210" spans="3:23" x14ac:dyDescent="0.2">
      <c r="C210" s="88" t="s">
        <v>126</v>
      </c>
      <c r="D210" s="57">
        <f>9.59445011314999*Deflactores!$A$5</f>
        <v>35.805677790081994</v>
      </c>
      <c r="E210" s="57">
        <f>43.2465215259*Deflactores!$B$5</f>
        <v>149.925601372176</v>
      </c>
      <c r="F210" s="57">
        <f>19.38046691521*Deflactores!$C$5</f>
        <v>62.796898689090618</v>
      </c>
      <c r="G210" s="57">
        <f>17.89597695497*Deflactores!$D$5</f>
        <v>54.452144862484744</v>
      </c>
      <c r="H210" s="57">
        <f>13.88397897636*Deflactores!$E$5</f>
        <v>40.043634401720801</v>
      </c>
      <c r="I210" s="57">
        <f>16.20907985154*Deflactores!$F$5</f>
        <v>44.584928270427397</v>
      </c>
      <c r="J210" s="57">
        <f>27.86076352156*Deflactores!$G$5</f>
        <v>73.349657257250882</v>
      </c>
      <c r="K210" s="57">
        <f>68.40286172874*Deflactores!$H$5</f>
        <v>170.38333588344076</v>
      </c>
      <c r="L210" s="57">
        <f>53.0932955901*Deflactores!$I$5</f>
        <v>122.82313662793477</v>
      </c>
      <c r="M210" s="57">
        <f>118.10005971117*Deflactores!$J$5</f>
        <v>267.84450930026964</v>
      </c>
      <c r="N210" s="57">
        <f>140.75106105054*Deflactores!$K$5</f>
        <v>309.40386376248193</v>
      </c>
      <c r="O210" s="57">
        <f>183.57477467994*Deflactores!$L$5</f>
        <v>389.04206329691789</v>
      </c>
      <c r="P210" s="57">
        <f>255.174679400579*Deflactores!$M$5</f>
        <v>527.89988092188423</v>
      </c>
      <c r="Q210" s="57">
        <f>209.82133514067*Deflactores!$N$5</f>
        <v>425.8130852601235</v>
      </c>
      <c r="R210" s="57">
        <f>160.209098350569*Deflactores!$O$5</f>
        <v>313.65002661075187</v>
      </c>
      <c r="S210" s="57">
        <f>185.005664369249*Deflactores!$P$5</f>
        <v>339.22975232181903</v>
      </c>
      <c r="T210" s="57">
        <f>153.55685876968*Deflactores!$Q$5</f>
        <v>266.25498834123852</v>
      </c>
      <c r="U210" s="57">
        <f>201.466669682769*Deflactores!$R$5</f>
        <v>335.60060310491707</v>
      </c>
      <c r="V210" s="57">
        <f>166.19074602031*Deflactores!$S$5</f>
        <v>268.30628065841353</v>
      </c>
      <c r="W210" s="56"/>
    </row>
    <row r="211" spans="3:23" x14ac:dyDescent="0.2">
      <c r="C211" s="87" t="s">
        <v>127</v>
      </c>
      <c r="D211" s="56">
        <f>0*Deflactores!$A$5</f>
        <v>0</v>
      </c>
      <c r="E211" s="56">
        <f>0*Deflactores!$B$5</f>
        <v>0</v>
      </c>
      <c r="F211" s="56">
        <f>0*Deflactores!$C$5</f>
        <v>0</v>
      </c>
      <c r="G211" s="56">
        <f>0*Deflactores!$D$5</f>
        <v>0</v>
      </c>
      <c r="H211" s="56">
        <f>0*Deflactores!$E$5</f>
        <v>0</v>
      </c>
      <c r="I211" s="56">
        <f>4.468227078*Deflactores!$F$5</f>
        <v>12.29036969360628</v>
      </c>
      <c r="J211" s="56">
        <f>31.797907981*Deflactores!$G$5</f>
        <v>83.715065816450291</v>
      </c>
      <c r="K211" s="56">
        <f>12.99541459514*Deflactores!$H$5</f>
        <v>32.370021281989615</v>
      </c>
      <c r="L211" s="56">
        <f>8.836132524*Deflactores!$I$5</f>
        <v>20.441027444153537</v>
      </c>
      <c r="M211" s="56">
        <f>9.923878953*Deflactores!$J$5</f>
        <v>22.506817481906467</v>
      </c>
      <c r="N211" s="56">
        <f>26.64836349315*Deflactores!$K$5</f>
        <v>58.579356817545261</v>
      </c>
      <c r="O211" s="56">
        <f>1.199999998*Deflactores!$L$5</f>
        <v>2.5431079841561264</v>
      </c>
      <c r="P211" s="56">
        <f>3.34611318076*Deflactores!$M$5</f>
        <v>6.9223668814780659</v>
      </c>
      <c r="Q211" s="56">
        <f>28.966133127*Deflactores!$N$5</f>
        <v>58.784100799826575</v>
      </c>
      <c r="R211" s="56">
        <f>43.05397549005*Deflactores!$O$5</f>
        <v>84.289099041077534</v>
      </c>
      <c r="S211" s="56">
        <f>43.87115787607*Deflactores!$P$5</f>
        <v>80.442953306916962</v>
      </c>
      <c r="T211" s="56">
        <f>58.97808824486*Deflactores!$Q$5</f>
        <v>102.26316378076598</v>
      </c>
      <c r="U211" s="56">
        <f>55.78819161467*Deflactores!$R$5</f>
        <v>92.931256477791607</v>
      </c>
      <c r="V211" s="56">
        <f>47.1439929030099*Deflactores!$S$5</f>
        <v>76.111514594485328</v>
      </c>
      <c r="W211" s="56"/>
    </row>
    <row r="212" spans="3:23" x14ac:dyDescent="0.2">
      <c r="C212" s="88" t="s">
        <v>128</v>
      </c>
      <c r="D212" s="57">
        <f>4.10312942716*Deflactores!$A$5</f>
        <v>15.312532606588364</v>
      </c>
      <c r="E212" s="57">
        <f>13.42606802691*Deflactores!$B$5</f>
        <v>46.545045751083343</v>
      </c>
      <c r="F212" s="57">
        <f>7.14830031751*Deflactores!$C$5</f>
        <v>23.162036952039333</v>
      </c>
      <c r="G212" s="57">
        <f>6.47514687759999*Deflactores!$D$5</f>
        <v>19.701949587447459</v>
      </c>
      <c r="H212" s="57">
        <f>20.41717044523*Deflactores!$E$5</f>
        <v>58.88641218907663</v>
      </c>
      <c r="I212" s="57">
        <f>25.71573524032*Deflactores!$F$5</f>
        <v>70.734071373091467</v>
      </c>
      <c r="J212" s="57">
        <f>37.39930309461*Deflactores!$G$5</f>
        <v>98.461984414994419</v>
      </c>
      <c r="K212" s="57">
        <f>39.6394909088699*Deflactores!$H$5</f>
        <v>98.737224190386002</v>
      </c>
      <c r="L212" s="57">
        <f>55.20090815678*Deflactores!$I$5</f>
        <v>127.69877268252466</v>
      </c>
      <c r="M212" s="57">
        <f>68.2507084578399*Deflactores!$J$5</f>
        <v>154.78889308772213</v>
      </c>
      <c r="N212" s="57">
        <f>85.79462953474*Deflactores!$K$5</f>
        <v>188.59673007074258</v>
      </c>
      <c r="O212" s="57">
        <f>92.72451465079*Deflactores!$L$5</f>
        <v>196.50704494036654</v>
      </c>
      <c r="P212" s="57">
        <f>140.96836186717*Deflactores!$M$5</f>
        <v>291.63231092615712</v>
      </c>
      <c r="Q212" s="57">
        <f>153.18849911612*Deflactores!$N$5</f>
        <v>310.88195769639441</v>
      </c>
      <c r="R212" s="57">
        <f>154.802878534549*Deflactores!$O$5</f>
        <v>303.0659773487817</v>
      </c>
      <c r="S212" s="57">
        <f>154.63654659041*Deflactores!$P$5</f>
        <v>283.54438540361519</v>
      </c>
      <c r="T212" s="57">
        <f>111.25321987576*Deflactores!$Q$5</f>
        <v>192.90395100732923</v>
      </c>
      <c r="U212" s="57">
        <f>123.081120579779*Deflactores!$R$5</f>
        <v>205.02695737435752</v>
      </c>
      <c r="V212" s="57">
        <f>112.746356184529*Deflactores!$S$5</f>
        <v>182.02310423447287</v>
      </c>
      <c r="W212" s="56"/>
    </row>
    <row r="213" spans="3:23" x14ac:dyDescent="0.2">
      <c r="C213" s="87" t="s">
        <v>129</v>
      </c>
      <c r="D213" s="56">
        <f>251.33962662551*Deflactores!$A$5</f>
        <v>937.97826667503523</v>
      </c>
      <c r="E213" s="56">
        <f>456.730409311789*Deflactores!$B$5</f>
        <v>1583.3777808007187</v>
      </c>
      <c r="F213" s="56">
        <f>506.52419642324*Deflactores!$C$5</f>
        <v>1641.2477978742536</v>
      </c>
      <c r="G213" s="56">
        <f>455.710385368369*Deflactores!$D$5</f>
        <v>1386.5914100054661</v>
      </c>
      <c r="H213" s="56">
        <f>384.269138216949*Deflactores!$E$5</f>
        <v>1108.2941647220798</v>
      </c>
      <c r="I213" s="56">
        <f>412.31490886202*Deflactores!$F$5</f>
        <v>1134.1193210726533</v>
      </c>
      <c r="J213" s="56">
        <f>710.94531026178*Deflactores!$G$5</f>
        <v>1871.7216703697707</v>
      </c>
      <c r="K213" s="56">
        <f>904.64642908678*Deflactores!$H$5</f>
        <v>2253.3659043987973</v>
      </c>
      <c r="L213" s="56">
        <f>2834.13479323062*Deflactores!$I$5</f>
        <v>6556.3329806909896</v>
      </c>
      <c r="M213" s="56">
        <f>2140.38796457311*Deflactores!$J$5</f>
        <v>4854.2834396980852</v>
      </c>
      <c r="N213" s="56">
        <f>1294.60013594795*Deflactores!$K$5</f>
        <v>2845.8349166256135</v>
      </c>
      <c r="O213" s="56">
        <f>914.505739566958*Deflactores!$L$5</f>
        <v>1938.072376437899</v>
      </c>
      <c r="P213" s="56">
        <f>1247.86470014724*Deflactores!$M$5</f>
        <v>2581.5556157914625</v>
      </c>
      <c r="Q213" s="56">
        <f>1983.96393522953*Deflactores!$N$5</f>
        <v>4026.2721793211658</v>
      </c>
      <c r="R213" s="56">
        <f>1437.05069074995*Deflactores!$O$5</f>
        <v>2813.3919486172576</v>
      </c>
      <c r="S213" s="56">
        <f>864.421850627061*Deflactores!$P$5</f>
        <v>1585.0196332611713</v>
      </c>
      <c r="T213" s="56">
        <f>596.35593403256*Deflactores!$Q$5</f>
        <v>1034.032237538969</v>
      </c>
      <c r="U213" s="56">
        <f>613.539566776885*Deflactores!$R$5</f>
        <v>1022.0263677523958</v>
      </c>
      <c r="V213" s="56">
        <f>563.324780220478*Deflactores!$S$5</f>
        <v>909.45843979305312</v>
      </c>
      <c r="W213" s="56"/>
    </row>
    <row r="214" spans="3:23" x14ac:dyDescent="0.2">
      <c r="C214" s="88" t="s">
        <v>130</v>
      </c>
      <c r="D214" s="57">
        <f>15.86642732*Deflactores!$A$5</f>
        <v>59.212167200810676</v>
      </c>
      <c r="E214" s="57">
        <f>43.5584501775699*Deflactores!$B$5</f>
        <v>151.00698523928804</v>
      </c>
      <c r="F214" s="57">
        <f>10.93158825608*Deflactores!$C$5</f>
        <v>35.420707005214595</v>
      </c>
      <c r="G214" s="57">
        <f>17.79043233722*Deflactores!$D$5</f>
        <v>54.131003925075213</v>
      </c>
      <c r="H214" s="57">
        <f>63.11924261658*Deflactores!$E$5</f>
        <v>182.04607478557941</v>
      </c>
      <c r="I214" s="57">
        <f>55.00723608441*Deflactores!$F$5</f>
        <v>151.30369506723591</v>
      </c>
      <c r="J214" s="57">
        <f>84.5471889526*Deflactores!$G$5</f>
        <v>222.58928140781975</v>
      </c>
      <c r="K214" s="57">
        <f>65.30390673963*Deflactores!$H$5</f>
        <v>162.66421017067327</v>
      </c>
      <c r="L214" s="57">
        <f>132.16047828905*Deflactores!$I$5</f>
        <v>305.73284821174201</v>
      </c>
      <c r="M214" s="57">
        <f>108.55928077982*Deflactores!$J$5</f>
        <v>246.20654182201869</v>
      </c>
      <c r="N214" s="57">
        <f>111.57337177835*Deflactores!$K$5</f>
        <v>245.26445529837733</v>
      </c>
      <c r="O214" s="57">
        <f>131.77889197481*Deflactores!$L$5</f>
        <v>279.27329406911133</v>
      </c>
      <c r="P214" s="57">
        <f>193.71980723772*Deflactores!$M$5</f>
        <v>400.76336497503877</v>
      </c>
      <c r="Q214" s="57">
        <f>256.20865386694*Deflactores!$N$5</f>
        <v>519.95187858414477</v>
      </c>
      <c r="R214" s="57">
        <f>226.49123761855*Deflactores!$O$5</f>
        <v>443.4141596048002</v>
      </c>
      <c r="S214" s="57">
        <f>325.0860494505*Deflactores!$P$5</f>
        <v>596.08369513631999</v>
      </c>
      <c r="T214" s="57">
        <f>167.41430137339*Deflactores!$Q$5</f>
        <v>290.28265632332614</v>
      </c>
      <c r="U214" s="57">
        <f>304.53929787559*Deflactores!$R$5</f>
        <v>507.297669620124</v>
      </c>
      <c r="V214" s="57">
        <f>366.44756503056*Deflactores!$S$5</f>
        <v>591.61045716508227</v>
      </c>
      <c r="W214" s="56"/>
    </row>
    <row r="215" spans="3:23" x14ac:dyDescent="0.2">
      <c r="C215" s="87" t="s">
        <v>131</v>
      </c>
      <c r="D215" s="56">
        <f>101.3266476055*Deflactores!$A$5</f>
        <v>378.14249414243614</v>
      </c>
      <c r="E215" s="56">
        <f>132.98561860058*Deflactores!$B$5</f>
        <v>461.03011615863977</v>
      </c>
      <c r="F215" s="56">
        <f>147.61557335903*Deflactores!$C$5</f>
        <v>478.30634038460613</v>
      </c>
      <c r="G215" s="56">
        <f>202.744610962079*Deflactores!$D$5</f>
        <v>616.89165972742762</v>
      </c>
      <c r="H215" s="56">
        <f>228.35638374012*Deflactores!$E$5</f>
        <v>658.61663715842008</v>
      </c>
      <c r="I215" s="56">
        <f>329.81623798795*Deflactores!$F$5</f>
        <v>907.1972899015534</v>
      </c>
      <c r="J215" s="56">
        <f>325.17123831642*Deflactores!$G$5</f>
        <v>856.08561524051731</v>
      </c>
      <c r="K215" s="56">
        <f>533.83948090443*Deflactores!$H$5</f>
        <v>1329.7302084156036</v>
      </c>
      <c r="L215" s="56">
        <f>558.81806546503*Deflactores!$I$5</f>
        <v>1292.7392591084081</v>
      </c>
      <c r="M215" s="56">
        <f>688.98115584056*Deflactores!$J$5</f>
        <v>1562.5717722291165</v>
      </c>
      <c r="N215" s="56">
        <f>742.326055941519*Deflactores!$K$5</f>
        <v>1631.8068806415517</v>
      </c>
      <c r="O215" s="56">
        <f>688.6629508671*Deflactores!$L$5</f>
        <v>1459.4535430512894</v>
      </c>
      <c r="P215" s="56">
        <f>812.645474767819*Deflactores!$M$5</f>
        <v>1681.1834558561075</v>
      </c>
      <c r="Q215" s="56">
        <f>1047.10378402491*Deflactores!$N$5</f>
        <v>2125.0007420087818</v>
      </c>
      <c r="R215" s="56">
        <f>1606.97712408397*Deflactores!$O$5</f>
        <v>3146.0661280852692</v>
      </c>
      <c r="S215" s="56">
        <f>2220.49186767588*Deflactores!$P$5</f>
        <v>4071.5342898955364</v>
      </c>
      <c r="T215" s="56">
        <f>2297.61973005704*Deflactores!$Q$5</f>
        <v>3983.8840110457395</v>
      </c>
      <c r="U215" s="56">
        <f>3059.87061754035*Deflactores!$R$5</f>
        <v>5097.093361827604</v>
      </c>
      <c r="V215" s="56">
        <f>3216.29382060894*Deflactores!$S$5</f>
        <v>5192.5384124983884</v>
      </c>
      <c r="W215" s="56"/>
    </row>
    <row r="216" spans="3:23" x14ac:dyDescent="0.2">
      <c r="C216" s="88" t="s">
        <v>132</v>
      </c>
      <c r="D216" s="57">
        <f>10.70356688839*Deflactores!$A$5</f>
        <v>39.944807955696071</v>
      </c>
      <c r="E216" s="57">
        <f>10.2167416666*Deflactores!$B$5</f>
        <v>35.419059947094681</v>
      </c>
      <c r="F216" s="57">
        <f>13.06264461278*Deflactores!$C$5</f>
        <v>42.325789876433042</v>
      </c>
      <c r="G216" s="57">
        <f>4.75706574913*Deflactores!$D$5</f>
        <v>14.474338782608559</v>
      </c>
      <c r="H216" s="57">
        <f>7.37017654489*Deflactores!$E$5</f>
        <v>21.256777725047204</v>
      </c>
      <c r="I216" s="57">
        <f>7.38255884273*Deflactores!$F$5</f>
        <v>20.306572579692389</v>
      </c>
      <c r="J216" s="57">
        <f>13.7152646739599*Deflactores!$G$5</f>
        <v>36.108485047401544</v>
      </c>
      <c r="K216" s="57">
        <f>17.02925426187*Deflactores!$H$5</f>
        <v>42.41783275458522</v>
      </c>
      <c r="L216" s="57">
        <f>25.01225941873*Deflactores!$I$5</f>
        <v>57.861997862736871</v>
      </c>
      <c r="M216" s="57">
        <f>54.64302449591*Deflactores!$J$5</f>
        <v>123.92740629076378</v>
      </c>
      <c r="N216" s="57">
        <f>54.39664415689*Deflactores!$K$5</f>
        <v>119.57658970550283</v>
      </c>
      <c r="O216" s="57">
        <f>43.13201319949*Deflactores!$L$5</f>
        <v>91.407806102638375</v>
      </c>
      <c r="P216" s="57">
        <f>74.54781542092*Deflactores!$M$5</f>
        <v>154.22291496999125</v>
      </c>
      <c r="Q216" s="57">
        <f>94.29165650773*Deflactores!$N$5</f>
        <v>191.3562371763874</v>
      </c>
      <c r="R216" s="57">
        <f>90.3101493444599*Deflactores!$O$5</f>
        <v>176.80506935460338</v>
      </c>
      <c r="S216" s="57">
        <f>120.95737216115*Deflactores!$P$5</f>
        <v>221.7896383855005</v>
      </c>
      <c r="T216" s="57">
        <f>180.37285380277*Deflactores!$Q$5</f>
        <v>312.75172252882192</v>
      </c>
      <c r="U216" s="57">
        <f>242.47644017462*Deflactores!$R$5</f>
        <v>403.91415458184673</v>
      </c>
      <c r="V216" s="57">
        <f>317.64550307918*Deflactores!$S$5</f>
        <v>512.82207667946807</v>
      </c>
      <c r="W216" s="56"/>
    </row>
    <row r="217" spans="3:23" x14ac:dyDescent="0.2">
      <c r="C217" s="87" t="s">
        <v>133</v>
      </c>
      <c r="D217" s="56">
        <f>3.744977924*Deflactores!$A$5</f>
        <v>13.975941434510213</v>
      </c>
      <c r="E217" s="56">
        <f>23.12764849674*Deflactores!$B$5</f>
        <v>80.178162008276956</v>
      </c>
      <c r="F217" s="56">
        <f>6.87315140566*Deflactores!$C$5</f>
        <v>22.270495049697566</v>
      </c>
      <c r="G217" s="56">
        <f>8.3630042725*Deflactores!$D$5</f>
        <v>25.446139167344064</v>
      </c>
      <c r="H217" s="56">
        <f>26.39959301021*Deflactores!$E$5</f>
        <v>76.140683636516513</v>
      </c>
      <c r="I217" s="56">
        <f>32.83502680942*Deflactores!$F$5</f>
        <v>90.316497201811472</v>
      </c>
      <c r="J217" s="56">
        <f>27.14047124247*Deflactores!$G$5</f>
        <v>71.453327612321715</v>
      </c>
      <c r="K217" s="56">
        <f>39.5604750035*Deflactores!$H$5</f>
        <v>98.540405033927854</v>
      </c>
      <c r="L217" s="56">
        <f>46.86995712771*Deflactores!$I$5</f>
        <v>108.42640457820049</v>
      </c>
      <c r="M217" s="56">
        <f>51.75586886743*Deflactores!$J$5</f>
        <v>117.37949442285306</v>
      </c>
      <c r="N217" s="56">
        <f>43.12275618106*Deflactores!$K$5</f>
        <v>94.793938169436089</v>
      </c>
      <c r="O217" s="56">
        <f>55.03815352405*Deflactores!$L$5</f>
        <v>116.63997324458514</v>
      </c>
      <c r="P217" s="56">
        <f>74.1126851630499*Deflactores!$M$5</f>
        <v>153.32272686412304</v>
      </c>
      <c r="Q217" s="56">
        <f>87.33037008419*Deflactores!$N$5</f>
        <v>177.22894717797186</v>
      </c>
      <c r="R217" s="56">
        <f>92.9876124304584*Deflactores!$O$5</f>
        <v>182.04688381344963</v>
      </c>
      <c r="S217" s="56">
        <f>67.5441921339799*Deflactores!$P$5</f>
        <v>123.85025964748722</v>
      </c>
      <c r="T217" s="56">
        <f>71.12712063498*Deflactores!$Q$5</f>
        <v>123.32858868790426</v>
      </c>
      <c r="U217" s="56">
        <f>81.88406834613*Deflactores!$R$5</f>
        <v>136.4014343658742</v>
      </c>
      <c r="V217" s="56">
        <f>84.12088707808*Deflactores!$S$5</f>
        <v>135.80877923761031</v>
      </c>
      <c r="W217" s="56"/>
    </row>
    <row r="218" spans="3:23" x14ac:dyDescent="0.2">
      <c r="C218" s="88" t="s">
        <v>134</v>
      </c>
      <c r="D218" s="57">
        <f>600.0017996225*Deflactores!$A$5</f>
        <v>2239.1560597420475</v>
      </c>
      <c r="E218" s="57">
        <f>1525.1343357527*Deflactores!$B$5</f>
        <v>5287.2849513257861</v>
      </c>
      <c r="F218" s="57">
        <f>806.60995070965*Deflactores!$C$5</f>
        <v>2613.5904556857481</v>
      </c>
      <c r="G218" s="57">
        <f>1095.16576919778*Deflactores!$D$5</f>
        <v>3332.2642995598349</v>
      </c>
      <c r="H218" s="57">
        <f>888.48737650609*Deflactores!$E$5</f>
        <v>2562.5408779379741</v>
      </c>
      <c r="I218" s="57">
        <f>1141.81960916971*Deflactores!$F$5</f>
        <v>3140.7054465070255</v>
      </c>
      <c r="J218" s="57">
        <f>246.129195043199*Deflactores!$G$5</f>
        <v>647.9898543861168</v>
      </c>
      <c r="K218" s="57">
        <f>690.77638095937*Deflactores!$H$5</f>
        <v>1720.6412299545173</v>
      </c>
      <c r="L218" s="57">
        <f>738.42863547642*Deflactores!$I$5</f>
        <v>1708.2405636543565</v>
      </c>
      <c r="M218" s="57">
        <f>811.43965903707*Deflactores!$J$5</f>
        <v>1840.3009942001406</v>
      </c>
      <c r="N218" s="57">
        <f>581.56753154947*Deflactores!$K$5</f>
        <v>1278.4219170866761</v>
      </c>
      <c r="O218" s="57">
        <f>964.0394671779*Deflactores!$L$5</f>
        <v>2043.0470584231912</v>
      </c>
      <c r="P218" s="57">
        <f>727.15072667143*Deflactores!$M$5</f>
        <v>1504.313762336556</v>
      </c>
      <c r="Q218" s="57">
        <f>1036.96661835913*Deflactores!$N$5</f>
        <v>2104.4282974332818</v>
      </c>
      <c r="R218" s="57">
        <f>635.09606372685*Deflactores!$O$5</f>
        <v>1243.3619522183824</v>
      </c>
      <c r="S218" s="57">
        <f>606.78003128684*Deflactores!$P$5</f>
        <v>1112.6029055868951</v>
      </c>
      <c r="T218" s="57">
        <f>513.02211601607*Deflactores!$Q$5</f>
        <v>889.53823758230612</v>
      </c>
      <c r="U218" s="57">
        <f>562.3983082129*Deflactores!$R$5</f>
        <v>936.8359129508998</v>
      </c>
      <c r="V218" s="57">
        <f>732.78622770376*Deflactores!$S$5</f>
        <v>1183.0450971612913</v>
      </c>
      <c r="W218" s="56"/>
    </row>
    <row r="219" spans="3:23" x14ac:dyDescent="0.2">
      <c r="C219" s="87" t="s">
        <v>135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</row>
    <row r="220" spans="3:23" x14ac:dyDescent="0.2">
      <c r="C220" s="88" t="s">
        <v>136</v>
      </c>
      <c r="D220" s="57">
        <f>718.21287463968*Deflactores!$A$5</f>
        <v>2680.3098114805853</v>
      </c>
      <c r="E220" s="57">
        <f>864.26322158208*Deflactores!$B$5</f>
        <v>2996.1989697124191</v>
      </c>
      <c r="F220" s="57">
        <f>845.281439885219*Deflactores!$C$5</f>
        <v>2738.8944330635377</v>
      </c>
      <c r="G220" s="57">
        <f>877.95683123884*Deflactores!$D$5</f>
        <v>2671.3619869938825</v>
      </c>
      <c r="H220" s="57">
        <f>1024.64514130099*Deflactores!$E$5</f>
        <v>2955.2418294221211</v>
      </c>
      <c r="I220" s="57">
        <f>1301.0884302723*Deflactores!$F$5</f>
        <v>3578.7925575344816</v>
      </c>
      <c r="J220" s="57">
        <f>2097.63983424213*Deflactores!$G$5</f>
        <v>5522.5034580172796</v>
      </c>
      <c r="K220" s="57">
        <f>2743.43158082295*Deflactores!$H$5</f>
        <v>6833.559484137766</v>
      </c>
      <c r="L220" s="57">
        <f>3894.97751457531*Deflactores!$I$5</f>
        <v>9010.4287202058786</v>
      </c>
      <c r="M220" s="57">
        <f>4572.26997866078*Deflactores!$J$5</f>
        <v>10369.659522762475</v>
      </c>
      <c r="N220" s="57">
        <f>4779.42855508494*Deflactores!$K$5</f>
        <v>10506.305604254223</v>
      </c>
      <c r="O220" s="57">
        <f>4412.6075730229*Deflactores!$L$5</f>
        <v>9351.4479738376849</v>
      </c>
      <c r="P220" s="57">
        <f>5803.6491555047*Deflactores!$M$5</f>
        <v>12006.464376874115</v>
      </c>
      <c r="Q220" s="57">
        <f>7021.98178589549*Deflactores!$N$5</f>
        <v>14250.465649205491</v>
      </c>
      <c r="R220" s="57">
        <f>7665.80308278757*Deflactores!$O$5</f>
        <v>15007.757771957809</v>
      </c>
      <c r="S220" s="57">
        <f>8941.56216394183*Deflactores!$P$5</f>
        <v>16395.411073415278</v>
      </c>
      <c r="T220" s="57">
        <f>8014.04712896545*Deflactores!$Q$5</f>
        <v>13895.699885924923</v>
      </c>
      <c r="U220" s="57">
        <f>8955.62195862728*Deflactores!$R$5</f>
        <v>14918.160583224295</v>
      </c>
      <c r="V220" s="57">
        <f>9018.34166360566*Deflactores!$S$5</f>
        <v>14559.641661233882</v>
      </c>
      <c r="W220" s="56"/>
    </row>
    <row r="221" spans="3:23" x14ac:dyDescent="0.2">
      <c r="C221" s="87" t="s">
        <v>137</v>
      </c>
      <c r="D221" s="56">
        <f>20.77944408432*Deflactores!$A$5</f>
        <v>77.547130973190761</v>
      </c>
      <c r="E221" s="56">
        <f>25.73290710087*Deflactores!$B$5</f>
        <v>89.209985821443098</v>
      </c>
      <c r="F221" s="56">
        <f>28.47007463664*Deflactores!$C$5</f>
        <v>92.249190922475677</v>
      </c>
      <c r="G221" s="56">
        <f>22.12272885689*Deflactores!$D$5</f>
        <v>67.312896049203999</v>
      </c>
      <c r="H221" s="56">
        <f>44.9163779731599*Deflactores!$E$5</f>
        <v>129.54607762437479</v>
      </c>
      <c r="I221" s="56">
        <f>134.31068601913*Deflactores!$F$5</f>
        <v>369.43690554685458</v>
      </c>
      <c r="J221" s="56">
        <f>70.09370745139*Deflactores!$G$5</f>
        <v>184.53727635536069</v>
      </c>
      <c r="K221" s="56">
        <f>79.6700816598*Deflactores!$H$5</f>
        <v>198.44863124490365</v>
      </c>
      <c r="L221" s="56">
        <f>109.749520816189*Deflactores!$I$5</f>
        <v>253.88856050914742</v>
      </c>
      <c r="M221" s="56">
        <f>101.23946465667*Deflactores!$J$5</f>
        <v>229.60559714452938</v>
      </c>
      <c r="N221" s="56">
        <f>126.74894218223*Deflactores!$K$5</f>
        <v>278.62392046130105</v>
      </c>
      <c r="O221" s="56">
        <f>149.46853691812*Deflactores!$L$5</f>
        <v>316.76219187510844</v>
      </c>
      <c r="P221" s="56">
        <f>173.546596279419*Deflactores!$M$5</f>
        <v>359.0294606248292</v>
      </c>
      <c r="Q221" s="56">
        <f>201.10007995124*Deflactores!$N$5</f>
        <v>408.11410065942817</v>
      </c>
      <c r="R221" s="56">
        <f>370.604376066579*Deflactores!$O$5</f>
        <v>725.55225397366303</v>
      </c>
      <c r="S221" s="56">
        <f>194.927242185719*Deflactores!$P$5</f>
        <v>357.42213792686334</v>
      </c>
      <c r="T221" s="56">
        <f>160.832958985449*Deflactores!$Q$5</f>
        <v>278.87114885429656</v>
      </c>
      <c r="U221" s="56">
        <f>171.64058285422*Deflactores!$R$5</f>
        <v>285.91668891860553</v>
      </c>
      <c r="V221" s="56">
        <f>423.475557647899*Deflactores!$S$5</f>
        <v>683.67917313741304</v>
      </c>
      <c r="W221" s="56"/>
    </row>
    <row r="222" spans="3:23" x14ac:dyDescent="0.2">
      <c r="C222" s="88" t="s">
        <v>138</v>
      </c>
      <c r="D222" s="57">
        <f>7.24496737172*Deflactores!$A$5</f>
        <v>27.037606559225235</v>
      </c>
      <c r="E222" s="57">
        <f>20.17112825247*Deflactores!$B$5</f>
        <v>69.928596032763096</v>
      </c>
      <c r="F222" s="57">
        <f>4.38859275891*Deflactores!$C$5</f>
        <v>14.219988407640578</v>
      </c>
      <c r="G222" s="57">
        <f>2.28970573560999*Deflactores!$D$5</f>
        <v>6.9668947787324855</v>
      </c>
      <c r="H222" s="57">
        <f>7.12534524595*Deflactores!$E$5</f>
        <v>20.550644775584754</v>
      </c>
      <c r="I222" s="57">
        <f>3.15838128155*Deflactores!$F$5</f>
        <v>8.687488998654576</v>
      </c>
      <c r="J222" s="57">
        <f>2.11638848706*Deflactores!$G$5</f>
        <v>5.5718634569692744</v>
      </c>
      <c r="K222" s="57">
        <f>30.60837305353*Deflactores!$H$5</f>
        <v>76.241791279239266</v>
      </c>
      <c r="L222" s="57">
        <f>62.4726873660299*Deflactores!$I$5</f>
        <v>144.52091041986293</v>
      </c>
      <c r="M222" s="57">
        <f>19.4183777286499*Deflactores!$J$5</f>
        <v>44.039824085250586</v>
      </c>
      <c r="N222" s="57">
        <f>21.59827802569*Deflactores!$K$5</f>
        <v>47.4780838019065</v>
      </c>
      <c r="O222" s="57">
        <f>17.8279177389099*Deflactores!$L$5</f>
        <v>37.781933348553558</v>
      </c>
      <c r="P222" s="57">
        <f>53.97807110646*Deflactores!$M$5</f>
        <v>111.66867095289305</v>
      </c>
      <c r="Q222" s="57">
        <f>32.26212360938*Deflactores!$N$5</f>
        <v>65.473010082332578</v>
      </c>
      <c r="R222" s="57">
        <f>12.17846894599*Deflactores!$O$5</f>
        <v>23.842448077633865</v>
      </c>
      <c r="S222" s="57">
        <f>12.17252577943*Deflactores!$P$5</f>
        <v>22.319764745394206</v>
      </c>
      <c r="T222" s="57">
        <f>8.00388973008*Deflactores!$Q$5</f>
        <v>13.878087790030989</v>
      </c>
      <c r="U222" s="57">
        <f>6.77227321476*Deflactores!$R$5</f>
        <v>11.281166154398974</v>
      </c>
      <c r="V222" s="57">
        <f>6.81710210028*Deflactores!$S$5</f>
        <v>11.005855339088837</v>
      </c>
      <c r="W222" s="56"/>
    </row>
    <row r="223" spans="3:23" x14ac:dyDescent="0.2">
      <c r="C223" s="87" t="s">
        <v>139</v>
      </c>
      <c r="D223" s="56">
        <f>71.2512946188*Deflactores!$A$5</f>
        <v>265.90381597276985</v>
      </c>
      <c r="E223" s="56">
        <f>121.63396262124*Deflactores!$B$5</f>
        <v>421.67657304758626</v>
      </c>
      <c r="F223" s="56">
        <f>97.69612731028*Deflactores!$C$5</f>
        <v>316.55655335142245</v>
      </c>
      <c r="G223" s="56">
        <f>89.00476583863*Deflactores!$D$5</f>
        <v>270.81507844424573</v>
      </c>
      <c r="H223" s="56">
        <f>95.98804812384*Deflactores!$E$5</f>
        <v>276.84501053699717</v>
      </c>
      <c r="I223" s="56">
        <f>125.03447486157*Deflactores!$F$5</f>
        <v>343.92162566242257</v>
      </c>
      <c r="J223" s="56">
        <f>186.9996999458*Deflactores!$G$5</f>
        <v>492.31830590783358</v>
      </c>
      <c r="K223" s="56">
        <f>377.98799618666*Deflactores!$H$5</f>
        <v>941.52282648024129</v>
      </c>
      <c r="L223" s="56">
        <f>366.724692972789*Deflactores!$I$5</f>
        <v>848.36091957028691</v>
      </c>
      <c r="M223" s="56">
        <f>555.61148729536*Deflactores!$J$5</f>
        <v>1260.0966209515254</v>
      </c>
      <c r="N223" s="56">
        <f>322.784660748929*Deflactores!$K$5</f>
        <v>709.55643569265601</v>
      </c>
      <c r="O223" s="56">
        <f>1837.69771958284*Deflactores!$L$5</f>
        <v>3894.5531257714438</v>
      </c>
      <c r="P223" s="56">
        <f>297.412739599029*Deflactores!$M$5</f>
        <v>615.28107015865044</v>
      </c>
      <c r="Q223" s="56">
        <f>430.8283247003*Deflactores!$N$5</f>
        <v>874.32642650516709</v>
      </c>
      <c r="R223" s="56">
        <f>431.36495485138*Deflactores!$O$5</f>
        <v>844.50652903634284</v>
      </c>
      <c r="S223" s="56">
        <f>511.373278225449*Deflactores!$P$5</f>
        <v>937.66334727019216</v>
      </c>
      <c r="T223" s="56">
        <f>374.90768523261*Deflactores!$Q$5</f>
        <v>650.05915177237978</v>
      </c>
      <c r="U223" s="56">
        <f>299.483204839969*Deflactores!$R$5</f>
        <v>498.87529447101957</v>
      </c>
      <c r="V223" s="56">
        <f>170.52609260397*Deflactores!$S$5</f>
        <v>275.30547131783101</v>
      </c>
      <c r="W223" s="56"/>
    </row>
    <row r="224" spans="3:23" x14ac:dyDescent="0.2">
      <c r="C224" s="88" t="s">
        <v>140</v>
      </c>
      <c r="D224" s="57">
        <f>195.61822388637*Deflactores!$A$5</f>
        <v>730.03069605245935</v>
      </c>
      <c r="E224" s="57">
        <f>363.318579015919*Deflactores!$B$5</f>
        <v>1259.5407567293937</v>
      </c>
      <c r="F224" s="57">
        <f>205.32052735121*Deflactores!$C$5</f>
        <v>665.2828547048905</v>
      </c>
      <c r="G224" s="57">
        <f>289.50881697081*Deflactores!$D$5</f>
        <v>880.88937979343507</v>
      </c>
      <c r="H224" s="57">
        <f>542.0916073189*Deflactores!$E$5</f>
        <v>1563.4796172394013</v>
      </c>
      <c r="I224" s="57">
        <f>520.16111077437*Deflactores!$F$5</f>
        <v>1430.7626358406612</v>
      </c>
      <c r="J224" s="57">
        <f>623.315397549739*Deflactores!$G$5</f>
        <v>1641.0164329509535</v>
      </c>
      <c r="K224" s="57">
        <f>2262.41722930846*Deflactores!$H$5</f>
        <v>5635.4103461110753</v>
      </c>
      <c r="L224" s="57">
        <f>1534.98696702197*Deflactores!$I$5</f>
        <v>3550.9551983394508</v>
      </c>
      <c r="M224" s="57">
        <f>6288.69592941564*Deflactores!$J$5</f>
        <v>14262.420183972388</v>
      </c>
      <c r="N224" s="57">
        <f>1187.811498224*Deflactores!$K$5</f>
        <v>2611.0884296640834</v>
      </c>
      <c r="O224" s="57">
        <f>1929.6361863134*Deflactores!$L$5</f>
        <v>4089.3943334241458</v>
      </c>
      <c r="P224" s="57">
        <f>2241.41150176858*Deflactores!$M$5</f>
        <v>4636.9838404816674</v>
      </c>
      <c r="Q224" s="57">
        <f>2656.92605572163*Deflactores!$N$5</f>
        <v>5391.9868555614103</v>
      </c>
      <c r="R224" s="57">
        <f>2165.51482300643*Deflactores!$O$5</f>
        <v>4239.5456241548227</v>
      </c>
      <c r="S224" s="57">
        <f>2384.03076015752*Deflactores!$P$5</f>
        <v>4371.4021787013917</v>
      </c>
      <c r="T224" s="57">
        <f>2387.70491730661*Deflactores!$Q$5</f>
        <v>4140.0843310641931</v>
      </c>
      <c r="U224" s="57">
        <f>2615.70326519034*Deflactores!$R$5</f>
        <v>4357.2050638630171</v>
      </c>
      <c r="V224" s="57">
        <f>3230.78175839413*Deflactores!$S$5</f>
        <v>5215.9284314653878</v>
      </c>
      <c r="W224" s="56"/>
    </row>
    <row r="225" spans="2:23" x14ac:dyDescent="0.2">
      <c r="C225" s="87" t="s">
        <v>141</v>
      </c>
      <c r="D225" s="56">
        <f>0.50997717775*Deflactores!$A$5</f>
        <v>1.90319177143721</v>
      </c>
      <c r="E225" s="56">
        <f>2.01979671507*Deflactores!$B$5</f>
        <v>7.0021640231818258</v>
      </c>
      <c r="F225" s="56">
        <f>1.23149935904999*Deflactores!$C$5</f>
        <v>3.9903239083083921</v>
      </c>
      <c r="G225" s="56">
        <f>1.65200836502*Deflactores!$D$5</f>
        <v>5.0265710015414138</v>
      </c>
      <c r="H225" s="56">
        <f>3.22899349088999*Deflactores!$E$5</f>
        <v>9.312937959276141</v>
      </c>
      <c r="I225" s="56">
        <f>3.07963480564999*Deflactores!$F$5</f>
        <v>8.4708878089690725</v>
      </c>
      <c r="J225" s="56">
        <f>13.57879981068*Deflactores!$G$5</f>
        <v>35.749210939874217</v>
      </c>
      <c r="K225" s="56">
        <f>18.98929350189*Deflactores!$H$5</f>
        <v>47.300055745509241</v>
      </c>
      <c r="L225" s="56">
        <f>25.9493086861799*Deflactores!$I$5</f>
        <v>60.02971657230151</v>
      </c>
      <c r="M225" s="56">
        <f>43.61357929084*Deflactores!$J$5</f>
        <v>98.913224705834594</v>
      </c>
      <c r="N225" s="56">
        <f>45.57912019648*Deflactores!$K$5</f>
        <v>100.19360273683266</v>
      </c>
      <c r="O225" s="56">
        <f>33.7722522734399*Deflactores!$L$5</f>
        <v>71.572070452220046</v>
      </c>
      <c r="P225" s="56">
        <f>51.5931416035099*Deflactores!$M$5</f>
        <v>106.73478016258453</v>
      </c>
      <c r="Q225" s="56">
        <f>63.4935462330899*Deflactores!$N$5</f>
        <v>128.8543073920122</v>
      </c>
      <c r="R225" s="56">
        <f>42.9919971538*Deflactores!$O$5</f>
        <v>84.167760696287871</v>
      </c>
      <c r="S225" s="56">
        <f>37.2615806565999*Deflactores!$P$5</f>
        <v>68.323512257600285</v>
      </c>
      <c r="T225" s="56">
        <f>45.0617977053662*Deflactores!$Q$5</f>
        <v>78.133458308581496</v>
      </c>
      <c r="U225" s="56">
        <f>163.5910267423*Deflactores!$R$5</f>
        <v>272.50784124101733</v>
      </c>
      <c r="V225" s="56">
        <f>187.07936476754*Deflactores!$S$5</f>
        <v>302.02986478310339</v>
      </c>
      <c r="W225" s="56"/>
    </row>
    <row r="226" spans="2:23" x14ac:dyDescent="0.2">
      <c r="C226" s="88" t="s">
        <v>142</v>
      </c>
      <c r="D226" s="57">
        <f>70.63357127525*Deflactores!$A$5</f>
        <v>263.59852460727001</v>
      </c>
      <c r="E226" s="57">
        <f>235.63606969175*Deflactores!$B$5</f>
        <v>816.89528329703944</v>
      </c>
      <c r="F226" s="57">
        <f>74.8456918235799*Deflactores!$C$5</f>
        <v>242.5162070306765</v>
      </c>
      <c r="G226" s="57">
        <f>71.21573308882*Deflactores!$D$5</f>
        <v>216.68833304814544</v>
      </c>
      <c r="H226" s="57">
        <f>158.973680149549*Deflactores!$E$5</f>
        <v>458.5057308314652</v>
      </c>
      <c r="I226" s="57">
        <f>49.29369756039*Deflactores!$F$5</f>
        <v>135.58795379154878</v>
      </c>
      <c r="J226" s="57">
        <f>74.1701642299499*Deflactores!$G$5</f>
        <v>195.26945558296799</v>
      </c>
      <c r="K226" s="57">
        <f>153.581341325569*Deflactores!$H$5</f>
        <v>382.5527266428565</v>
      </c>
      <c r="L226" s="57">
        <f>175.71901463452*Deflactores!$I$5</f>
        <v>406.49879241261596</v>
      </c>
      <c r="M226" s="57">
        <f>330.115466509639*Deflactores!$J$5</f>
        <v>748.68391562160286</v>
      </c>
      <c r="N226" s="57">
        <f>329.01173752047*Deflactores!$K$5</f>
        <v>723.24501181194046</v>
      </c>
      <c r="O226" s="57">
        <f>288.39815569576*Deflactores!$L$5</f>
        <v>611.1897113234736</v>
      </c>
      <c r="P226" s="57">
        <f>461.475308407236*Deflactores!$M$5</f>
        <v>954.69017901318034</v>
      </c>
      <c r="Q226" s="57">
        <f>292.20892426328*Deflactores!$N$5</f>
        <v>593.01111346789469</v>
      </c>
      <c r="R226" s="57">
        <f>237.31708894872*Deflactores!$O$5</f>
        <v>464.60851493636682</v>
      </c>
      <c r="S226" s="57">
        <f>160.945413628413*Deflactores!$P$5</f>
        <v>295.11243879284308</v>
      </c>
      <c r="T226" s="57">
        <f>207.35384785543*Deflactores!$Q$5</f>
        <v>359.53455147234069</v>
      </c>
      <c r="U226" s="57">
        <f>226.89264958024*Deflactores!$R$5</f>
        <v>377.95487540991348</v>
      </c>
      <c r="V226" s="57">
        <f>186.76520905418*Deflactores!$S$5</f>
        <v>301.52267678968218</v>
      </c>
      <c r="W226" s="56"/>
    </row>
    <row r="227" spans="2:23" x14ac:dyDescent="0.2">
      <c r="C227" s="87" t="s">
        <v>143</v>
      </c>
      <c r="D227" s="56">
        <f>478.573798976619*Deflactores!$A$5</f>
        <v>1785.9970131530984</v>
      </c>
      <c r="E227" s="56">
        <f>385.81379488361*Deflactores!$B$5</f>
        <v>1337.5264223497063</v>
      </c>
      <c r="F227" s="56">
        <f>537.47258786779*Deflactores!$C$5</f>
        <v>1741.5272705328032</v>
      </c>
      <c r="G227" s="56">
        <f>451.080899457589*Deflactores!$D$5</f>
        <v>1372.5052587946702</v>
      </c>
      <c r="H227" s="56">
        <f>473.59513337546*Deflactores!$E$5</f>
        <v>1365.9247401347684</v>
      </c>
      <c r="I227" s="56">
        <f>452.902909477739*Deflactores!$F$5</f>
        <v>1245.761259582813</v>
      </c>
      <c r="J227" s="56">
        <f>40.8277992175699*Deflactores!$G$5</f>
        <v>107.48826308579666</v>
      </c>
      <c r="K227" s="56">
        <f>115.79532016356*Deflactores!$H$5</f>
        <v>288.43227359987571</v>
      </c>
      <c r="L227" s="56">
        <f>49.31787309361*Deflactores!$I$5</f>
        <v>114.08927997125672</v>
      </c>
      <c r="M227" s="56">
        <f>32.04724265598*Deflactores!$J$5</f>
        <v>72.681402571770093</v>
      </c>
      <c r="N227" s="56">
        <f>45.79105077182*Deflactores!$K$5</f>
        <v>100.65947587746963</v>
      </c>
      <c r="O227" s="56">
        <f>56.45846049696*Deflactores!$L$5</f>
        <v>119.64996825190181</v>
      </c>
      <c r="P227" s="56">
        <f>70.5414569754*Deflactores!$M$5</f>
        <v>145.93464690480329</v>
      </c>
      <c r="Q227" s="56">
        <f>100.732296572849*Deflactores!$N$5</f>
        <v>204.42692331676312</v>
      </c>
      <c r="R227" s="56">
        <f>97.04198805532*Deflactores!$O$5</f>
        <v>189.98435450469086</v>
      </c>
      <c r="S227" s="56">
        <f>66.81325477469*Deflactores!$P$5</f>
        <v>122.50999960626064</v>
      </c>
      <c r="T227" s="56">
        <f>62.10434169297*Deflactores!$Q$5</f>
        <v>107.68383064024358</v>
      </c>
      <c r="U227" s="56">
        <f>51.98171971707*Deflactores!$R$5</f>
        <v>86.59048424708979</v>
      </c>
      <c r="V227" s="56">
        <f>78.4672454852099*Deflactores!$S$5</f>
        <v>126.68127012965248</v>
      </c>
      <c r="W227" s="56"/>
    </row>
    <row r="228" spans="2:23" x14ac:dyDescent="0.2">
      <c r="C228" s="88" t="s">
        <v>144</v>
      </c>
      <c r="D228" s="57">
        <f>3.30990141816*Deflactores!$A$5</f>
        <v>12.352272646989965</v>
      </c>
      <c r="E228" s="57">
        <f>34.91933000916*Deflactores!$B$5</f>
        <v>121.05717099123</v>
      </c>
      <c r="F228" s="57">
        <f>15.15585196482*Deflactores!$C$5</f>
        <v>49.108233797748198</v>
      </c>
      <c r="G228" s="57">
        <f>15.02365065738*Deflactores!$D$5</f>
        <v>45.712508683792691</v>
      </c>
      <c r="H228" s="57">
        <f>24.71888923175*Deflactores!$E$5</f>
        <v>71.29326289662373</v>
      </c>
      <c r="I228" s="57">
        <f>25.54293371844*Deflactores!$F$5</f>
        <v>70.258761020585027</v>
      </c>
      <c r="J228" s="57">
        <f>39.96841163936*Deflactores!$G$5</f>
        <v>105.22573412588302</v>
      </c>
      <c r="K228" s="57">
        <f>51.29681523284*Deflactores!$H$5</f>
        <v>127.77422287137361</v>
      </c>
      <c r="L228" s="57">
        <f>60.72293143023*Deflactores!$I$5</f>
        <v>140.473120393275</v>
      </c>
      <c r="M228" s="57">
        <f>58.95885193803*Deflactores!$J$5</f>
        <v>133.7154680943425</v>
      </c>
      <c r="N228" s="57">
        <f>56.35410637401*Deflactores!$K$5</f>
        <v>123.87955103755652</v>
      </c>
      <c r="O228" s="57">
        <f>35.96286998739*Deflactores!$L$5</f>
        <v>76.214551625441118</v>
      </c>
      <c r="P228" s="57">
        <f>38.0838349023699*Deflactores!$M$5</f>
        <v>78.787017415820259</v>
      </c>
      <c r="Q228" s="57">
        <f>104.62414360902*Deflactores!$N$5</f>
        <v>212.32506862558697</v>
      </c>
      <c r="R228" s="57">
        <f>116.67564795315*Deflactores!$O$5</f>
        <v>228.42223358160635</v>
      </c>
      <c r="S228" s="57">
        <f>66.749551135*Deflactores!$P$5</f>
        <v>122.39319145345239</v>
      </c>
      <c r="T228" s="57">
        <f>58.830486963*Deflactores!$Q$5</f>
        <v>102.00723527392063</v>
      </c>
      <c r="U228" s="57">
        <f>89.7059556029899*Deflactores!$R$5</f>
        <v>149.43103417488601</v>
      </c>
      <c r="V228" s="57">
        <f>114.282096487289*Deflactores!$S$5</f>
        <v>184.50247675404989</v>
      </c>
      <c r="W228" s="56"/>
    </row>
    <row r="229" spans="2:23" x14ac:dyDescent="0.2">
      <c r="C229" s="87" t="s">
        <v>145</v>
      </c>
      <c r="D229" s="56">
        <f>6.46794301177*Deflactores!$A$5</f>
        <v>24.137817249853335</v>
      </c>
      <c r="E229" s="56">
        <f>0.092233314*Deflactores!$B$5</f>
        <v>0.31975138300353656</v>
      </c>
      <c r="F229" s="56">
        <f>0.061303668*Deflactores!$C$5</f>
        <v>0.19863712497268968</v>
      </c>
      <c r="G229" s="56">
        <f>4.482766776*Deflactores!$D$5</f>
        <v>13.639728442078502</v>
      </c>
      <c r="H229" s="56">
        <f>8.925352765*Deflactores!$E$5</f>
        <v>25.742156743149241</v>
      </c>
      <c r="I229" s="56">
        <f>53.421271057*Deflactores!$F$5</f>
        <v>146.94131684255441</v>
      </c>
      <c r="J229" s="56">
        <f>86.70101822622*Deflactores!$G$5</f>
        <v>228.25971606365417</v>
      </c>
      <c r="K229" s="56">
        <f>5.158753478*Deflactores!$H$5</f>
        <v>12.849837044356258</v>
      </c>
      <c r="L229" s="56">
        <f>67.277743976*Deflactores!$I$5</f>
        <v>155.63666652337676</v>
      </c>
      <c r="M229" s="56">
        <f>49.2395479505*Deflactores!$J$5</f>
        <v>111.67261550267773</v>
      </c>
      <c r="N229" s="56">
        <f>49.362647968*Deflactores!$K$5</f>
        <v>108.5106847000059</v>
      </c>
      <c r="O229" s="56">
        <f>30.99865425609*Deflactores!$L$5</f>
        <v>65.694104390121652</v>
      </c>
      <c r="P229" s="56">
        <f>42.38621083284*Deflactores!$M$5</f>
        <v>87.687680078399438</v>
      </c>
      <c r="Q229" s="56">
        <f>45.82001927172*Deflactores!$N$5</f>
        <v>92.987511301883856</v>
      </c>
      <c r="R229" s="56">
        <f>43.98351716436*Deflactores!$O$5</f>
        <v>86.108913108348318</v>
      </c>
      <c r="S229" s="56">
        <f>43.91209795516*Deflactores!$P$5</f>
        <v>80.518021780831461</v>
      </c>
      <c r="T229" s="56">
        <f>50.19785864576*Deflactores!$Q$5</f>
        <v>87.038966383968457</v>
      </c>
      <c r="U229" s="56">
        <f>67.9554022781*Deflactores!$R$5</f>
        <v>113.19924047326499</v>
      </c>
      <c r="V229" s="56">
        <f>69.8594663844*Deflactores!$S$5</f>
        <v>112.78446028570795</v>
      </c>
      <c r="W229" s="56"/>
    </row>
    <row r="230" spans="2:23" x14ac:dyDescent="0.2">
      <c r="C230" s="88" t="s">
        <v>146</v>
      </c>
      <c r="D230" s="57">
        <f>3.21439404988999*Deflactores!$A$5</f>
        <v>11.995847212022337</v>
      </c>
      <c r="E230" s="57">
        <f>4.15648078777*Deflactores!$B$5</f>
        <v>14.409549247217623</v>
      </c>
      <c r="F230" s="57">
        <f>1.17608422715*Deflactores!$C$5</f>
        <v>3.8107669121332792</v>
      </c>
      <c r="G230" s="57">
        <f>2.72121537173*Deflactores!$D$5</f>
        <v>8.279850493566455</v>
      </c>
      <c r="H230" s="57">
        <f>2.29439912359*Deflactores!$E$5</f>
        <v>6.6174170843316826</v>
      </c>
      <c r="I230" s="57">
        <f>4.06416115487*Deflactores!$F$5</f>
        <v>11.178940151381926</v>
      </c>
      <c r="J230" s="57">
        <f>4.29933402766*Deflactores!$G$5</f>
        <v>11.318953162186684</v>
      </c>
      <c r="K230" s="57">
        <f>3.76203384482*Deflactores!$H$5</f>
        <v>9.3707757246875811</v>
      </c>
      <c r="L230" s="57">
        <f>7.25781744755*Deflactores!$I$5</f>
        <v>16.789839358686596</v>
      </c>
      <c r="M230" s="57">
        <f>9.4035134516*Deflactores!$J$5</f>
        <v>21.326656839141869</v>
      </c>
      <c r="N230" s="57">
        <f>11.7246408356*Deflactores!$K$5</f>
        <v>25.773512104888656</v>
      </c>
      <c r="O230" s="57">
        <f>11.0856960125892*Deflactores!$L$5</f>
        <v>23.493435072108497</v>
      </c>
      <c r="P230" s="57">
        <f>56.3440275460279*Deflactores!$M$5</f>
        <v>116.56331067830864</v>
      </c>
      <c r="Q230" s="57">
        <f>44.7565573076721*Deflactores!$N$5</f>
        <v>90.829313139316483</v>
      </c>
      <c r="R230" s="57">
        <f>50.8315086598214*Deflactores!$O$5</f>
        <v>99.515596854122251</v>
      </c>
      <c r="S230" s="57">
        <f>64.8400880475273*Deflactores!$P$5</f>
        <v>118.89196519403259</v>
      </c>
      <c r="T230" s="57">
        <f>76.245319800748*Deflactores!$Q$5</f>
        <v>132.20312591227975</v>
      </c>
      <c r="U230" s="57">
        <f>82.79957096354*Deflactores!$R$5</f>
        <v>137.92646692352116</v>
      </c>
      <c r="V230" s="57">
        <f>72.147775937515*Deflactores!$S$5</f>
        <v>116.47881655941028</v>
      </c>
      <c r="W230" s="56"/>
    </row>
    <row r="231" spans="2:23" x14ac:dyDescent="0.2">
      <c r="C231" s="90" t="s">
        <v>147</v>
      </c>
      <c r="D231" s="58">
        <f>878.59762666681*Deflactores!$A$5</f>
        <v>3278.8521652163968</v>
      </c>
      <c r="E231" s="58">
        <f>1438.52602774484*Deflactores!$B$5</f>
        <v>4987.0341518683408</v>
      </c>
      <c r="F231" s="58">
        <f>1215.45894303325*Deflactores!$C$5</f>
        <v>3938.3494959301456</v>
      </c>
      <c r="G231" s="58">
        <f>1278.77542820178*Deflactores!$D$5</f>
        <v>3890.933981320944</v>
      </c>
      <c r="H231" s="58">
        <f>1751.08751968309*Deflactores!$E$5</f>
        <v>5050.4188001867215</v>
      </c>
      <c r="I231" s="58">
        <f>2010.67097841978*Deflactores!$F$5</f>
        <v>5530.5805245791835</v>
      </c>
      <c r="J231" s="58">
        <f>2274.30174319385*Deflactores!$G$5</f>
        <v>5987.6052296177877</v>
      </c>
      <c r="K231" s="58">
        <f>2644.57921860708*Deflactores!$H$5</f>
        <v>6587.3300895096536</v>
      </c>
      <c r="L231" s="58">
        <f>2317.30194685782*Deflactores!$I$5</f>
        <v>5360.7200393898393</v>
      </c>
      <c r="M231" s="58">
        <f>2637.0894052911*Deflactores!$J$5</f>
        <v>5980.7752804576212</v>
      </c>
      <c r="N231" s="58">
        <f>3731.01549729052*Deflactores!$K$5</f>
        <v>8201.6476607936456</v>
      </c>
      <c r="O231" s="58">
        <f>3796.95894203751*Deflactores!$L$5</f>
        <v>8046.7305142517098</v>
      </c>
      <c r="P231" s="58">
        <f>5081.164751733*Deflactores!$M$5</f>
        <v>10511.804202851639</v>
      </c>
      <c r="Q231" s="58">
        <f>6417.92411705893*Deflactores!$N$5</f>
        <v>13024.586214829149</v>
      </c>
      <c r="R231" s="58">
        <f>7380.55780966715*Deflactores!$O$5</f>
        <v>14449.317655722718</v>
      </c>
      <c r="S231" s="58">
        <f>8272.28495713563*Deflactores!$P$5</f>
        <v>15168.212209674737</v>
      </c>
      <c r="T231" s="58">
        <f>8541.72378699712*Deflactores!$Q$5</f>
        <v>14810.647896439366</v>
      </c>
      <c r="U231" s="58">
        <f>4681.37189553516*Deflactores!$R$5</f>
        <v>7798.1694638315576</v>
      </c>
      <c r="V231" s="58">
        <f>4856.63202229209*Deflactores!$S$5</f>
        <v>7840.7787775890592</v>
      </c>
      <c r="W231" s="56"/>
    </row>
    <row r="232" spans="2:23" ht="22.5" customHeight="1" x14ac:dyDescent="0.2">
      <c r="C232" s="89" t="s">
        <v>148</v>
      </c>
      <c r="D232" s="59">
        <f>0*Deflactores!$A$5</f>
        <v>0</v>
      </c>
      <c r="E232" s="59">
        <f>0*Deflactores!$B$5</f>
        <v>0</v>
      </c>
      <c r="F232" s="59">
        <f>0*Deflactores!$C$5</f>
        <v>0</v>
      </c>
      <c r="G232" s="59">
        <f>0*Deflactores!$D$5</f>
        <v>0</v>
      </c>
      <c r="H232" s="59">
        <f>0*Deflactores!$E$5</f>
        <v>0</v>
      </c>
      <c r="I232" s="59">
        <f>0*Deflactores!$F$5</f>
        <v>0</v>
      </c>
      <c r="J232" s="59">
        <f>0*Deflactores!$G$5</f>
        <v>0</v>
      </c>
      <c r="K232" s="59">
        <f>0*Deflactores!$H$5</f>
        <v>0</v>
      </c>
      <c r="L232" s="59">
        <f>0*Deflactores!$I$5</f>
        <v>0</v>
      </c>
      <c r="M232" s="59">
        <f>0*Deflactores!$J$5</f>
        <v>0</v>
      </c>
      <c r="N232" s="59">
        <f>0*Deflactores!$K$5</f>
        <v>0</v>
      </c>
      <c r="O232" s="59">
        <f>0*Deflactores!$L$5</f>
        <v>0</v>
      </c>
      <c r="P232" s="59">
        <f>0*Deflactores!$M$5</f>
        <v>0</v>
      </c>
      <c r="Q232" s="59">
        <f>0*Deflactores!$N$5</f>
        <v>0</v>
      </c>
      <c r="R232" s="59">
        <f>0*Deflactores!$O$5</f>
        <v>0</v>
      </c>
      <c r="S232" s="59">
        <f>0*Deflactores!$P$5</f>
        <v>0</v>
      </c>
      <c r="T232" s="59">
        <f>0*Deflactores!$Q$5</f>
        <v>0</v>
      </c>
      <c r="U232" s="59">
        <f>0*Deflactores!$R$5</f>
        <v>0</v>
      </c>
      <c r="V232" s="59">
        <f>12.311477938*Deflactores!$S$5</f>
        <v>19.876238202512237</v>
      </c>
      <c r="W232" s="56"/>
    </row>
    <row r="233" spans="2:23" x14ac:dyDescent="0.2">
      <c r="C233" s="87" t="s">
        <v>149</v>
      </c>
      <c r="D233" s="56">
        <f>70.77222704172*Deflactores!$A$5</f>
        <v>264.11597622142318</v>
      </c>
      <c r="E233" s="56">
        <f>65.54006019833*Deflactores!$B$5</f>
        <v>227.21209920475218</v>
      </c>
      <c r="F233" s="56">
        <f>30.08063461922*Deflactores!$C$5</f>
        <v>97.467753122306135</v>
      </c>
      <c r="G233" s="56">
        <f>7.18767991274*Deflactores!$D$5</f>
        <v>21.869976074426965</v>
      </c>
      <c r="H233" s="56">
        <f>108.86624710759*Deflactores!$E$5</f>
        <v>313.98781324045507</v>
      </c>
      <c r="I233" s="56">
        <f>50.89808838202*Deflactores!$F$5</f>
        <v>140.00101427093864</v>
      </c>
      <c r="J233" s="56">
        <f>132.76658405094*Deflactores!$G$5</f>
        <v>349.53756482001688</v>
      </c>
      <c r="K233" s="56">
        <f>253.37822816682*Deflactores!$H$5</f>
        <v>631.13481898608291</v>
      </c>
      <c r="L233" s="56">
        <f>250.42949043714*Deflactores!$I$5</f>
        <v>579.3299356870267</v>
      </c>
      <c r="M233" s="56">
        <f>414.23078004695*Deflactores!$J$5</f>
        <v>939.45286979604759</v>
      </c>
      <c r="N233" s="56">
        <f>349.11715396406*Deflactores!$K$5</f>
        <v>767.44143551042191</v>
      </c>
      <c r="O233" s="56">
        <f>528.0017893263*Deflactores!$L$5</f>
        <v>1118.9713069353143</v>
      </c>
      <c r="P233" s="56">
        <f>428.44097780168*Deflactores!$M$5</f>
        <v>886.34946733296181</v>
      </c>
      <c r="Q233" s="56">
        <f>775.45260526634*Deflactores!$N$5</f>
        <v>1573.7096806675413</v>
      </c>
      <c r="R233" s="56">
        <f>1158.31637178594*Deflactores!$O$5</f>
        <v>2267.6986798798703</v>
      </c>
      <c r="S233" s="56">
        <f>861.90654690102*Deflactores!$P$5</f>
        <v>1580.4075265837453</v>
      </c>
      <c r="T233" s="56">
        <f>916.889344831579*Deflactores!$Q$5</f>
        <v>1589.8108607737486</v>
      </c>
      <c r="U233" s="56">
        <f>873.98815849204*Deflactores!$R$5</f>
        <v>1455.8783026409985</v>
      </c>
      <c r="V233" s="56">
        <f>908.964528727519*Deflactores!$S$5</f>
        <v>1467.4757638039837</v>
      </c>
      <c r="W233" s="56"/>
    </row>
    <row r="234" spans="2:23" x14ac:dyDescent="0.2">
      <c r="C234" s="88" t="s">
        <v>150</v>
      </c>
      <c r="D234" s="57">
        <f>456.55228560835*Deflactores!$A$5</f>
        <v>1703.8145844765947</v>
      </c>
      <c r="E234" s="57">
        <f>1040.3849312907*Deflactores!$B$5</f>
        <v>3606.7718507462573</v>
      </c>
      <c r="F234" s="57">
        <f>581.47455495515*Deflactores!$C$5</f>
        <v>1884.1031476463243</v>
      </c>
      <c r="G234" s="57">
        <f>574.5736802995*Deflactores!$D$5</f>
        <v>1748.2571279882284</v>
      </c>
      <c r="H234" s="57">
        <f>709.52533218795*Deflactores!$E$5</f>
        <v>2046.3854813717542</v>
      </c>
      <c r="I234" s="57">
        <f>1013.30491506711*Deflactores!$F$5</f>
        <v>2787.2110797237092</v>
      </c>
      <c r="J234" s="57">
        <f>1388.51858200609*Deflactores!$G$5</f>
        <v>3655.5840261397111</v>
      </c>
      <c r="K234" s="57">
        <f>2027.24498967906*Deflactores!$H$5</f>
        <v>5049.6244640212681</v>
      </c>
      <c r="L234" s="57">
        <f>1709.10271139325*Deflactores!$I$5</f>
        <v>3953.7450726974462</v>
      </c>
      <c r="M234" s="57">
        <f>2421.86227268834*Deflactores!$J$5</f>
        <v>5492.6518547703272</v>
      </c>
      <c r="N234" s="57">
        <f>2405.66155366826*Deflactores!$K$5</f>
        <v>5288.2086575713183</v>
      </c>
      <c r="O234" s="57">
        <f>3380.09026371731*Deflactores!$L$5</f>
        <v>7163.2787926286965</v>
      </c>
      <c r="P234" s="57">
        <f>5332.07289356132*Deflactores!$M$5</f>
        <v>11030.877562734542</v>
      </c>
      <c r="Q234" s="57">
        <f>5420.34369781411*Deflactores!$N$5</f>
        <v>11000.088582932285</v>
      </c>
      <c r="R234" s="57">
        <f>5381.23630769837*Deflactores!$O$5</f>
        <v>10535.137694958155</v>
      </c>
      <c r="S234" s="57">
        <f>4681.28736398429*Deflactores!$P$5</f>
        <v>8583.6936855194435</v>
      </c>
      <c r="T234" s="57">
        <f>3315.06489311057*Deflactores!$Q$5</f>
        <v>5748.0504064588549</v>
      </c>
      <c r="U234" s="57">
        <f>3298.80780281824*Deflactores!$R$5</f>
        <v>5495.1118708430904</v>
      </c>
      <c r="V234" s="57">
        <f>3063.99095289962*Deflactores!$S$5</f>
        <v>4946.653386122106</v>
      </c>
      <c r="W234" s="56"/>
    </row>
    <row r="235" spans="2:23" x14ac:dyDescent="0.2">
      <c r="C235" s="87" t="s">
        <v>151</v>
      </c>
      <c r="D235" s="56">
        <f>63.953565918*Deflactores!$A$5</f>
        <v>238.6693085879073</v>
      </c>
      <c r="E235" s="56">
        <f>21.9711616745*Deflactores!$B$5</f>
        <v>76.168891986421229</v>
      </c>
      <c r="F235" s="56">
        <f>56.0764394204*Deflactores!$C$5</f>
        <v>181.69977537352997</v>
      </c>
      <c r="G235" s="56">
        <f>35.2659554043*Deflactores!$D$5</f>
        <v>107.30383243232612</v>
      </c>
      <c r="H235" s="56">
        <f>9.5346043585*Deflactores!$E$5</f>
        <v>27.499336591254711</v>
      </c>
      <c r="I235" s="56">
        <f>22.65820576873*Deflactores!$F$5</f>
        <v>62.323986814059175</v>
      </c>
      <c r="J235" s="56">
        <f>105.59388483823*Deflactores!$G$5</f>
        <v>277.99938990731982</v>
      </c>
      <c r="K235" s="56">
        <f>276.6781556009*Deflactores!$H$5</f>
        <v>689.17214756750775</v>
      </c>
      <c r="L235" s="56">
        <f>203.12475467744*Deflactores!$I$5</f>
        <v>469.89773791542399</v>
      </c>
      <c r="M235" s="56">
        <f>240.12921720191*Deflactores!$J$5</f>
        <v>544.59999857239927</v>
      </c>
      <c r="N235" s="56">
        <f>175.59608600289*Deflactores!$K$5</f>
        <v>386.00140606652138</v>
      </c>
      <c r="O235" s="56">
        <f>468.302105733759*Deflactores!$L$5</f>
        <v>992.45235506129472</v>
      </c>
      <c r="P235" s="56">
        <f>732.85055749066*Deflactores!$M$5</f>
        <v>1516.1054495753312</v>
      </c>
      <c r="Q235" s="56">
        <f>551.64323463517*Deflactores!$N$5</f>
        <v>1119.5091650017125</v>
      </c>
      <c r="R235" s="56">
        <f>713.7241593518*Deflactores!$O$5</f>
        <v>1397.2964324634033</v>
      </c>
      <c r="S235" s="56">
        <f>542.36887843788*Deflactores!$P$5</f>
        <v>994.4974437773302</v>
      </c>
      <c r="T235" s="56">
        <f>330.25736957812*Deflactores!$Q$5</f>
        <v>572.63916956337789</v>
      </c>
      <c r="U235" s="56">
        <f>357.64562416536*Deflactores!$R$5</f>
        <v>595.76150912070636</v>
      </c>
      <c r="V235" s="56">
        <f>347.59598352293*Deflactores!$S$5</f>
        <v>561.17556328583464</v>
      </c>
      <c r="W235" s="56"/>
    </row>
    <row r="236" spans="2:23" x14ac:dyDescent="0.2">
      <c r="C236" s="79" t="s">
        <v>202</v>
      </c>
      <c r="D236" s="44">
        <f t="shared" ref="D236:V236" si="62">+SUM(D207:D235)</f>
        <v>15583.176291320455</v>
      </c>
      <c r="E236" s="44">
        <f t="shared" si="62"/>
        <v>24909.914218737384</v>
      </c>
      <c r="F236" s="44">
        <f t="shared" si="62"/>
        <v>17814.743928915243</v>
      </c>
      <c r="G236" s="44">
        <f t="shared" si="62"/>
        <v>17329.589705494694</v>
      </c>
      <c r="H236" s="44">
        <f t="shared" si="62"/>
        <v>19807.963475892979</v>
      </c>
      <c r="I236" s="44">
        <f t="shared" si="62"/>
        <v>22420.952258232079</v>
      </c>
      <c r="J236" s="44">
        <f t="shared" si="62"/>
        <v>24363.003520624628</v>
      </c>
      <c r="K236" s="44">
        <f t="shared" si="62"/>
        <v>36520.064808301649</v>
      </c>
      <c r="L236" s="44">
        <f t="shared" si="62"/>
        <v>38285.482431690281</v>
      </c>
      <c r="M236" s="44">
        <f t="shared" si="62"/>
        <v>52115.665837671964</v>
      </c>
      <c r="N236" s="44">
        <f t="shared" si="62"/>
        <v>39821.69813098148</v>
      </c>
      <c r="O236" s="44">
        <f t="shared" si="62"/>
        <v>45759.671445429027</v>
      </c>
      <c r="P236" s="44">
        <f t="shared" si="62"/>
        <v>53548.231789407961</v>
      </c>
      <c r="Q236" s="44">
        <f t="shared" si="62"/>
        <v>62808.793509254021</v>
      </c>
      <c r="R236" s="44">
        <f t="shared" si="62"/>
        <v>63391.602210281315</v>
      </c>
      <c r="S236" s="44">
        <f t="shared" si="62"/>
        <v>61532.938304418625</v>
      </c>
      <c r="T236" s="44">
        <f t="shared" si="62"/>
        <v>51935.740184133356</v>
      </c>
      <c r="U236" s="44">
        <f t="shared" si="62"/>
        <v>48240.604909203154</v>
      </c>
      <c r="V236" s="44">
        <f t="shared" si="62"/>
        <v>47955.601959435255</v>
      </c>
    </row>
    <row r="237" spans="2:23" x14ac:dyDescent="0.2">
      <c r="C237" s="1" t="s">
        <v>52</v>
      </c>
      <c r="D237" s="12"/>
      <c r="E237" s="12"/>
      <c r="F237" s="12"/>
      <c r="G237" s="12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2:23" x14ac:dyDescent="0.2">
      <c r="B238" s="9"/>
    </row>
    <row r="241" spans="3:22" ht="18" customHeight="1" x14ac:dyDescent="0.2">
      <c r="C241" s="9"/>
      <c r="D241" s="164" t="s">
        <v>208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</row>
    <row r="242" spans="3:22" ht="5.25" customHeight="1" x14ac:dyDescent="0.2">
      <c r="H242" s="27"/>
      <c r="I242" s="27"/>
      <c r="J242" s="27"/>
      <c r="L242" s="179"/>
      <c r="M242" s="160"/>
      <c r="N242" s="160"/>
      <c r="O242" s="160"/>
      <c r="P242" s="160"/>
      <c r="Q242" s="160"/>
      <c r="R242" s="28"/>
      <c r="S242" s="28"/>
      <c r="T242" s="28"/>
      <c r="U242" s="28"/>
      <c r="V242" s="28"/>
    </row>
    <row r="243" spans="3:22" x14ac:dyDescent="0.2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3:22" ht="13.5" customHeight="1" x14ac:dyDescent="0.2">
      <c r="C244" s="181" t="s">
        <v>120</v>
      </c>
      <c r="D244" s="155">
        <v>2000</v>
      </c>
      <c r="E244" s="155">
        <v>2001</v>
      </c>
      <c r="F244" s="155">
        <v>2002</v>
      </c>
      <c r="G244" s="155">
        <v>2003</v>
      </c>
      <c r="H244" s="155">
        <v>2004</v>
      </c>
      <c r="I244" s="155">
        <v>2005</v>
      </c>
      <c r="J244" s="155">
        <v>2006</v>
      </c>
      <c r="K244" s="155">
        <v>2007</v>
      </c>
      <c r="L244" s="155">
        <v>2008</v>
      </c>
      <c r="M244" s="155">
        <v>2009</v>
      </c>
      <c r="N244" s="155">
        <v>2010</v>
      </c>
      <c r="O244" s="155">
        <v>2011</v>
      </c>
      <c r="P244" s="155">
        <v>2012</v>
      </c>
      <c r="Q244" s="155">
        <v>2013</v>
      </c>
      <c r="R244" s="155">
        <v>2014</v>
      </c>
      <c r="S244" s="155">
        <v>2015</v>
      </c>
      <c r="T244" s="155">
        <v>2016</v>
      </c>
      <c r="U244" s="155">
        <v>2017</v>
      </c>
      <c r="V244" s="155">
        <v>2018</v>
      </c>
    </row>
    <row r="245" spans="3:22" ht="12" customHeight="1" thickBot="1" x14ac:dyDescent="0.25">
      <c r="C245" s="162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</row>
    <row r="246" spans="3:22" x14ac:dyDescent="0.2">
      <c r="C246" s="87" t="s">
        <v>123</v>
      </c>
      <c r="D246" s="60">
        <f t="shared" ref="D246:V246" si="63">+IFERROR(IF(D207&gt;0,+((D207/D13)*100)," "),"")</f>
        <v>37.695382501558512</v>
      </c>
      <c r="E246" s="60">
        <f t="shared" si="63"/>
        <v>50.217159302731808</v>
      </c>
      <c r="F246" s="60">
        <f t="shared" si="63"/>
        <v>44.666918459517767</v>
      </c>
      <c r="G246" s="60">
        <f t="shared" si="63"/>
        <v>43.814127524745395</v>
      </c>
      <c r="H246" s="60">
        <f t="shared" si="63"/>
        <v>52.431766280127668</v>
      </c>
      <c r="I246" s="60">
        <f t="shared" si="63"/>
        <v>65.966372065240591</v>
      </c>
      <c r="J246" s="60">
        <f t="shared" si="63"/>
        <v>76.310324288114046</v>
      </c>
      <c r="K246" s="60">
        <f t="shared" si="63"/>
        <v>87.585188207760865</v>
      </c>
      <c r="L246" s="60">
        <f t="shared" si="63"/>
        <v>90.372722737369287</v>
      </c>
      <c r="M246" s="60">
        <f t="shared" si="63"/>
        <v>71.461358349737182</v>
      </c>
      <c r="N246" s="60">
        <f t="shared" si="63"/>
        <v>72.302371006847494</v>
      </c>
      <c r="O246" s="60">
        <f t="shared" si="63"/>
        <v>73.564576743233758</v>
      </c>
      <c r="P246" s="60">
        <f t="shared" si="63"/>
        <v>58.561920709315196</v>
      </c>
      <c r="Q246" s="60">
        <f t="shared" si="63"/>
        <v>59.321621017313809</v>
      </c>
      <c r="R246" s="60">
        <f t="shared" si="63"/>
        <v>53.008544884058018</v>
      </c>
      <c r="S246" s="60">
        <f t="shared" si="63"/>
        <v>53.667263820802994</v>
      </c>
      <c r="T246" s="60">
        <f t="shared" si="63"/>
        <v>40.713490007557631</v>
      </c>
      <c r="U246" s="60">
        <f t="shared" si="63"/>
        <v>54.799558989672526</v>
      </c>
      <c r="V246" s="60">
        <f t="shared" si="63"/>
        <v>53.034627494932849</v>
      </c>
    </row>
    <row r="247" spans="3:22" x14ac:dyDescent="0.2">
      <c r="C247" s="88" t="s">
        <v>124</v>
      </c>
      <c r="D247" s="62">
        <f t="shared" ref="D247:V247" si="64">+IFERROR(IF(D208&gt;0,+((D208/D14)*100)," "),"")</f>
        <v>21.965448000989333</v>
      </c>
      <c r="E247" s="62">
        <f t="shared" si="64"/>
        <v>46.811769892214237</v>
      </c>
      <c r="F247" s="62">
        <f t="shared" si="64"/>
        <v>41.158392487454726</v>
      </c>
      <c r="G247" s="62">
        <f t="shared" si="64"/>
        <v>39.081038067311681</v>
      </c>
      <c r="H247" s="62">
        <f t="shared" si="64"/>
        <v>15.735750514890956</v>
      </c>
      <c r="I247" s="62">
        <f t="shared" si="64"/>
        <v>29.400814456546286</v>
      </c>
      <c r="J247" s="62">
        <f t="shared" si="64"/>
        <v>29.599440403018573</v>
      </c>
      <c r="K247" s="62">
        <f t="shared" si="64"/>
        <v>78.083443551462565</v>
      </c>
      <c r="L247" s="62">
        <f t="shared" si="64"/>
        <v>30.967331670344834</v>
      </c>
      <c r="M247" s="62">
        <f t="shared" si="64"/>
        <v>25.627030484409179</v>
      </c>
      <c r="N247" s="62">
        <f t="shared" si="64"/>
        <v>49.612403314526091</v>
      </c>
      <c r="O247" s="62">
        <f t="shared" si="64"/>
        <v>80.599053863105198</v>
      </c>
      <c r="P247" s="62">
        <f t="shared" si="64"/>
        <v>69.814886172022796</v>
      </c>
      <c r="Q247" s="62">
        <f t="shared" si="64"/>
        <v>51.033653920823077</v>
      </c>
      <c r="R247" s="62">
        <f t="shared" si="64"/>
        <v>55.6135342234397</v>
      </c>
      <c r="S247" s="62">
        <f t="shared" si="64"/>
        <v>47.098505974010045</v>
      </c>
      <c r="T247" s="62">
        <f t="shared" si="64"/>
        <v>47.009710289691277</v>
      </c>
      <c r="U247" s="62">
        <f t="shared" si="64"/>
        <v>51.977688588450363</v>
      </c>
      <c r="V247" s="62">
        <f t="shared" si="64"/>
        <v>61.875444551023662</v>
      </c>
    </row>
    <row r="248" spans="3:22" x14ac:dyDescent="0.2">
      <c r="C248" s="87" t="s">
        <v>125</v>
      </c>
      <c r="D248" s="60">
        <f t="shared" ref="D248:V248" si="65">+IFERROR(IF(D209&gt;0,+((D209/D15)*100)," "),"")</f>
        <v>60.3886967411309</v>
      </c>
      <c r="E248" s="60">
        <f t="shared" si="65"/>
        <v>49.296107561265259</v>
      </c>
      <c r="F248" s="60">
        <f t="shared" si="65"/>
        <v>29.940145790694906</v>
      </c>
      <c r="G248" s="60">
        <f t="shared" si="65"/>
        <v>18.211423679428094</v>
      </c>
      <c r="H248" s="60">
        <f t="shared" si="65"/>
        <v>41.471657885409883</v>
      </c>
      <c r="I248" s="60">
        <f t="shared" si="65"/>
        <v>40.493980455974778</v>
      </c>
      <c r="J248" s="60">
        <f t="shared" si="65"/>
        <v>31.039083972286779</v>
      </c>
      <c r="K248" s="60">
        <f t="shared" si="65"/>
        <v>56.43890270594629</v>
      </c>
      <c r="L248" s="60">
        <f t="shared" si="65"/>
        <v>52.262415010577293</v>
      </c>
      <c r="M248" s="60">
        <f t="shared" si="65"/>
        <v>53.253141240836918</v>
      </c>
      <c r="N248" s="60">
        <f t="shared" si="65"/>
        <v>64.109691535495443</v>
      </c>
      <c r="O248" s="60">
        <f t="shared" si="65"/>
        <v>60.999650063014386</v>
      </c>
      <c r="P248" s="60">
        <f t="shared" si="65"/>
        <v>74.080908886874823</v>
      </c>
      <c r="Q248" s="60">
        <f t="shared" si="65"/>
        <v>86.30124621956476</v>
      </c>
      <c r="R248" s="60">
        <f t="shared" si="65"/>
        <v>79.154578023594865</v>
      </c>
      <c r="S248" s="60">
        <f t="shared" si="65"/>
        <v>47.621802803948334</v>
      </c>
      <c r="T248" s="60">
        <f t="shared" si="65"/>
        <v>78.529510000672971</v>
      </c>
      <c r="U248" s="60">
        <f t="shared" si="65"/>
        <v>88.178664485980946</v>
      </c>
      <c r="V248" s="60">
        <f t="shared" si="65"/>
        <v>59.722672579745272</v>
      </c>
    </row>
    <row r="249" spans="3:22" x14ac:dyDescent="0.2">
      <c r="C249" s="88" t="s">
        <v>126</v>
      </c>
      <c r="D249" s="62">
        <f t="shared" ref="D249:V249" si="66">+IFERROR(IF(D210&gt;0,+((D210/D16)*100)," "),"")</f>
        <v>9.983732516813868</v>
      </c>
      <c r="E249" s="62">
        <f t="shared" si="66"/>
        <v>30.867941826526735</v>
      </c>
      <c r="F249" s="62">
        <f t="shared" si="66"/>
        <v>14.380500847548463</v>
      </c>
      <c r="G249" s="62">
        <f t="shared" si="66"/>
        <v>34.908653642116263</v>
      </c>
      <c r="H249" s="62">
        <f t="shared" si="66"/>
        <v>31.867365538172205</v>
      </c>
      <c r="I249" s="62">
        <f t="shared" si="66"/>
        <v>33.999081640309484</v>
      </c>
      <c r="J249" s="62">
        <f t="shared" si="66"/>
        <v>47.779691789235244</v>
      </c>
      <c r="K249" s="62">
        <f t="shared" si="66"/>
        <v>76.24843678160687</v>
      </c>
      <c r="L249" s="62">
        <f t="shared" si="66"/>
        <v>72.230739659653835</v>
      </c>
      <c r="M249" s="62">
        <f t="shared" si="66"/>
        <v>64.806872698455294</v>
      </c>
      <c r="N249" s="62">
        <f t="shared" si="66"/>
        <v>64.243218594451676</v>
      </c>
      <c r="O249" s="62">
        <f t="shared" si="66"/>
        <v>86.380610556222436</v>
      </c>
      <c r="P249" s="62">
        <f t="shared" si="66"/>
        <v>88.878128521267158</v>
      </c>
      <c r="Q249" s="62">
        <f t="shared" si="66"/>
        <v>56.801574619956277</v>
      </c>
      <c r="R249" s="62">
        <f t="shared" si="66"/>
        <v>57.342961466327438</v>
      </c>
      <c r="S249" s="62">
        <f t="shared" si="66"/>
        <v>59.705711075543157</v>
      </c>
      <c r="T249" s="62">
        <f t="shared" si="66"/>
        <v>53.030203346962615</v>
      </c>
      <c r="U249" s="62">
        <f t="shared" si="66"/>
        <v>56.338270864632555</v>
      </c>
      <c r="V249" s="62">
        <f t="shared" si="66"/>
        <v>65.922693016325411</v>
      </c>
    </row>
    <row r="250" spans="3:22" x14ac:dyDescent="0.2">
      <c r="C250" s="87" t="s">
        <v>127</v>
      </c>
      <c r="D250" s="60" t="str">
        <f t="shared" ref="D250:V250" si="67">+IFERROR(IF(D211&gt;0,+((D211/D17)*100)," "),"")</f>
        <v xml:space="preserve"> </v>
      </c>
      <c r="E250" s="60" t="str">
        <f t="shared" si="67"/>
        <v xml:space="preserve"> </v>
      </c>
      <c r="F250" s="60" t="str">
        <f t="shared" si="67"/>
        <v xml:space="preserve"> </v>
      </c>
      <c r="G250" s="60" t="str">
        <f t="shared" si="67"/>
        <v xml:space="preserve"> </v>
      </c>
      <c r="H250" s="60" t="str">
        <f t="shared" si="67"/>
        <v xml:space="preserve"> </v>
      </c>
      <c r="I250" s="60">
        <f t="shared" si="67"/>
        <v>51.065452320000006</v>
      </c>
      <c r="J250" s="60">
        <f t="shared" si="67"/>
        <v>74.81860701411766</v>
      </c>
      <c r="K250" s="60">
        <f t="shared" si="67"/>
        <v>93.49219133194245</v>
      </c>
      <c r="L250" s="60">
        <f t="shared" si="67"/>
        <v>46.262473947643976</v>
      </c>
      <c r="M250" s="60">
        <f t="shared" si="67"/>
        <v>46.481868632318495</v>
      </c>
      <c r="N250" s="60">
        <f t="shared" si="67"/>
        <v>66.620908732875009</v>
      </c>
      <c r="O250" s="60">
        <f t="shared" si="67"/>
        <v>2.3999999959999996</v>
      </c>
      <c r="P250" s="60">
        <f t="shared" si="67"/>
        <v>7.5522709230646647</v>
      </c>
      <c r="Q250" s="60">
        <f t="shared" si="67"/>
        <v>46.351510708886131</v>
      </c>
      <c r="R250" s="60">
        <f t="shared" si="67"/>
        <v>71.512180167422613</v>
      </c>
      <c r="S250" s="60">
        <f t="shared" si="67"/>
        <v>79.385243161525338</v>
      </c>
      <c r="T250" s="60">
        <f t="shared" si="67"/>
        <v>89.423839948414468</v>
      </c>
      <c r="U250" s="60">
        <f t="shared" si="67"/>
        <v>80.536720004597228</v>
      </c>
      <c r="V250" s="60">
        <f t="shared" si="67"/>
        <v>65.555159428505732</v>
      </c>
    </row>
    <row r="251" spans="3:22" x14ac:dyDescent="0.2">
      <c r="C251" s="88" t="s">
        <v>128</v>
      </c>
      <c r="D251" s="62">
        <f t="shared" ref="D251:V251" si="68">+IFERROR(IF(D212&gt;0,+((D212/D18)*100)," "),"")</f>
        <v>16.633134953383895</v>
      </c>
      <c r="E251" s="62">
        <f t="shared" si="68"/>
        <v>53.597634254527193</v>
      </c>
      <c r="F251" s="62">
        <f t="shared" si="68"/>
        <v>41.369872779153887</v>
      </c>
      <c r="G251" s="62">
        <f t="shared" si="68"/>
        <v>51.532581426510603</v>
      </c>
      <c r="H251" s="62">
        <f t="shared" si="68"/>
        <v>55.647493215848456</v>
      </c>
      <c r="I251" s="62">
        <f t="shared" si="68"/>
        <v>75.895669061608544</v>
      </c>
      <c r="J251" s="62">
        <f t="shared" si="68"/>
        <v>68.154184629064375</v>
      </c>
      <c r="K251" s="62">
        <f t="shared" si="68"/>
        <v>62.500813632796714</v>
      </c>
      <c r="L251" s="62">
        <f t="shared" si="68"/>
        <v>73.382895031152671</v>
      </c>
      <c r="M251" s="62">
        <f t="shared" si="68"/>
        <v>70.452374070351524</v>
      </c>
      <c r="N251" s="62">
        <f t="shared" si="68"/>
        <v>83.871961517137635</v>
      </c>
      <c r="O251" s="62">
        <f t="shared" si="68"/>
        <v>77.698243209500831</v>
      </c>
      <c r="P251" s="62">
        <f t="shared" si="68"/>
        <v>72.862086039156523</v>
      </c>
      <c r="Q251" s="62">
        <f t="shared" si="68"/>
        <v>77.148950450076896</v>
      </c>
      <c r="R251" s="62">
        <f t="shared" si="68"/>
        <v>80.765516852339289</v>
      </c>
      <c r="S251" s="62">
        <f t="shared" si="68"/>
        <v>70.150853543703604</v>
      </c>
      <c r="T251" s="62">
        <f t="shared" si="68"/>
        <v>64.797228954790555</v>
      </c>
      <c r="U251" s="62">
        <f t="shared" si="68"/>
        <v>66.055347892826987</v>
      </c>
      <c r="V251" s="62">
        <f t="shared" si="68"/>
        <v>78.662813582861958</v>
      </c>
    </row>
    <row r="252" spans="3:22" x14ac:dyDescent="0.2">
      <c r="C252" s="87" t="s">
        <v>129</v>
      </c>
      <c r="D252" s="60">
        <f t="shared" ref="D252:V252" si="69">+IFERROR(IF(D213&gt;0,+((D213/D19)*100)," "),"")</f>
        <v>52.65862004665852</v>
      </c>
      <c r="E252" s="60">
        <f t="shared" si="69"/>
        <v>52.275746620449951</v>
      </c>
      <c r="F252" s="60">
        <f t="shared" si="69"/>
        <v>50.297225065070286</v>
      </c>
      <c r="G252" s="60">
        <f t="shared" si="69"/>
        <v>49.294886304422633</v>
      </c>
      <c r="H252" s="60">
        <f t="shared" si="69"/>
        <v>43.505030633466845</v>
      </c>
      <c r="I252" s="60">
        <f t="shared" si="69"/>
        <v>52.500497990468929</v>
      </c>
      <c r="J252" s="60">
        <f t="shared" si="69"/>
        <v>62.207311504509711</v>
      </c>
      <c r="K252" s="60">
        <f t="shared" si="69"/>
        <v>80.120011623764881</v>
      </c>
      <c r="L252" s="60">
        <f t="shared" si="69"/>
        <v>83.35143010490836</v>
      </c>
      <c r="M252" s="60">
        <f t="shared" si="69"/>
        <v>68.306950490164724</v>
      </c>
      <c r="N252" s="60">
        <f t="shared" si="69"/>
        <v>61.235456779669029</v>
      </c>
      <c r="O252" s="60">
        <f t="shared" si="69"/>
        <v>60.135793893955366</v>
      </c>
      <c r="P252" s="60">
        <f t="shared" si="69"/>
        <v>65.121668947425931</v>
      </c>
      <c r="Q252" s="60">
        <f t="shared" si="69"/>
        <v>68.208052841435602</v>
      </c>
      <c r="R252" s="60">
        <f t="shared" si="69"/>
        <v>60.350087369377491</v>
      </c>
      <c r="S252" s="60">
        <f t="shared" si="69"/>
        <v>58.758528225264904</v>
      </c>
      <c r="T252" s="60">
        <f t="shared" si="69"/>
        <v>57.052009363899415</v>
      </c>
      <c r="U252" s="60">
        <f t="shared" si="69"/>
        <v>61.378972141073071</v>
      </c>
      <c r="V252" s="60">
        <f t="shared" si="69"/>
        <v>67.263678428753366</v>
      </c>
    </row>
    <row r="253" spans="3:22" x14ac:dyDescent="0.2">
      <c r="C253" s="88" t="s">
        <v>130</v>
      </c>
      <c r="D253" s="62">
        <f t="shared" ref="D253:V253" si="70">+IFERROR(IF(D214&gt;0,+((D214/D20)*100)," "),"")</f>
        <v>48.092980450817876</v>
      </c>
      <c r="E253" s="62">
        <f t="shared" si="70"/>
        <v>60.593909012601735</v>
      </c>
      <c r="F253" s="62">
        <f t="shared" si="70"/>
        <v>35.449354208812736</v>
      </c>
      <c r="G253" s="62">
        <f t="shared" si="70"/>
        <v>54.515289592352026</v>
      </c>
      <c r="H253" s="62">
        <f t="shared" si="70"/>
        <v>77.82674217282829</v>
      </c>
      <c r="I253" s="62">
        <f t="shared" si="70"/>
        <v>86.006592060931567</v>
      </c>
      <c r="J253" s="62">
        <f t="shared" si="70"/>
        <v>90.195492243836526</v>
      </c>
      <c r="K253" s="62">
        <f t="shared" si="70"/>
        <v>85.200153966550047</v>
      </c>
      <c r="L253" s="62">
        <f t="shared" si="70"/>
        <v>90.780782631029851</v>
      </c>
      <c r="M253" s="62">
        <f t="shared" si="70"/>
        <v>80.169725464851751</v>
      </c>
      <c r="N253" s="62">
        <f t="shared" si="70"/>
        <v>86.905621909193968</v>
      </c>
      <c r="O253" s="62">
        <f t="shared" si="70"/>
        <v>80.644673712817138</v>
      </c>
      <c r="P253" s="62">
        <f t="shared" si="70"/>
        <v>62.189977282187272</v>
      </c>
      <c r="Q253" s="62">
        <f t="shared" si="70"/>
        <v>70.374619261157363</v>
      </c>
      <c r="R253" s="62">
        <f t="shared" si="70"/>
        <v>69.114650835189337</v>
      </c>
      <c r="S253" s="62">
        <f t="shared" si="70"/>
        <v>79.740545089734013</v>
      </c>
      <c r="T253" s="62">
        <f t="shared" si="70"/>
        <v>48.491657135704621</v>
      </c>
      <c r="U253" s="62">
        <f t="shared" si="70"/>
        <v>57.023578287916365</v>
      </c>
      <c r="V253" s="62">
        <f t="shared" si="70"/>
        <v>68.995378630883096</v>
      </c>
    </row>
    <row r="254" spans="3:22" x14ac:dyDescent="0.2">
      <c r="C254" s="87" t="s">
        <v>131</v>
      </c>
      <c r="D254" s="60">
        <f t="shared" ref="D254:V254" si="71">+IFERROR(IF(D215&gt;0,+((D215/D21)*100)," "),"")</f>
        <v>48.602528216246007</v>
      </c>
      <c r="E254" s="60">
        <f t="shared" si="71"/>
        <v>56.054959866859676</v>
      </c>
      <c r="F254" s="60">
        <f t="shared" si="71"/>
        <v>52.646954608452198</v>
      </c>
      <c r="G254" s="60">
        <f t="shared" si="71"/>
        <v>78.206433401665734</v>
      </c>
      <c r="H254" s="60">
        <f t="shared" si="71"/>
        <v>55.079527538998107</v>
      </c>
      <c r="I254" s="60">
        <f t="shared" si="71"/>
        <v>52.641532231535081</v>
      </c>
      <c r="J254" s="60">
        <f t="shared" si="71"/>
        <v>47.733170601725632</v>
      </c>
      <c r="K254" s="60">
        <f t="shared" si="71"/>
        <v>82.846718423170969</v>
      </c>
      <c r="L254" s="60">
        <f t="shared" si="71"/>
        <v>65.598688342689798</v>
      </c>
      <c r="M254" s="60">
        <f t="shared" si="71"/>
        <v>69.55767922011799</v>
      </c>
      <c r="N254" s="60">
        <f t="shared" si="71"/>
        <v>71.602785187002581</v>
      </c>
      <c r="O254" s="60">
        <f t="shared" si="71"/>
        <v>72.775582422426226</v>
      </c>
      <c r="P254" s="60">
        <f t="shared" si="71"/>
        <v>66.933505835440826</v>
      </c>
      <c r="Q254" s="60">
        <f t="shared" si="71"/>
        <v>66.616254648099726</v>
      </c>
      <c r="R254" s="60">
        <f t="shared" si="71"/>
        <v>84.339852752457134</v>
      </c>
      <c r="S254" s="60">
        <f t="shared" si="71"/>
        <v>90.093478926671921</v>
      </c>
      <c r="T254" s="60">
        <f t="shared" si="71"/>
        <v>88.419745746702318</v>
      </c>
      <c r="U254" s="60">
        <f t="shared" si="71"/>
        <v>93.437513552862995</v>
      </c>
      <c r="V254" s="60">
        <f t="shared" si="71"/>
        <v>93.861232757856129</v>
      </c>
    </row>
    <row r="255" spans="3:22" x14ac:dyDescent="0.2">
      <c r="C255" s="88" t="s">
        <v>132</v>
      </c>
      <c r="D255" s="62">
        <f t="shared" ref="D255:V255" si="72">+IFERROR(IF(D216&gt;0,+((D216/D22)*100)," "),"")</f>
        <v>93.890937617456132</v>
      </c>
      <c r="E255" s="62">
        <f t="shared" si="72"/>
        <v>47.98567854813092</v>
      </c>
      <c r="F255" s="62">
        <f t="shared" si="72"/>
        <v>67.312401385035557</v>
      </c>
      <c r="G255" s="62">
        <f t="shared" si="72"/>
        <v>94.221115279818761</v>
      </c>
      <c r="H255" s="62">
        <f t="shared" si="72"/>
        <v>58.180352759395667</v>
      </c>
      <c r="I255" s="62">
        <f t="shared" si="72"/>
        <v>47.579536645431368</v>
      </c>
      <c r="J255" s="62">
        <f t="shared" si="72"/>
        <v>71.703647480616411</v>
      </c>
      <c r="K255" s="62">
        <f t="shared" si="72"/>
        <v>37.427201790378817</v>
      </c>
      <c r="L255" s="62">
        <f t="shared" si="72"/>
        <v>57.580275085299618</v>
      </c>
      <c r="M255" s="62">
        <f t="shared" si="72"/>
        <v>82.720787555058735</v>
      </c>
      <c r="N255" s="62">
        <f t="shared" si="72"/>
        <v>62.51091273656445</v>
      </c>
      <c r="O255" s="62">
        <f t="shared" si="72"/>
        <v>45.465819162943021</v>
      </c>
      <c r="P255" s="62">
        <f t="shared" si="72"/>
        <v>66.476544833699307</v>
      </c>
      <c r="Q255" s="62">
        <f t="shared" si="72"/>
        <v>78.074121790219664</v>
      </c>
      <c r="R255" s="62">
        <f t="shared" si="72"/>
        <v>66.287271776570662</v>
      </c>
      <c r="S255" s="62">
        <f t="shared" si="72"/>
        <v>74.422029385027628</v>
      </c>
      <c r="T255" s="62">
        <f t="shared" si="72"/>
        <v>84.728270103722082</v>
      </c>
      <c r="U255" s="62">
        <f t="shared" si="72"/>
        <v>84.955106166739569</v>
      </c>
      <c r="V255" s="62">
        <f t="shared" si="72"/>
        <v>85.448474979524363</v>
      </c>
    </row>
    <row r="256" spans="3:22" x14ac:dyDescent="0.2">
      <c r="C256" s="87" t="s">
        <v>133</v>
      </c>
      <c r="D256" s="60">
        <f t="shared" ref="D256:V256" si="73">+IFERROR(IF(D217&gt;0,+((D217/D23)*100)," "),"")</f>
        <v>13.181733438083853</v>
      </c>
      <c r="E256" s="60">
        <f t="shared" si="73"/>
        <v>60.527737494739597</v>
      </c>
      <c r="F256" s="60">
        <f t="shared" si="73"/>
        <v>23.815772359565401</v>
      </c>
      <c r="G256" s="60">
        <f t="shared" si="73"/>
        <v>28.446408802058006</v>
      </c>
      <c r="H256" s="60">
        <f t="shared" si="73"/>
        <v>65.500409781371644</v>
      </c>
      <c r="I256" s="60">
        <f t="shared" si="73"/>
        <v>69.919827508366311</v>
      </c>
      <c r="J256" s="60">
        <f t="shared" si="73"/>
        <v>48.974578272811023</v>
      </c>
      <c r="K256" s="60">
        <f t="shared" si="73"/>
        <v>53.784699284465439</v>
      </c>
      <c r="L256" s="60">
        <f t="shared" si="73"/>
        <v>47.573570231432889</v>
      </c>
      <c r="M256" s="60">
        <f t="shared" si="73"/>
        <v>50.566796897542417</v>
      </c>
      <c r="N256" s="60">
        <f t="shared" si="73"/>
        <v>36.742009442704365</v>
      </c>
      <c r="O256" s="60">
        <f t="shared" si="73"/>
        <v>42.872953085920159</v>
      </c>
      <c r="P256" s="60">
        <f t="shared" si="73"/>
        <v>53.596873807149294</v>
      </c>
      <c r="Q256" s="60">
        <f t="shared" si="73"/>
        <v>56.471195531233512</v>
      </c>
      <c r="R256" s="60">
        <f t="shared" si="73"/>
        <v>60.466394811891412</v>
      </c>
      <c r="S256" s="60">
        <f t="shared" si="73"/>
        <v>41.703213142414306</v>
      </c>
      <c r="T256" s="60">
        <f t="shared" si="73"/>
        <v>38.890384691380994</v>
      </c>
      <c r="U256" s="60">
        <f t="shared" si="73"/>
        <v>47.974247103431331</v>
      </c>
      <c r="V256" s="60">
        <f t="shared" si="73"/>
        <v>59.101629025746874</v>
      </c>
    </row>
    <row r="257" spans="3:22" x14ac:dyDescent="0.2">
      <c r="C257" s="88" t="s">
        <v>134</v>
      </c>
      <c r="D257" s="62">
        <f t="shared" ref="D257:V257" si="74">+IFERROR(IF(D218&gt;0,+((D218/D24)*100)," "),"")</f>
        <v>68.110572393035739</v>
      </c>
      <c r="E257" s="62">
        <f t="shared" si="74"/>
        <v>84.826742258269988</v>
      </c>
      <c r="F257" s="62">
        <f t="shared" si="74"/>
        <v>69.885518274978352</v>
      </c>
      <c r="G257" s="62">
        <f t="shared" si="74"/>
        <v>83.54319360829669</v>
      </c>
      <c r="H257" s="62">
        <f t="shared" si="74"/>
        <v>58.571353283576059</v>
      </c>
      <c r="I257" s="62">
        <f t="shared" si="74"/>
        <v>58.406036584952133</v>
      </c>
      <c r="J257" s="62">
        <f t="shared" si="74"/>
        <v>28.401968393374975</v>
      </c>
      <c r="K257" s="62">
        <f t="shared" si="74"/>
        <v>72.463610672028921</v>
      </c>
      <c r="L257" s="62">
        <f t="shared" si="74"/>
        <v>75.094277539788393</v>
      </c>
      <c r="M257" s="62">
        <f t="shared" si="74"/>
        <v>79.655760286945721</v>
      </c>
      <c r="N257" s="62">
        <f t="shared" si="74"/>
        <v>70.029061307669764</v>
      </c>
      <c r="O257" s="62">
        <f t="shared" si="74"/>
        <v>67.363530935781228</v>
      </c>
      <c r="P257" s="62">
        <f t="shared" si="74"/>
        <v>29.29758400266671</v>
      </c>
      <c r="Q257" s="62">
        <f t="shared" si="74"/>
        <v>39.916538154440516</v>
      </c>
      <c r="R257" s="62">
        <f t="shared" si="74"/>
        <v>21.786270725143343</v>
      </c>
      <c r="S257" s="62">
        <f t="shared" si="74"/>
        <v>19.391969255319964</v>
      </c>
      <c r="T257" s="62">
        <f t="shared" si="74"/>
        <v>25.162111214895798</v>
      </c>
      <c r="U257" s="62">
        <f t="shared" si="74"/>
        <v>36.707330423148306</v>
      </c>
      <c r="V257" s="62">
        <f t="shared" si="74"/>
        <v>47.504580739195418</v>
      </c>
    </row>
    <row r="258" spans="3:22" x14ac:dyDescent="0.2">
      <c r="C258" s="87" t="s">
        <v>135</v>
      </c>
      <c r="D258" s="60" t="str">
        <f t="shared" ref="D258:V258" si="75">+IFERROR(IF(D219&gt;0,+((D219/D25)*100)," "),"")</f>
        <v xml:space="preserve"> </v>
      </c>
      <c r="E258" s="60" t="str">
        <f t="shared" si="75"/>
        <v xml:space="preserve"> </v>
      </c>
      <c r="F258" s="60" t="str">
        <f t="shared" si="75"/>
        <v xml:space="preserve"> </v>
      </c>
      <c r="G258" s="60" t="str">
        <f t="shared" si="75"/>
        <v xml:space="preserve"> </v>
      </c>
      <c r="H258" s="60" t="str">
        <f t="shared" si="75"/>
        <v xml:space="preserve"> </v>
      </c>
      <c r="I258" s="60" t="str">
        <f t="shared" si="75"/>
        <v xml:space="preserve"> </v>
      </c>
      <c r="J258" s="60" t="str">
        <f t="shared" si="75"/>
        <v xml:space="preserve"> </v>
      </c>
      <c r="K258" s="60" t="str">
        <f t="shared" si="75"/>
        <v xml:space="preserve"> </v>
      </c>
      <c r="L258" s="60" t="str">
        <f t="shared" si="75"/>
        <v xml:space="preserve"> </v>
      </c>
      <c r="M258" s="60" t="str">
        <f t="shared" si="75"/>
        <v xml:space="preserve"> </v>
      </c>
      <c r="N258" s="60" t="str">
        <f t="shared" si="75"/>
        <v xml:space="preserve"> </v>
      </c>
      <c r="O258" s="60" t="str">
        <f t="shared" si="75"/>
        <v xml:space="preserve"> </v>
      </c>
      <c r="P258" s="60" t="str">
        <f t="shared" si="75"/>
        <v xml:space="preserve"> </v>
      </c>
      <c r="Q258" s="60" t="str">
        <f t="shared" si="75"/>
        <v xml:space="preserve"> </v>
      </c>
      <c r="R258" s="60" t="str">
        <f t="shared" si="75"/>
        <v xml:space="preserve"> </v>
      </c>
      <c r="S258" s="60" t="str">
        <f t="shared" si="75"/>
        <v xml:space="preserve"> </v>
      </c>
      <c r="T258" s="60" t="str">
        <f t="shared" si="75"/>
        <v xml:space="preserve"> </v>
      </c>
      <c r="U258" s="60" t="str">
        <f t="shared" si="75"/>
        <v xml:space="preserve"> </v>
      </c>
      <c r="V258" s="60" t="str">
        <f t="shared" si="75"/>
        <v xml:space="preserve"> </v>
      </c>
    </row>
    <row r="259" spans="3:22" x14ac:dyDescent="0.2">
      <c r="C259" s="88" t="s">
        <v>136</v>
      </c>
      <c r="D259" s="62">
        <f t="shared" ref="D259:V259" si="76">+IFERROR(IF(D220&gt;0,+((D220/D26)*100)," "),"")</f>
        <v>67.950096452715485</v>
      </c>
      <c r="E259" s="62">
        <f t="shared" si="76"/>
        <v>73.958087016069811</v>
      </c>
      <c r="F259" s="62">
        <f t="shared" si="76"/>
        <v>76.792547536654737</v>
      </c>
      <c r="G259" s="62">
        <f t="shared" si="76"/>
        <v>79.045869662452986</v>
      </c>
      <c r="H259" s="62">
        <f t="shared" si="76"/>
        <v>80.177327625385786</v>
      </c>
      <c r="I259" s="62">
        <f t="shared" si="76"/>
        <v>81.171110691058303</v>
      </c>
      <c r="J259" s="62">
        <f t="shared" si="76"/>
        <v>80.134173693556008</v>
      </c>
      <c r="K259" s="62">
        <f t="shared" si="76"/>
        <v>75.746333311720889</v>
      </c>
      <c r="L259" s="62">
        <f t="shared" si="76"/>
        <v>82.649043592707599</v>
      </c>
      <c r="M259" s="62">
        <f t="shared" si="76"/>
        <v>84.424889940856445</v>
      </c>
      <c r="N259" s="62">
        <f t="shared" si="76"/>
        <v>83.058635733903714</v>
      </c>
      <c r="O259" s="62">
        <f t="shared" si="76"/>
        <v>73.369425985240596</v>
      </c>
      <c r="P259" s="62">
        <f t="shared" si="76"/>
        <v>78.741027800436569</v>
      </c>
      <c r="Q259" s="62">
        <f t="shared" si="76"/>
        <v>84.040427357888319</v>
      </c>
      <c r="R259" s="62">
        <f t="shared" si="76"/>
        <v>88.372978639976168</v>
      </c>
      <c r="S259" s="62">
        <f t="shared" si="76"/>
        <v>91.352822280144252</v>
      </c>
      <c r="T259" s="62">
        <f t="shared" si="76"/>
        <v>83.452223505236304</v>
      </c>
      <c r="U259" s="62">
        <f t="shared" si="76"/>
        <v>87.775180981521132</v>
      </c>
      <c r="V259" s="62">
        <f t="shared" si="76"/>
        <v>92.026322440544945</v>
      </c>
    </row>
    <row r="260" spans="3:22" x14ac:dyDescent="0.2">
      <c r="C260" s="87" t="s">
        <v>137</v>
      </c>
      <c r="D260" s="60">
        <f t="shared" ref="D260:V260" si="77">+IFERROR(IF(D221&gt;0,+((D221/D27)*100)," "),"")</f>
        <v>40.623253396413794</v>
      </c>
      <c r="E260" s="60">
        <f t="shared" si="77"/>
        <v>63.669396118773037</v>
      </c>
      <c r="F260" s="60">
        <f t="shared" si="77"/>
        <v>50.671823746665886</v>
      </c>
      <c r="G260" s="60">
        <f t="shared" si="77"/>
        <v>51.969673033753836</v>
      </c>
      <c r="H260" s="60">
        <f t="shared" si="77"/>
        <v>57.437180229519427</v>
      </c>
      <c r="I260" s="60">
        <f t="shared" si="77"/>
        <v>62.010173817622913</v>
      </c>
      <c r="J260" s="60">
        <f t="shared" si="77"/>
        <v>77.464781152842349</v>
      </c>
      <c r="K260" s="60">
        <f t="shared" si="77"/>
        <v>69.966419787451173</v>
      </c>
      <c r="L260" s="60">
        <f t="shared" si="77"/>
        <v>76.595110623621267</v>
      </c>
      <c r="M260" s="60">
        <f t="shared" si="77"/>
        <v>72.633150051867304</v>
      </c>
      <c r="N260" s="60">
        <f t="shared" si="77"/>
        <v>68.188518123851111</v>
      </c>
      <c r="O260" s="60">
        <f t="shared" si="77"/>
        <v>78.212140991439554</v>
      </c>
      <c r="P260" s="60">
        <f t="shared" si="77"/>
        <v>79.288316212016653</v>
      </c>
      <c r="Q260" s="60">
        <f t="shared" si="77"/>
        <v>73.015504774358476</v>
      </c>
      <c r="R260" s="60">
        <f t="shared" si="77"/>
        <v>80.537460825646974</v>
      </c>
      <c r="S260" s="60">
        <f t="shared" si="77"/>
        <v>75.589138995452615</v>
      </c>
      <c r="T260" s="60">
        <f t="shared" si="77"/>
        <v>79.887220279867151</v>
      </c>
      <c r="U260" s="60">
        <f t="shared" si="77"/>
        <v>68.441379507188572</v>
      </c>
      <c r="V260" s="60">
        <f t="shared" si="77"/>
        <v>90.790792032482116</v>
      </c>
    </row>
    <row r="261" spans="3:22" x14ac:dyDescent="0.2">
      <c r="C261" s="88" t="s">
        <v>138</v>
      </c>
      <c r="D261" s="62">
        <f t="shared" ref="D261:V261" si="78">+IFERROR(IF(D222&gt;0,+((D222/D28)*100)," "),"")</f>
        <v>65.211227468226824</v>
      </c>
      <c r="E261" s="62">
        <f t="shared" si="78"/>
        <v>90.758732294578181</v>
      </c>
      <c r="F261" s="62">
        <f t="shared" si="78"/>
        <v>36.126943856944116</v>
      </c>
      <c r="G261" s="62">
        <f t="shared" si="78"/>
        <v>5.4901343762483865</v>
      </c>
      <c r="H261" s="62">
        <f t="shared" si="78"/>
        <v>26.390167577592592</v>
      </c>
      <c r="I261" s="62">
        <f t="shared" si="78"/>
        <v>13.789047289019862</v>
      </c>
      <c r="J261" s="62">
        <f t="shared" si="78"/>
        <v>4.7015998212564822</v>
      </c>
      <c r="K261" s="62">
        <f t="shared" si="78"/>
        <v>69.406741617981865</v>
      </c>
      <c r="L261" s="62">
        <f t="shared" si="78"/>
        <v>60.814769570033491</v>
      </c>
      <c r="M261" s="62">
        <f t="shared" si="78"/>
        <v>23.006758393201565</v>
      </c>
      <c r="N261" s="62">
        <f t="shared" si="78"/>
        <v>27.81742633980301</v>
      </c>
      <c r="O261" s="62">
        <f t="shared" si="78"/>
        <v>35.065335232504424</v>
      </c>
      <c r="P261" s="62">
        <f t="shared" si="78"/>
        <v>71.541512400874751</v>
      </c>
      <c r="Q261" s="62">
        <f t="shared" si="78"/>
        <v>81.497708415786747</v>
      </c>
      <c r="R261" s="62">
        <f t="shared" si="78"/>
        <v>60.248886620839428</v>
      </c>
      <c r="S261" s="62">
        <f t="shared" si="78"/>
        <v>72.150588462035444</v>
      </c>
      <c r="T261" s="62">
        <f t="shared" si="78"/>
        <v>75.210390246946062</v>
      </c>
      <c r="U261" s="62">
        <f t="shared" si="78"/>
        <v>78.465566416782522</v>
      </c>
      <c r="V261" s="62">
        <f t="shared" si="78"/>
        <v>96.85860163507715</v>
      </c>
    </row>
    <row r="262" spans="3:22" x14ac:dyDescent="0.2">
      <c r="C262" s="87" t="s">
        <v>139</v>
      </c>
      <c r="D262" s="60">
        <f t="shared" ref="D262:V262" si="79">+IFERROR(IF(D223&gt;0,+((D223/D29)*100)," "),"")</f>
        <v>44.515348909432198</v>
      </c>
      <c r="E262" s="60">
        <f t="shared" si="79"/>
        <v>63.583152276600671</v>
      </c>
      <c r="F262" s="60">
        <f t="shared" si="79"/>
        <v>51.226386444820314</v>
      </c>
      <c r="G262" s="60">
        <f t="shared" si="79"/>
        <v>79.627844171109729</v>
      </c>
      <c r="H262" s="60">
        <f t="shared" si="79"/>
        <v>35.85392617757681</v>
      </c>
      <c r="I262" s="60">
        <f t="shared" si="79"/>
        <v>68.664496195218163</v>
      </c>
      <c r="J262" s="60">
        <f t="shared" si="79"/>
        <v>68.705763107340289</v>
      </c>
      <c r="K262" s="60">
        <f t="shared" si="79"/>
        <v>63.534122532610901</v>
      </c>
      <c r="L262" s="60">
        <f t="shared" si="79"/>
        <v>46.904806884465636</v>
      </c>
      <c r="M262" s="60">
        <f t="shared" si="79"/>
        <v>71.61357529613781</v>
      </c>
      <c r="N262" s="60">
        <f t="shared" si="79"/>
        <v>60.545006138005917</v>
      </c>
      <c r="O262" s="60">
        <f t="shared" si="79"/>
        <v>45.537089899758001</v>
      </c>
      <c r="P262" s="60">
        <f t="shared" si="79"/>
        <v>60.555195385155059</v>
      </c>
      <c r="Q262" s="60">
        <f t="shared" si="79"/>
        <v>55.24277968499797</v>
      </c>
      <c r="R262" s="60">
        <f t="shared" si="79"/>
        <v>57.826083472366896</v>
      </c>
      <c r="S262" s="60">
        <f t="shared" si="79"/>
        <v>61.754665207841086</v>
      </c>
      <c r="T262" s="60">
        <f t="shared" si="79"/>
        <v>38.862030931464041</v>
      </c>
      <c r="U262" s="60">
        <f t="shared" si="79"/>
        <v>25.98058764002263</v>
      </c>
      <c r="V262" s="60">
        <f t="shared" si="79"/>
        <v>33.706826812421561</v>
      </c>
    </row>
    <row r="263" spans="3:22" x14ac:dyDescent="0.2">
      <c r="C263" s="88" t="s">
        <v>140</v>
      </c>
      <c r="D263" s="62">
        <f t="shared" ref="D263:V263" si="80">+IFERROR(IF(D224&gt;0,+((D224/D30)*100)," "),"")</f>
        <v>71.743042375052212</v>
      </c>
      <c r="E263" s="62">
        <f t="shared" si="80"/>
        <v>68.331991325770005</v>
      </c>
      <c r="F263" s="62">
        <f t="shared" si="80"/>
        <v>65.500577892121896</v>
      </c>
      <c r="G263" s="62">
        <f t="shared" si="80"/>
        <v>84.427339671572554</v>
      </c>
      <c r="H263" s="62">
        <f t="shared" si="80"/>
        <v>81.422225623948506</v>
      </c>
      <c r="I263" s="62">
        <f t="shared" si="80"/>
        <v>59.31790918435911</v>
      </c>
      <c r="J263" s="62">
        <f t="shared" si="80"/>
        <v>65.874695911688761</v>
      </c>
      <c r="K263" s="62">
        <f t="shared" si="80"/>
        <v>57.387543043714793</v>
      </c>
      <c r="L263" s="62">
        <f t="shared" si="80"/>
        <v>89.224002326109684</v>
      </c>
      <c r="M263" s="62">
        <f t="shared" si="80"/>
        <v>87.327022899857496</v>
      </c>
      <c r="N263" s="62">
        <f t="shared" si="80"/>
        <v>83.274772331236903</v>
      </c>
      <c r="O263" s="62">
        <f t="shared" si="80"/>
        <v>87.410405507794152</v>
      </c>
      <c r="P263" s="62">
        <f t="shared" si="80"/>
        <v>86.762152126838075</v>
      </c>
      <c r="Q263" s="62">
        <f t="shared" si="80"/>
        <v>84.605662416344231</v>
      </c>
      <c r="R263" s="62">
        <f t="shared" si="80"/>
        <v>84.823274848275702</v>
      </c>
      <c r="S263" s="62">
        <f t="shared" si="80"/>
        <v>89.342605442154465</v>
      </c>
      <c r="T263" s="62">
        <f t="shared" si="80"/>
        <v>88.005319517423018</v>
      </c>
      <c r="U263" s="62">
        <f t="shared" si="80"/>
        <v>81.576396043596034</v>
      </c>
      <c r="V263" s="62">
        <f t="shared" si="80"/>
        <v>91.539002086237204</v>
      </c>
    </row>
    <row r="264" spans="3:22" x14ac:dyDescent="0.2">
      <c r="C264" s="87" t="s">
        <v>141</v>
      </c>
      <c r="D264" s="60">
        <f t="shared" ref="D264:V264" si="81">+IFERROR(IF(D225&gt;0,+((D225/D31)*100)," "),"")</f>
        <v>6.4027266509730065</v>
      </c>
      <c r="E264" s="60">
        <f t="shared" si="81"/>
        <v>9.7236506598786843</v>
      </c>
      <c r="F264" s="60">
        <f t="shared" si="81"/>
        <v>5.8642826621428101</v>
      </c>
      <c r="G264" s="60">
        <f t="shared" si="81"/>
        <v>8.8870284793393672</v>
      </c>
      <c r="H264" s="60">
        <f t="shared" si="81"/>
        <v>13.299353192915724</v>
      </c>
      <c r="I264" s="60">
        <f t="shared" si="81"/>
        <v>9.9031270868852239</v>
      </c>
      <c r="J264" s="60">
        <f t="shared" si="81"/>
        <v>38.332145079577437</v>
      </c>
      <c r="K264" s="60">
        <f t="shared" si="81"/>
        <v>39.918254929036827</v>
      </c>
      <c r="L264" s="60">
        <f t="shared" si="81"/>
        <v>46.626778182228016</v>
      </c>
      <c r="M264" s="60">
        <f t="shared" si="81"/>
        <v>63.320861245263451</v>
      </c>
      <c r="N264" s="60">
        <f t="shared" si="81"/>
        <v>43.407002164465567</v>
      </c>
      <c r="O264" s="60">
        <f t="shared" si="81"/>
        <v>36.39042344131277</v>
      </c>
      <c r="P264" s="60">
        <f t="shared" si="81"/>
        <v>57.830439171451076</v>
      </c>
      <c r="Q264" s="60">
        <f t="shared" si="81"/>
        <v>53.961285202133084</v>
      </c>
      <c r="R264" s="60">
        <f t="shared" si="81"/>
        <v>52.441622432941791</v>
      </c>
      <c r="S264" s="60">
        <f t="shared" si="81"/>
        <v>22.954811427255407</v>
      </c>
      <c r="T264" s="60">
        <f t="shared" si="81"/>
        <v>46.471049478338095</v>
      </c>
      <c r="U264" s="60">
        <f t="shared" si="81"/>
        <v>70.922382253126628</v>
      </c>
      <c r="V264" s="60">
        <f t="shared" si="81"/>
        <v>83.1352783129702</v>
      </c>
    </row>
    <row r="265" spans="3:22" x14ac:dyDescent="0.2">
      <c r="C265" s="88" t="s">
        <v>142</v>
      </c>
      <c r="D265" s="62">
        <f t="shared" ref="D265:V265" si="82">+IFERROR(IF(D226&gt;0,+((D226/D32)*100)," "),"")</f>
        <v>15.092942462740776</v>
      </c>
      <c r="E265" s="62">
        <f t="shared" si="82"/>
        <v>22.311767882242357</v>
      </c>
      <c r="F265" s="62">
        <f t="shared" si="82"/>
        <v>8.7603568610142588</v>
      </c>
      <c r="G265" s="62">
        <f t="shared" si="82"/>
        <v>18.282878245784463</v>
      </c>
      <c r="H265" s="62">
        <f t="shared" si="82"/>
        <v>54.69401159560838</v>
      </c>
      <c r="I265" s="62">
        <f t="shared" si="82"/>
        <v>19.168907284274553</v>
      </c>
      <c r="J265" s="62">
        <f t="shared" si="82"/>
        <v>22.048123229744913</v>
      </c>
      <c r="K265" s="62">
        <f t="shared" si="82"/>
        <v>41.567197077440596</v>
      </c>
      <c r="L265" s="62">
        <f t="shared" si="82"/>
        <v>29.987809443056236</v>
      </c>
      <c r="M265" s="62">
        <f t="shared" si="82"/>
        <v>29.861093775291387</v>
      </c>
      <c r="N265" s="62">
        <f t="shared" si="82"/>
        <v>37.388783301259373</v>
      </c>
      <c r="O265" s="62">
        <f t="shared" si="82"/>
        <v>33.207005913645851</v>
      </c>
      <c r="P265" s="62">
        <f t="shared" si="82"/>
        <v>48.261094809283421</v>
      </c>
      <c r="Q265" s="62">
        <f t="shared" si="82"/>
        <v>54.114184166618131</v>
      </c>
      <c r="R265" s="62">
        <f t="shared" si="82"/>
        <v>75.634423445619291</v>
      </c>
      <c r="S265" s="62">
        <f t="shared" si="82"/>
        <v>63.957150708353907</v>
      </c>
      <c r="T265" s="62">
        <f t="shared" si="82"/>
        <v>52.421714831649091</v>
      </c>
      <c r="U265" s="62">
        <f t="shared" si="82"/>
        <v>62.120568202418646</v>
      </c>
      <c r="V265" s="62">
        <f t="shared" si="82"/>
        <v>58.354807341065573</v>
      </c>
    </row>
    <row r="266" spans="3:22" x14ac:dyDescent="0.2">
      <c r="C266" s="87" t="s">
        <v>143</v>
      </c>
      <c r="D266" s="60">
        <f t="shared" ref="D266:V266" si="83">+IFERROR(IF(D227&gt;0,+((D227/D33)*100)," "),"")</f>
        <v>64.582920664367052</v>
      </c>
      <c r="E266" s="60">
        <f t="shared" si="83"/>
        <v>49.997195680537999</v>
      </c>
      <c r="F266" s="60">
        <f t="shared" si="83"/>
        <v>48.183877831121997</v>
      </c>
      <c r="G266" s="60">
        <f t="shared" si="83"/>
        <v>59.392378621525886</v>
      </c>
      <c r="H266" s="60">
        <f t="shared" si="83"/>
        <v>62.1440402633338</v>
      </c>
      <c r="I266" s="60">
        <f t="shared" si="83"/>
        <v>76.339351818461296</v>
      </c>
      <c r="J266" s="60">
        <f t="shared" si="83"/>
        <v>85.00096669103047</v>
      </c>
      <c r="K266" s="60">
        <f t="shared" si="83"/>
        <v>84.314733808307835</v>
      </c>
      <c r="L266" s="60">
        <f t="shared" si="83"/>
        <v>42.110741797044469</v>
      </c>
      <c r="M266" s="60">
        <f t="shared" si="83"/>
        <v>54.791765842045947</v>
      </c>
      <c r="N266" s="60">
        <f t="shared" si="83"/>
        <v>58.623818828911901</v>
      </c>
      <c r="O266" s="60">
        <f t="shared" si="83"/>
        <v>66.016694115934854</v>
      </c>
      <c r="P266" s="60">
        <f t="shared" si="83"/>
        <v>16.049976515846335</v>
      </c>
      <c r="Q266" s="60">
        <f t="shared" si="83"/>
        <v>70.802757941253631</v>
      </c>
      <c r="R266" s="60">
        <f t="shared" si="83"/>
        <v>68.159454652111066</v>
      </c>
      <c r="S266" s="60">
        <f t="shared" si="83"/>
        <v>46.720940324384181</v>
      </c>
      <c r="T266" s="60">
        <f t="shared" si="83"/>
        <v>65.230535294964099</v>
      </c>
      <c r="U266" s="60">
        <f t="shared" si="83"/>
        <v>61.911935743090808</v>
      </c>
      <c r="V266" s="60">
        <f t="shared" si="83"/>
        <v>8.9094694453604415</v>
      </c>
    </row>
    <row r="267" spans="3:22" x14ac:dyDescent="0.2">
      <c r="C267" s="88" t="s">
        <v>144</v>
      </c>
      <c r="D267" s="62">
        <f t="shared" ref="D267:V267" si="84">+IFERROR(IF(D228&gt;0,+((D228/D34)*100)," "),"")</f>
        <v>13.985294214522401</v>
      </c>
      <c r="E267" s="62">
        <f t="shared" si="84"/>
        <v>73.747265066863775</v>
      </c>
      <c r="F267" s="62">
        <f t="shared" si="84"/>
        <v>36.32029967947669</v>
      </c>
      <c r="G267" s="62">
        <f t="shared" si="84"/>
        <v>39.971840485615687</v>
      </c>
      <c r="H267" s="62">
        <f t="shared" si="84"/>
        <v>36.577170716514388</v>
      </c>
      <c r="I267" s="62">
        <f t="shared" si="84"/>
        <v>36.465909737511694</v>
      </c>
      <c r="J267" s="62">
        <f t="shared" si="84"/>
        <v>48.076967916871489</v>
      </c>
      <c r="K267" s="62">
        <f t="shared" si="84"/>
        <v>55.190799319271214</v>
      </c>
      <c r="L267" s="62">
        <f t="shared" si="84"/>
        <v>58.402309997319236</v>
      </c>
      <c r="M267" s="62">
        <f t="shared" si="84"/>
        <v>67.290691103497522</v>
      </c>
      <c r="N267" s="62">
        <f t="shared" si="84"/>
        <v>37.075140650558545</v>
      </c>
      <c r="O267" s="62">
        <f t="shared" si="84"/>
        <v>15.606057493292205</v>
      </c>
      <c r="P267" s="62">
        <f t="shared" si="84"/>
        <v>18.940680530956239</v>
      </c>
      <c r="Q267" s="62">
        <f t="shared" si="84"/>
        <v>31.521835747942411</v>
      </c>
      <c r="R267" s="62">
        <f t="shared" si="84"/>
        <v>43.474231170922565</v>
      </c>
      <c r="S267" s="62">
        <f t="shared" si="84"/>
        <v>26.711259359461227</v>
      </c>
      <c r="T267" s="62">
        <f t="shared" si="84"/>
        <v>35.53712567133563</v>
      </c>
      <c r="U267" s="62">
        <f t="shared" si="84"/>
        <v>38.015504430966644</v>
      </c>
      <c r="V267" s="62">
        <f t="shared" si="84"/>
        <v>51.204978626295237</v>
      </c>
    </row>
    <row r="268" spans="3:22" x14ac:dyDescent="0.2">
      <c r="C268" s="87" t="s">
        <v>145</v>
      </c>
      <c r="D268" s="60">
        <f t="shared" ref="D268:V268" si="85">+IFERROR(IF(D229&gt;0,+((D229/D35)*100)," "),"")</f>
        <v>18.53761612199111</v>
      </c>
      <c r="E268" s="60">
        <f t="shared" si="85"/>
        <v>1.84466628</v>
      </c>
      <c r="F268" s="60">
        <f t="shared" si="85"/>
        <v>0.42299979299780582</v>
      </c>
      <c r="G268" s="60">
        <f t="shared" si="85"/>
        <v>29.058688165123364</v>
      </c>
      <c r="H268" s="60">
        <f t="shared" si="85"/>
        <v>38.715709351808947</v>
      </c>
      <c r="I268" s="60">
        <f t="shared" si="85"/>
        <v>91.256638338833866</v>
      </c>
      <c r="J268" s="60">
        <f t="shared" si="85"/>
        <v>86.650743800005614</v>
      </c>
      <c r="K268" s="60">
        <f t="shared" si="85"/>
        <v>5.0556282624877706</v>
      </c>
      <c r="L268" s="60">
        <f t="shared" si="85"/>
        <v>60.796215480648705</v>
      </c>
      <c r="M268" s="60">
        <f t="shared" si="85"/>
        <v>40.640437730998102</v>
      </c>
      <c r="N268" s="60">
        <f t="shared" si="85"/>
        <v>52.893274008036428</v>
      </c>
      <c r="O268" s="60">
        <f t="shared" si="85"/>
        <v>44.258341279946656</v>
      </c>
      <c r="P268" s="60">
        <f t="shared" si="85"/>
        <v>54.894898345225144</v>
      </c>
      <c r="Q268" s="60">
        <f t="shared" si="85"/>
        <v>62.011799346864514</v>
      </c>
      <c r="R268" s="60">
        <f t="shared" si="85"/>
        <v>58.505101771483424</v>
      </c>
      <c r="S268" s="60">
        <f t="shared" si="85"/>
        <v>49.036350830204519</v>
      </c>
      <c r="T268" s="60">
        <f t="shared" si="85"/>
        <v>59.302016762123188</v>
      </c>
      <c r="U268" s="60">
        <f t="shared" si="85"/>
        <v>70.449812227087449</v>
      </c>
      <c r="V268" s="60">
        <f t="shared" si="85"/>
        <v>69.406849498376516</v>
      </c>
    </row>
    <row r="269" spans="3:22" x14ac:dyDescent="0.2">
      <c r="C269" s="88" t="s">
        <v>146</v>
      </c>
      <c r="D269" s="62">
        <f t="shared" ref="D269:V269" si="86">+IFERROR(IF(D230&gt;0,+((D230/D36)*100)," "),"")</f>
        <v>60.333615817144171</v>
      </c>
      <c r="E269" s="62">
        <f t="shared" si="86"/>
        <v>54.979904600132279</v>
      </c>
      <c r="F269" s="62">
        <f t="shared" si="86"/>
        <v>16.09597423008314</v>
      </c>
      <c r="G269" s="62">
        <f t="shared" si="86"/>
        <v>99.468425807063056</v>
      </c>
      <c r="H269" s="62">
        <f t="shared" si="86"/>
        <v>67.831671444626878</v>
      </c>
      <c r="I269" s="62">
        <f t="shared" si="86"/>
        <v>79.069283168677046</v>
      </c>
      <c r="J269" s="62">
        <f t="shared" si="86"/>
        <v>63.730659605698101</v>
      </c>
      <c r="K269" s="62">
        <f t="shared" si="86"/>
        <v>50.22534743568832</v>
      </c>
      <c r="L269" s="62">
        <f t="shared" si="86"/>
        <v>67.451835014405205</v>
      </c>
      <c r="M269" s="62">
        <f t="shared" si="86"/>
        <v>63.795885017639073</v>
      </c>
      <c r="N269" s="62">
        <f t="shared" si="86"/>
        <v>83.74743454</v>
      </c>
      <c r="O269" s="62">
        <f t="shared" si="86"/>
        <v>83.912618367944873</v>
      </c>
      <c r="P269" s="62">
        <f t="shared" si="86"/>
        <v>79.079324697967976</v>
      </c>
      <c r="Q269" s="62">
        <f t="shared" si="86"/>
        <v>72.911227999791649</v>
      </c>
      <c r="R269" s="62">
        <f t="shared" si="86"/>
        <v>89.843933931916112</v>
      </c>
      <c r="S269" s="62">
        <f t="shared" si="86"/>
        <v>90.969546912334863</v>
      </c>
      <c r="T269" s="62">
        <f t="shared" si="86"/>
        <v>88.698553611425183</v>
      </c>
      <c r="U269" s="62">
        <f t="shared" si="86"/>
        <v>88.345552222728031</v>
      </c>
      <c r="V269" s="62">
        <f t="shared" si="86"/>
        <v>97.559966717216611</v>
      </c>
    </row>
    <row r="270" spans="3:22" x14ac:dyDescent="0.2">
      <c r="C270" s="90" t="s">
        <v>147</v>
      </c>
      <c r="D270" s="61">
        <f t="shared" ref="D270:V270" si="87">+IFERROR(IF(D231&gt;0,+((D231/D37)*100)," "),"")</f>
        <v>60.702331855430401</v>
      </c>
      <c r="E270" s="61">
        <f t="shared" si="87"/>
        <v>76.591834687157103</v>
      </c>
      <c r="F270" s="61">
        <f t="shared" si="87"/>
        <v>69.996000899997242</v>
      </c>
      <c r="G270" s="61">
        <f t="shared" si="87"/>
        <v>69.758754658379246</v>
      </c>
      <c r="H270" s="61">
        <f t="shared" si="87"/>
        <v>71.416275208351209</v>
      </c>
      <c r="I270" s="61">
        <f t="shared" si="87"/>
        <v>78.903311456758345</v>
      </c>
      <c r="J270" s="61">
        <f t="shared" si="87"/>
        <v>67.97801819789666</v>
      </c>
      <c r="K270" s="61">
        <f t="shared" si="87"/>
        <v>70.043038960465921</v>
      </c>
      <c r="L270" s="61">
        <f t="shared" si="87"/>
        <v>76.365518730491672</v>
      </c>
      <c r="M270" s="61">
        <f t="shared" si="87"/>
        <v>75.359076361849247</v>
      </c>
      <c r="N270" s="61">
        <f t="shared" si="87"/>
        <v>83.260260379434143</v>
      </c>
      <c r="O270" s="61">
        <f t="shared" si="87"/>
        <v>67.270092013144804</v>
      </c>
      <c r="P270" s="61">
        <f t="shared" si="87"/>
        <v>82.083127256426408</v>
      </c>
      <c r="Q270" s="61">
        <f t="shared" si="87"/>
        <v>88.4451954540272</v>
      </c>
      <c r="R270" s="61">
        <f t="shared" si="87"/>
        <v>88.969775112458194</v>
      </c>
      <c r="S270" s="61">
        <f t="shared" si="87"/>
        <v>91.085508051270594</v>
      </c>
      <c r="T270" s="61">
        <f t="shared" si="87"/>
        <v>92.847883702561859</v>
      </c>
      <c r="U270" s="61">
        <f t="shared" si="87"/>
        <v>87.356444396234394</v>
      </c>
      <c r="V270" s="61">
        <f t="shared" si="87"/>
        <v>91.036963680045631</v>
      </c>
    </row>
    <row r="271" spans="3:22" ht="22.5" customHeight="1" x14ac:dyDescent="0.2">
      <c r="C271" s="89" t="s">
        <v>148</v>
      </c>
      <c r="D271" s="63" t="str">
        <f t="shared" ref="D271:V271" si="88">+IFERROR(IF(D232&gt;0,+((D232/D38)*100)," "),"")</f>
        <v xml:space="preserve"> </v>
      </c>
      <c r="E271" s="63" t="str">
        <f t="shared" si="88"/>
        <v xml:space="preserve"> </v>
      </c>
      <c r="F271" s="63" t="str">
        <f t="shared" si="88"/>
        <v xml:space="preserve"> </v>
      </c>
      <c r="G271" s="63" t="str">
        <f t="shared" si="88"/>
        <v xml:space="preserve"> </v>
      </c>
      <c r="H271" s="63" t="str">
        <f t="shared" si="88"/>
        <v xml:space="preserve"> </v>
      </c>
      <c r="I271" s="63" t="str">
        <f t="shared" si="88"/>
        <v xml:space="preserve"> </v>
      </c>
      <c r="J271" s="63" t="str">
        <f t="shared" si="88"/>
        <v xml:space="preserve"> </v>
      </c>
      <c r="K271" s="63" t="str">
        <f t="shared" si="88"/>
        <v xml:space="preserve"> </v>
      </c>
      <c r="L271" s="63" t="str">
        <f t="shared" si="88"/>
        <v xml:space="preserve"> </v>
      </c>
      <c r="M271" s="63" t="str">
        <f t="shared" si="88"/>
        <v xml:space="preserve"> </v>
      </c>
      <c r="N271" s="63" t="str">
        <f t="shared" si="88"/>
        <v xml:space="preserve"> </v>
      </c>
      <c r="O271" s="63" t="str">
        <f t="shared" si="88"/>
        <v xml:space="preserve"> </v>
      </c>
      <c r="P271" s="63" t="str">
        <f t="shared" si="88"/>
        <v xml:space="preserve"> </v>
      </c>
      <c r="Q271" s="63" t="str">
        <f t="shared" si="88"/>
        <v xml:space="preserve"> </v>
      </c>
      <c r="R271" s="63" t="str">
        <f t="shared" si="88"/>
        <v xml:space="preserve"> </v>
      </c>
      <c r="S271" s="63" t="str">
        <f t="shared" si="88"/>
        <v xml:space="preserve"> </v>
      </c>
      <c r="T271" s="63" t="str">
        <f t="shared" si="88"/>
        <v xml:space="preserve"> </v>
      </c>
      <c r="U271" s="63" t="str">
        <f t="shared" si="88"/>
        <v xml:space="preserve"> </v>
      </c>
      <c r="V271" s="63">
        <f t="shared" si="88"/>
        <v>56.255603915121867</v>
      </c>
    </row>
    <row r="272" spans="3:22" x14ac:dyDescent="0.2">
      <c r="C272" s="87" t="s">
        <v>149</v>
      </c>
      <c r="D272" s="60">
        <f t="shared" ref="D272:V272" si="89">+IFERROR(IF(D233&gt;0,+((D233/D39)*100)," "),"")</f>
        <v>70.314130481632162</v>
      </c>
      <c r="E272" s="60">
        <f t="shared" si="89"/>
        <v>52.116705400828387</v>
      </c>
      <c r="F272" s="60">
        <f t="shared" si="89"/>
        <v>23.518722806440618</v>
      </c>
      <c r="G272" s="60">
        <f t="shared" si="89"/>
        <v>11.364341828347534</v>
      </c>
      <c r="H272" s="60">
        <f t="shared" si="89"/>
        <v>94.332536911435696</v>
      </c>
      <c r="I272" s="60">
        <f t="shared" si="89"/>
        <v>36.927640125774978</v>
      </c>
      <c r="J272" s="60">
        <f t="shared" si="89"/>
        <v>71.168008782991578</v>
      </c>
      <c r="K272" s="60">
        <f t="shared" si="89"/>
        <v>85.752141629693966</v>
      </c>
      <c r="L272" s="60">
        <f t="shared" si="89"/>
        <v>62.498074375304313</v>
      </c>
      <c r="M272" s="60">
        <f t="shared" si="89"/>
        <v>61.968675317642052</v>
      </c>
      <c r="N272" s="60">
        <f t="shared" si="89"/>
        <v>51.060807704662011</v>
      </c>
      <c r="O272" s="60">
        <f t="shared" si="89"/>
        <v>68.131728657522501</v>
      </c>
      <c r="P272" s="60">
        <f t="shared" si="89"/>
        <v>52.830284123253449</v>
      </c>
      <c r="Q272" s="60">
        <f t="shared" si="89"/>
        <v>73.275788111676675</v>
      </c>
      <c r="R272" s="60">
        <f t="shared" si="89"/>
        <v>77.439282476303035</v>
      </c>
      <c r="S272" s="60">
        <f t="shared" si="89"/>
        <v>76.335958488328913</v>
      </c>
      <c r="T272" s="60">
        <f t="shared" si="89"/>
        <v>84.435225738379529</v>
      </c>
      <c r="U272" s="60">
        <f t="shared" si="89"/>
        <v>76.582800951754621</v>
      </c>
      <c r="V272" s="60">
        <f t="shared" si="89"/>
        <v>87.994491909047952</v>
      </c>
    </row>
    <row r="273" spans="3:22" x14ac:dyDescent="0.2">
      <c r="C273" s="88" t="s">
        <v>150</v>
      </c>
      <c r="D273" s="62">
        <f t="shared" ref="D273:V273" si="90">+IFERROR(IF(D234&gt;0,+((D234/D40)*100)," "),"")</f>
        <v>46.904450712465945</v>
      </c>
      <c r="E273" s="62">
        <f t="shared" si="90"/>
        <v>67.036114177999764</v>
      </c>
      <c r="F273" s="62">
        <f t="shared" si="90"/>
        <v>37.937519434440922</v>
      </c>
      <c r="G273" s="62">
        <f t="shared" si="90"/>
        <v>61.652243283894769</v>
      </c>
      <c r="H273" s="62">
        <f t="shared" si="90"/>
        <v>61.04496134359939</v>
      </c>
      <c r="I273" s="62">
        <f t="shared" si="90"/>
        <v>68.907672569402749</v>
      </c>
      <c r="J273" s="62">
        <f t="shared" si="90"/>
        <v>54.001481362935898</v>
      </c>
      <c r="K273" s="62">
        <f t="shared" si="90"/>
        <v>70.440549587798458</v>
      </c>
      <c r="L273" s="62">
        <f t="shared" si="90"/>
        <v>73.303623306936188</v>
      </c>
      <c r="M273" s="62">
        <f t="shared" si="90"/>
        <v>68.660551373309019</v>
      </c>
      <c r="N273" s="62">
        <f t="shared" si="90"/>
        <v>63.500103260463902</v>
      </c>
      <c r="O273" s="62">
        <f t="shared" si="90"/>
        <v>68.011557884573762</v>
      </c>
      <c r="P273" s="62">
        <f t="shared" si="90"/>
        <v>69.344934715227296</v>
      </c>
      <c r="Q273" s="62">
        <f t="shared" si="90"/>
        <v>68.156668914631723</v>
      </c>
      <c r="R273" s="62">
        <f t="shared" si="90"/>
        <v>76.333515369210119</v>
      </c>
      <c r="S273" s="62">
        <f t="shared" si="90"/>
        <v>70.624075097793082</v>
      </c>
      <c r="T273" s="62">
        <f t="shared" si="90"/>
        <v>63.242980004809787</v>
      </c>
      <c r="U273" s="62">
        <f t="shared" si="90"/>
        <v>58.445122058359601</v>
      </c>
      <c r="V273" s="62">
        <f t="shared" si="90"/>
        <v>68.085446406935489</v>
      </c>
    </row>
    <row r="274" spans="3:22" x14ac:dyDescent="0.2">
      <c r="C274" s="87" t="s">
        <v>151</v>
      </c>
      <c r="D274" s="60">
        <f t="shared" ref="D274:V274" si="91">+IFERROR(IF(D235&gt;0,+((D235/D41)*100)," "),"")</f>
        <v>41.890078387391995</v>
      </c>
      <c r="E274" s="60">
        <f t="shared" si="91"/>
        <v>11.586512311271207</v>
      </c>
      <c r="F274" s="60">
        <f t="shared" si="91"/>
        <v>34.929015983406416</v>
      </c>
      <c r="G274" s="60">
        <f t="shared" si="91"/>
        <v>18.079571394020729</v>
      </c>
      <c r="H274" s="60">
        <f t="shared" si="91"/>
        <v>4.0917250960717908</v>
      </c>
      <c r="I274" s="60">
        <f t="shared" si="91"/>
        <v>8.8327475952558228</v>
      </c>
      <c r="J274" s="60">
        <f t="shared" si="91"/>
        <v>48.571244175818769</v>
      </c>
      <c r="K274" s="60">
        <f t="shared" si="91"/>
        <v>74.879067821623821</v>
      </c>
      <c r="L274" s="60">
        <f t="shared" si="91"/>
        <v>46.878533200932431</v>
      </c>
      <c r="M274" s="60">
        <f t="shared" si="91"/>
        <v>33.620806969470536</v>
      </c>
      <c r="N274" s="60">
        <f t="shared" si="91"/>
        <v>28.177398627722845</v>
      </c>
      <c r="O274" s="60">
        <f t="shared" si="91"/>
        <v>57.316615592943165</v>
      </c>
      <c r="P274" s="60">
        <f t="shared" si="91"/>
        <v>42.709448037640371</v>
      </c>
      <c r="Q274" s="60">
        <f t="shared" si="91"/>
        <v>25.901049819547545</v>
      </c>
      <c r="R274" s="60">
        <f t="shared" si="91"/>
        <v>32.499995098232468</v>
      </c>
      <c r="S274" s="60">
        <f t="shared" si="91"/>
        <v>23.725694563739747</v>
      </c>
      <c r="T274" s="60">
        <f t="shared" si="91"/>
        <v>22.109144252663988</v>
      </c>
      <c r="U274" s="60">
        <f t="shared" si="91"/>
        <v>18.815770110885687</v>
      </c>
      <c r="V274" s="60">
        <f t="shared" si="91"/>
        <v>18.897253307643837</v>
      </c>
    </row>
    <row r="275" spans="3:22" x14ac:dyDescent="0.2">
      <c r="C275" s="91" t="s">
        <v>202</v>
      </c>
      <c r="D275" s="64">
        <f t="shared" ref="D275:V275" si="92">+IFERROR(IF(D236&gt;0,+((D236/D42)*100)," "),"")</f>
        <v>54.792578622039358</v>
      </c>
      <c r="E275" s="64">
        <f t="shared" si="92"/>
        <v>62.6643166040203</v>
      </c>
      <c r="F275" s="64">
        <f t="shared" si="92"/>
        <v>51.708706586564048</v>
      </c>
      <c r="G275" s="64">
        <f t="shared" si="92"/>
        <v>63.545140869086502</v>
      </c>
      <c r="H275" s="64">
        <f t="shared" si="92"/>
        <v>61.45403810484158</v>
      </c>
      <c r="I275" s="64">
        <f t="shared" si="92"/>
        <v>64.700432489075965</v>
      </c>
      <c r="J275" s="64">
        <f t="shared" si="92"/>
        <v>61.767697167933669</v>
      </c>
      <c r="K275" s="64">
        <f t="shared" si="92"/>
        <v>69.842591956048466</v>
      </c>
      <c r="L275" s="64">
        <f t="shared" si="92"/>
        <v>74.919519627594383</v>
      </c>
      <c r="M275" s="64">
        <f t="shared" si="92"/>
        <v>73.675180798256321</v>
      </c>
      <c r="N275" s="64">
        <f t="shared" si="92"/>
        <v>70.529812052498173</v>
      </c>
      <c r="O275" s="64">
        <f t="shared" si="92"/>
        <v>65.708598600079057</v>
      </c>
      <c r="P275" s="64">
        <f t="shared" si="92"/>
        <v>67.972050662509972</v>
      </c>
      <c r="Q275" s="64">
        <f t="shared" si="92"/>
        <v>70.910549840491171</v>
      </c>
      <c r="R275" s="64">
        <f t="shared" si="92"/>
        <v>72.788381034215305</v>
      </c>
      <c r="S275" s="64">
        <f t="shared" si="92"/>
        <v>72.812255098373811</v>
      </c>
      <c r="T275" s="64">
        <f t="shared" si="92"/>
        <v>72.805200132772654</v>
      </c>
      <c r="U275" s="64">
        <f t="shared" si="92"/>
        <v>71.649446417324995</v>
      </c>
      <c r="V275" s="64">
        <f t="shared" si="92"/>
        <v>76.910200238465592</v>
      </c>
    </row>
    <row r="276" spans="3:22" x14ac:dyDescent="0.2">
      <c r="C276" s="1" t="s">
        <v>52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</sheetData>
  <mergeCells count="173">
    <mergeCell ref="P6:P7"/>
    <mergeCell ref="Q244:Q245"/>
    <mergeCell ref="D9:V9"/>
    <mergeCell ref="S244:S245"/>
    <mergeCell ref="R6:R7"/>
    <mergeCell ref="H11:H12"/>
    <mergeCell ref="T50:T51"/>
    <mergeCell ref="J11:J12"/>
    <mergeCell ref="S128:S129"/>
    <mergeCell ref="R205:R206"/>
    <mergeCell ref="H128:H129"/>
    <mergeCell ref="E89:E90"/>
    <mergeCell ref="J128:J129"/>
    <mergeCell ref="T128:T129"/>
    <mergeCell ref="V128:V129"/>
    <mergeCell ref="T11:T12"/>
    <mergeCell ref="V205:V206"/>
    <mergeCell ref="L50:L51"/>
    <mergeCell ref="H205:H206"/>
    <mergeCell ref="E244:E245"/>
    <mergeCell ref="D203:V203"/>
    <mergeCell ref="M205:M206"/>
    <mergeCell ref="M167:M168"/>
    <mergeCell ref="C128:C129"/>
    <mergeCell ref="G244:G245"/>
    <mergeCell ref="J167:J168"/>
    <mergeCell ref="H50:H51"/>
    <mergeCell ref="T205:T206"/>
    <mergeCell ref="K89:K90"/>
    <mergeCell ref="J205:J206"/>
    <mergeCell ref="L6:L7"/>
    <mergeCell ref="N6:N7"/>
    <mergeCell ref="U50:U51"/>
    <mergeCell ref="I11:I12"/>
    <mergeCell ref="D244:D245"/>
    <mergeCell ref="F244:F245"/>
    <mergeCell ref="R244:R245"/>
    <mergeCell ref="L242:Q242"/>
    <mergeCell ref="U205:U206"/>
    <mergeCell ref="O11:O12"/>
    <mergeCell ref="Q11:Q12"/>
    <mergeCell ref="E50:E51"/>
    <mergeCell ref="D167:D168"/>
    <mergeCell ref="G50:G51"/>
    <mergeCell ref="I50:I51"/>
    <mergeCell ref="P167:P168"/>
    <mergeCell ref="H244:H245"/>
    <mergeCell ref="I6:I7"/>
    <mergeCell ref="J244:J245"/>
    <mergeCell ref="K6:K7"/>
    <mergeCell ref="N89:N90"/>
    <mergeCell ref="M50:M51"/>
    <mergeCell ref="J50:J51"/>
    <mergeCell ref="C244:C245"/>
    <mergeCell ref="F167:F168"/>
    <mergeCell ref="G89:G90"/>
    <mergeCell ref="U244:U245"/>
    <mergeCell ref="M244:M245"/>
    <mergeCell ref="O244:O245"/>
    <mergeCell ref="Q89:Q90"/>
    <mergeCell ref="S89:S90"/>
    <mergeCell ref="F11:F12"/>
    <mergeCell ref="U89:U90"/>
    <mergeCell ref="L167:L168"/>
    <mergeCell ref="N205:N206"/>
    <mergeCell ref="P205:P206"/>
    <mergeCell ref="P244:P245"/>
    <mergeCell ref="S50:S51"/>
    <mergeCell ref="G11:G12"/>
    <mergeCell ref="R167:R168"/>
    <mergeCell ref="T244:T245"/>
    <mergeCell ref="P89:P90"/>
    <mergeCell ref="S167:S168"/>
    <mergeCell ref="N50:N51"/>
    <mergeCell ref="P50:P51"/>
    <mergeCell ref="D11:D12"/>
    <mergeCell ref="M128:M129"/>
    <mergeCell ref="A7:C7"/>
    <mergeCell ref="P128:P129"/>
    <mergeCell ref="S11:S12"/>
    <mergeCell ref="R128:R129"/>
    <mergeCell ref="U11:U12"/>
    <mergeCell ref="M11:M12"/>
    <mergeCell ref="F89:F90"/>
    <mergeCell ref="C50:C51"/>
    <mergeCell ref="O205:O206"/>
    <mergeCell ref="Q205:Q206"/>
    <mergeCell ref="D164:V164"/>
    <mergeCell ref="K11:K12"/>
    <mergeCell ref="G6:G7"/>
    <mergeCell ref="J89:J90"/>
    <mergeCell ref="L89:L90"/>
    <mergeCell ref="Q6:Q7"/>
    <mergeCell ref="F50:F51"/>
    <mergeCell ref="S6:S7"/>
    <mergeCell ref="V89:V90"/>
    <mergeCell ref="C167:C168"/>
    <mergeCell ref="O167:O168"/>
    <mergeCell ref="R50:R51"/>
    <mergeCell ref="Q167:Q168"/>
    <mergeCell ref="S205:S206"/>
    <mergeCell ref="C11:C12"/>
    <mergeCell ref="T6:T7"/>
    <mergeCell ref="V50:V51"/>
    <mergeCell ref="I128:I129"/>
    <mergeCell ref="U167:U168"/>
    <mergeCell ref="L11:L12"/>
    <mergeCell ref="K128:K129"/>
    <mergeCell ref="D86:V86"/>
    <mergeCell ref="N11:N12"/>
    <mergeCell ref="U128:U129"/>
    <mergeCell ref="D48:V48"/>
    <mergeCell ref="R11:R12"/>
    <mergeCell ref="D6:D7"/>
    <mergeCell ref="I89:I90"/>
    <mergeCell ref="F6:F7"/>
    <mergeCell ref="D128:D129"/>
    <mergeCell ref="F128:F129"/>
    <mergeCell ref="E11:E12"/>
    <mergeCell ref="Q50:Q51"/>
    <mergeCell ref="R89:R90"/>
    <mergeCell ref="T89:T90"/>
    <mergeCell ref="N167:N168"/>
    <mergeCell ref="L128:L129"/>
    <mergeCell ref="N128:N129"/>
    <mergeCell ref="T167:T168"/>
    <mergeCell ref="V167:V168"/>
    <mergeCell ref="E167:E168"/>
    <mergeCell ref="L244:L245"/>
    <mergeCell ref="D241:V241"/>
    <mergeCell ref="M6:M7"/>
    <mergeCell ref="I205:I206"/>
    <mergeCell ref="N244:N245"/>
    <mergeCell ref="E6:E7"/>
    <mergeCell ref="O50:O51"/>
    <mergeCell ref="D89:D90"/>
    <mergeCell ref="V11:V12"/>
    <mergeCell ref="I244:I245"/>
    <mergeCell ref="D205:D206"/>
    <mergeCell ref="G167:G168"/>
    <mergeCell ref="M89:M90"/>
    <mergeCell ref="I167:I168"/>
    <mergeCell ref="O89:O90"/>
    <mergeCell ref="U6:U7"/>
    <mergeCell ref="P11:P12"/>
    <mergeCell ref="E128:E129"/>
    <mergeCell ref="O128:O129"/>
    <mergeCell ref="G128:G129"/>
    <mergeCell ref="G205:G206"/>
    <mergeCell ref="D2:V2"/>
    <mergeCell ref="Q128:Q129"/>
    <mergeCell ref="A5:C6"/>
    <mergeCell ref="K205:K206"/>
    <mergeCell ref="V244:V245"/>
    <mergeCell ref="D126:V126"/>
    <mergeCell ref="L165:Q165"/>
    <mergeCell ref="O6:O7"/>
    <mergeCell ref="D50:D51"/>
    <mergeCell ref="L87:Q87"/>
    <mergeCell ref="K167:K168"/>
    <mergeCell ref="D4:V4"/>
    <mergeCell ref="C89:C90"/>
    <mergeCell ref="H89:H90"/>
    <mergeCell ref="F205:F206"/>
    <mergeCell ref="H6:H7"/>
    <mergeCell ref="J6:J7"/>
    <mergeCell ref="K244:K245"/>
    <mergeCell ref="C205:C206"/>
    <mergeCell ref="V6:V7"/>
    <mergeCell ref="H167:H168"/>
    <mergeCell ref="E205:E206"/>
    <mergeCell ref="K50:K51"/>
    <mergeCell ref="L205:L206"/>
  </mergeCells>
  <pageMargins left="0.7" right="0.7" top="0.75" bottom="0.75" header="0.3" footer="0.3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K300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>
      <c r="I1" s="9" t="s">
        <v>209</v>
      </c>
    </row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5"/>
      <c r="E6" s="182"/>
      <c r="F6" s="182"/>
      <c r="G6" s="182"/>
      <c r="H6" s="182"/>
      <c r="I6" s="182"/>
      <c r="J6" s="182"/>
      <c r="K6" s="182"/>
    </row>
    <row r="7" spans="1:11" ht="20.25" customHeight="1" x14ac:dyDescent="0.2">
      <c r="A7" s="169" t="s">
        <v>21</v>
      </c>
      <c r="B7" s="160"/>
      <c r="C7" s="160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0.25" customHeight="1" x14ac:dyDescent="0.25">
      <c r="A8" s="180"/>
      <c r="B8" s="180"/>
      <c r="C8" s="18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1" s="102" customFormat="1" ht="16.5" customHeight="1" x14ac:dyDescent="0.25">
      <c r="A9" s="166" t="s">
        <v>227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 s="102" customFormat="1" ht="16.5" customHeight="1" x14ac:dyDescent="0.25">
      <c r="A10" s="99"/>
      <c r="B10" s="98"/>
      <c r="C10" s="98"/>
      <c r="D10" s="132"/>
      <c r="E10" s="132"/>
      <c r="F10" s="132"/>
      <c r="G10" s="132"/>
      <c r="H10" s="132"/>
      <c r="I10" s="132"/>
      <c r="J10" s="132"/>
      <c r="K10" s="132"/>
    </row>
    <row r="11" spans="1:11" ht="16.5" customHeight="1" x14ac:dyDescent="0.2">
      <c r="C11" s="9"/>
      <c r="D11" s="131" t="s">
        <v>201</v>
      </c>
      <c r="E11" s="131"/>
      <c r="F11" s="131"/>
      <c r="G11" s="131"/>
      <c r="H11" s="131"/>
      <c r="I11" s="131"/>
      <c r="J11" s="131"/>
      <c r="K11" s="131"/>
    </row>
    <row r="12" spans="1:11" ht="15.75" customHeight="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1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C15" s="87" t="s">
        <v>123</v>
      </c>
      <c r="D15" s="42">
        <f>1526.065815823*Deflactores!$T$5</f>
        <v>2373.5583483979085</v>
      </c>
      <c r="E15" s="42">
        <f>1122.52520318*Deflactores!$U$5</f>
        <v>1718.2497817602286</v>
      </c>
      <c r="F15" s="42">
        <f>1758.95142586*Deflactores!$V$5</f>
        <v>2549.1646068853729</v>
      </c>
      <c r="G15" s="42">
        <f>1824.182456578*Deflactores!$W$5</f>
        <v>2337.0764107807099</v>
      </c>
      <c r="H15" s="42">
        <f>4444.599534221*Deflactores!$X$5</f>
        <v>5210.7062071998344</v>
      </c>
      <c r="I15" s="42">
        <f>6821.061599551*Deflactores!$Y$5</f>
        <v>7601.5154505453766</v>
      </c>
      <c r="J15" s="42">
        <f>4192.64562226*Deflactores!$Z$5</f>
        <v>4445.5902949002548</v>
      </c>
      <c r="K15" s="42">
        <f>3213.56123749*Deflactores!$AA$5</f>
        <v>3213.5612374900002</v>
      </c>
    </row>
    <row r="16" spans="1:11" x14ac:dyDescent="0.2">
      <c r="C16" s="88" t="s">
        <v>124</v>
      </c>
      <c r="D16" s="50">
        <f>303.171016547*Deflactores!$T$5</f>
        <v>471.53542780154515</v>
      </c>
      <c r="E16" s="50">
        <f>376.695226315*Deflactores!$U$5</f>
        <v>576.6075350221596</v>
      </c>
      <c r="F16" s="50">
        <f>757.618897627*Deflactores!$V$5</f>
        <v>1097.9810192279742</v>
      </c>
      <c r="G16" s="50">
        <f>916.462803849*Deflactores!$W$5</f>
        <v>1174.1389094659698</v>
      </c>
      <c r="H16" s="50">
        <f>1492.79342263*Deflactores!$X$5</f>
        <v>1750.103219305799</v>
      </c>
      <c r="I16" s="50">
        <f>1439.164580272*Deflactores!$Y$5</f>
        <v>1603.8312560518998</v>
      </c>
      <c r="J16" s="50">
        <f>976.371329937*Deflactores!$Z$5</f>
        <v>1035.2763623859671</v>
      </c>
      <c r="K16" s="50">
        <f>1114.293796946*Deflactores!$AA$5</f>
        <v>1114.2937969459999</v>
      </c>
    </row>
    <row r="17" spans="3:11" x14ac:dyDescent="0.2">
      <c r="C17" s="87" t="s">
        <v>125</v>
      </c>
      <c r="D17" s="42">
        <f>327.50009532*Deflactores!$T$5</f>
        <v>509.37553104725094</v>
      </c>
      <c r="E17" s="42">
        <f>245.873068343*Deflactores!$U$5</f>
        <v>376.35800499112094</v>
      </c>
      <c r="F17" s="42">
        <f>386.465162527*Deflactores!$V$5</f>
        <v>560.08557122397974</v>
      </c>
      <c r="G17" s="42">
        <f>302.901433272*Deflactores!$W$5</f>
        <v>388.06633181837606</v>
      </c>
      <c r="H17" s="42">
        <f>457.611289945*Deflactores!$X$5</f>
        <v>536.4888266404995</v>
      </c>
      <c r="I17" s="42">
        <f>347.851577998*Deflactores!$Y$5</f>
        <v>387.65214271374458</v>
      </c>
      <c r="J17" s="42">
        <f>254.424632408*Deflactores!$Z$5</f>
        <v>269.77421383085556</v>
      </c>
      <c r="K17" s="42">
        <f>348.567095647*Deflactores!$AA$5</f>
        <v>348.56709564699997</v>
      </c>
    </row>
    <row r="18" spans="3:11" x14ac:dyDescent="0.2">
      <c r="C18" s="88" t="s">
        <v>126</v>
      </c>
      <c r="D18" s="50">
        <f>345.888371439*Deflactores!$T$5</f>
        <v>537.97563848846278</v>
      </c>
      <c r="E18" s="50">
        <f>389.397636729*Deflactores!$U$5</f>
        <v>596.05111977184163</v>
      </c>
      <c r="F18" s="50">
        <f>497.717907316*Deflactores!$V$5</f>
        <v>721.31888060676124</v>
      </c>
      <c r="G18" s="50">
        <f>495.177747969*Deflactores!$W$5</f>
        <v>634.40377345410684</v>
      </c>
      <c r="H18" s="50">
        <f>649.614091341*Deflactores!$X$5</f>
        <v>761.5867643356321</v>
      </c>
      <c r="I18" s="50">
        <f>343.700148969*Deflactores!$Y$5</f>
        <v>383.02571448916103</v>
      </c>
      <c r="J18" s="50">
        <f>398.919303499*Deflactores!$Z$5</f>
        <v>422.98632984095963</v>
      </c>
      <c r="K18" s="50">
        <f>335.168558019*Deflactores!$AA$5</f>
        <v>335.16855801899999</v>
      </c>
    </row>
    <row r="19" spans="3:11" x14ac:dyDescent="0.2">
      <c r="C19" s="87" t="s">
        <v>127</v>
      </c>
      <c r="D19" s="42">
        <f>90*Deflactores!$T$5</f>
        <v>139.98102122522639</v>
      </c>
      <c r="E19" s="42">
        <f>83.141129558*Deflactores!$U$5</f>
        <v>127.26416058510968</v>
      </c>
      <c r="F19" s="42">
        <f>115.71346817*Deflactores!$V$5</f>
        <v>167.69802352825116</v>
      </c>
      <c r="G19" s="42">
        <f>209.033450966*Deflactores!$W$5</f>
        <v>267.8060769387933</v>
      </c>
      <c r="H19" s="42">
        <f>276.516725483*Deflactores!$X$5</f>
        <v>324.17935671708983</v>
      </c>
      <c r="I19" s="42">
        <f>263*Deflactores!$Y$5</f>
        <v>293.09199665122986</v>
      </c>
      <c r="J19" s="42">
        <f>200*Deflactores!$Z$5</f>
        <v>212.06611268537921</v>
      </c>
      <c r="K19" s="42">
        <f>200*Deflactores!$AA$5</f>
        <v>200</v>
      </c>
    </row>
    <row r="20" spans="3:11" x14ac:dyDescent="0.2">
      <c r="C20" s="88" t="s">
        <v>128</v>
      </c>
      <c r="D20" s="50">
        <f>146.544090632*Deflactores!$T$5</f>
        <v>227.92657179099433</v>
      </c>
      <c r="E20" s="50">
        <f>141.962145894*Deflactores!$U$5</f>
        <v>217.30151404134216</v>
      </c>
      <c r="F20" s="50">
        <f>372.200515857*Deflactores!$V$5</f>
        <v>539.41249754708144</v>
      </c>
      <c r="G20" s="50">
        <f>376.854681237*Deflactores!$W$5</f>
        <v>482.81255125293836</v>
      </c>
      <c r="H20" s="50">
        <f>504.644431861*Deflactores!$X$5</f>
        <v>591.62897653226378</v>
      </c>
      <c r="I20" s="50">
        <f>985.487482283*Deflactores!$Y$5</f>
        <v>1098.245223791323</v>
      </c>
      <c r="J20" s="50">
        <f>734.221144324*Deflactores!$Z$5</f>
        <v>778.51711964100718</v>
      </c>
      <c r="K20" s="50">
        <f>760.52429921*Deflactores!$AA$5</f>
        <v>760.52429920999998</v>
      </c>
    </row>
    <row r="21" spans="3:11" x14ac:dyDescent="0.2">
      <c r="C21" s="87" t="s">
        <v>129</v>
      </c>
      <c r="D21" s="42">
        <f>1133.197335263*Deflactores!$T$5</f>
        <v>1762.5124471091108</v>
      </c>
      <c r="E21" s="42">
        <f>1391.167489452*Deflactores!$U$5</f>
        <v>2129.4606378290118</v>
      </c>
      <c r="F21" s="42">
        <f>2105.628247*Deflactores!$V$5</f>
        <v>3051.586828150259</v>
      </c>
      <c r="G21" s="42">
        <f>2083.008283576*Deflactores!$W$5</f>
        <v>2668.6746742091195</v>
      </c>
      <c r="H21" s="42">
        <f>1981.492645*Deflactores!$X$5</f>
        <v>2323.0385426911057</v>
      </c>
      <c r="I21" s="42">
        <f>3103.143349434*Deflactores!$Y$5</f>
        <v>3458.1995444129129</v>
      </c>
      <c r="J21" s="42">
        <f>2310.99536515633*Deflactores!$Z$5</f>
        <v>2450.4190176131569</v>
      </c>
      <c r="K21" s="42">
        <f>3675.842580895*Deflactores!$AA$5</f>
        <v>3675.8425808950001</v>
      </c>
    </row>
    <row r="22" spans="3:11" x14ac:dyDescent="0.2">
      <c r="C22" s="88" t="s">
        <v>130</v>
      </c>
      <c r="D22" s="50">
        <f>462*Deflactores!$T$5</f>
        <v>718.56924228949538</v>
      </c>
      <c r="E22" s="50">
        <f>422.38737623*Deflactores!$U$5</f>
        <v>646.54852734660096</v>
      </c>
      <c r="F22" s="50">
        <f>727.839792982*Deflactores!$V$5</f>
        <v>1054.8235798184951</v>
      </c>
      <c r="G22" s="50">
        <f>845.29875289*Deflactores!$W$5</f>
        <v>1082.9661080873902</v>
      </c>
      <c r="H22" s="50">
        <f>891.709127023*Deflactores!$X$5</f>
        <v>1045.4112338851844</v>
      </c>
      <c r="I22" s="50">
        <f>994.03887389*Deflactores!$Y$5</f>
        <v>1107.7750505603049</v>
      </c>
      <c r="J22" s="50">
        <f>400*Deflactores!$Z$5</f>
        <v>424.13222537075842</v>
      </c>
      <c r="K22" s="50">
        <f>441.892487504*Deflactores!$AA$5</f>
        <v>441.89248750399997</v>
      </c>
    </row>
    <row r="23" spans="3:11" x14ac:dyDescent="0.2">
      <c r="C23" s="87" t="s">
        <v>131</v>
      </c>
      <c r="D23" s="42">
        <f>4062.336154618*Deflactores!$T$5</f>
        <v>6318.3329275954084</v>
      </c>
      <c r="E23" s="42">
        <f>3994.790481497*Deflactores!$U$5</f>
        <v>6114.8274030417379</v>
      </c>
      <c r="F23" s="42">
        <f>4861.243434535*Deflactores!$V$5</f>
        <v>7045.1688014702677</v>
      </c>
      <c r="G23" s="42">
        <f>5535.033284332*Deflactores!$W$5</f>
        <v>7091.2839201209999</v>
      </c>
      <c r="H23" s="42">
        <f>7403.613739137*Deflactores!$X$5</f>
        <v>8679.7597329525615</v>
      </c>
      <c r="I23" s="42">
        <f>8081.078749273*Deflactores!$Y$5</f>
        <v>9005.7015426625348</v>
      </c>
      <c r="J23" s="42">
        <f>6776.941757549*Deflactores!$Z$5</f>
        <v>7185.79847209319</v>
      </c>
      <c r="K23" s="42">
        <f>6820.300451684*Deflactores!$AA$5</f>
        <v>6820.3004516840001</v>
      </c>
    </row>
    <row r="24" spans="3:11" x14ac:dyDescent="0.2">
      <c r="C24" s="88" t="s">
        <v>132</v>
      </c>
      <c r="D24" s="50">
        <f>324.638392831*Deflactores!$T$5</f>
        <v>504.92459730443983</v>
      </c>
      <c r="E24" s="50">
        <f>260.751040873*Deflactores!$U$5</f>
        <v>399.13172355021146</v>
      </c>
      <c r="F24" s="50">
        <f>334.639445337*Deflactores!$V$5</f>
        <v>484.97702527729138</v>
      </c>
      <c r="G24" s="50">
        <f>336.406633966*Deflactores!$W$5</f>
        <v>430.99197990695183</v>
      </c>
      <c r="H24" s="50">
        <f>392.980287025*Deflactores!$X$5</f>
        <v>460.71750787492243</v>
      </c>
      <c r="I24" s="50">
        <f>375.160266458*Deflactores!$Y$5</f>
        <v>418.08544319537128</v>
      </c>
      <c r="J24" s="50">
        <f>397.548510344*Deflactores!$Z$5</f>
        <v>421.53283596257677</v>
      </c>
      <c r="K24" s="50">
        <f>411.9110317*Deflactores!$AA$5</f>
        <v>411.91103170000002</v>
      </c>
    </row>
    <row r="25" spans="3:11" x14ac:dyDescent="0.2">
      <c r="C25" s="87" t="s">
        <v>133</v>
      </c>
      <c r="D25" s="42">
        <f>171.520550998*Deflactores!$T$5</f>
        <v>266.77357655348402</v>
      </c>
      <c r="E25" s="42">
        <f>173.978456129*Deflactores!$U$5</f>
        <v>266.30889304558457</v>
      </c>
      <c r="F25" s="42">
        <f>203.538882838*Deflactores!$V$5</f>
        <v>294.9792180883768</v>
      </c>
      <c r="G25" s="42">
        <f>200.554889748*Deflactores!$W$5</f>
        <v>256.9436517748548</v>
      </c>
      <c r="H25" s="42">
        <f>243.720783494*Deflactores!$X$5</f>
        <v>285.73044423863416</v>
      </c>
      <c r="I25" s="42">
        <f>257.729928226*Deflactores!$Y$5</f>
        <v>287.21893254956848</v>
      </c>
      <c r="J25" s="42">
        <f>338.391767658*Deflactores!$Z$5</f>
        <v>358.80713365983041</v>
      </c>
      <c r="K25" s="42">
        <f>407.050542142*Deflactores!$AA$5</f>
        <v>407.05054214199998</v>
      </c>
    </row>
    <row r="26" spans="3:11" x14ac:dyDescent="0.2">
      <c r="C26" s="88" t="s">
        <v>134</v>
      </c>
      <c r="D26" s="50">
        <f>1827.131144378*Deflactores!$T$5</f>
        <v>2841.8187055827666</v>
      </c>
      <c r="E26" s="50">
        <f>1929.249471722*Deflactores!$U$5</f>
        <v>2953.1029453561446</v>
      </c>
      <c r="F26" s="50">
        <f>2274.184409842*Deflactores!$V$5</f>
        <v>3295.8672546999305</v>
      </c>
      <c r="G26" s="50">
        <f>2613.560737045*Deflactores!$W$5</f>
        <v>3348.399237513082</v>
      </c>
      <c r="H26" s="50">
        <f>4830.927664568*Deflactores!$X$5</f>
        <v>5663.6249395435898</v>
      </c>
      <c r="I26" s="50">
        <f>3315.450549608*Deflactores!$Y$5</f>
        <v>3694.7985603917341</v>
      </c>
      <c r="J26" s="50">
        <f>2785.404005115*Deflactores!$Z$5</f>
        <v>2953.448998115121</v>
      </c>
      <c r="K26" s="50">
        <f>4765.890934639*Deflactores!$AA$5</f>
        <v>4765.8909346390001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9967.559102631*Deflactores!$Y$5</f>
        <v>11108.02965448388</v>
      </c>
      <c r="J27" s="42">
        <f>9990.712699932*Deflactores!$Z$5</f>
        <v>10593.458026155144</v>
      </c>
      <c r="K27" s="42">
        <f>9699.66031298*Deflactores!$AA$5</f>
        <v>9699.6603129800005</v>
      </c>
    </row>
    <row r="28" spans="3:11" x14ac:dyDescent="0.2">
      <c r="C28" s="88" t="s">
        <v>136</v>
      </c>
      <c r="D28" s="50">
        <f>10008.629901714*Deflactores!$T$5</f>
        <v>15566.869274525143</v>
      </c>
      <c r="E28" s="50">
        <f>10580.678139794*Deflactores!$U$5</f>
        <v>16195.848300843012</v>
      </c>
      <c r="F28" s="50">
        <f>14434.612841607*Deflactores!$V$5</f>
        <v>20919.397562060014</v>
      </c>
      <c r="G28" s="50">
        <f>21727.546051394*Deflactores!$W$5</f>
        <v>27836.544068141702</v>
      </c>
      <c r="H28" s="50">
        <f>19820.368650912*Deflactores!$X$5</f>
        <v>23236.765689036958</v>
      </c>
      <c r="I28" s="50">
        <f>11152.307544973*Deflactores!$Y$5</f>
        <v>12428.334926329704</v>
      </c>
      <c r="J28" s="50">
        <f>8876.386753354*Deflactores!$Z$5</f>
        <v>9411.9041673788834</v>
      </c>
      <c r="K28" s="50">
        <f>11238.801236285*Deflactores!$AA$5</f>
        <v>11238.801236285</v>
      </c>
    </row>
    <row r="29" spans="3:11" x14ac:dyDescent="0.2">
      <c r="C29" s="87" t="s">
        <v>137</v>
      </c>
      <c r="D29" s="42">
        <f>226.187526608*Deflactores!$T$5</f>
        <v>351.79956625551006</v>
      </c>
      <c r="E29" s="42">
        <f>212.053368929*Deflactores!$U$5</f>
        <v>324.59017744241169</v>
      </c>
      <c r="F29" s="42">
        <f>420.864117062*Deflactores!$V$5</f>
        <v>609.93833925684783</v>
      </c>
      <c r="G29" s="42">
        <f>483.829414493*Deflactores!$W$5</f>
        <v>619.86470014332338</v>
      </c>
      <c r="H29" s="42">
        <f>801.531642159*Deflactores!$X$5</f>
        <v>939.69003751808123</v>
      </c>
      <c r="I29" s="42">
        <f>1045.218780894*Deflactores!$Y$5</f>
        <v>1164.8108723558435</v>
      </c>
      <c r="J29" s="42">
        <f>754.850408857*Deflactores!$Z$5</f>
        <v>800.39095932636565</v>
      </c>
      <c r="K29" s="42">
        <f>522.403554053*Deflactores!$AA$5</f>
        <v>522.40355405299999</v>
      </c>
    </row>
    <row r="30" spans="3:11" x14ac:dyDescent="0.2">
      <c r="C30" s="88" t="s">
        <v>138</v>
      </c>
      <c r="D30" s="50">
        <f>7.240789965*Deflactores!$T$5</f>
        <v>11.26192415308968</v>
      </c>
      <c r="E30" s="50">
        <f>7.094353307*Deflactores!$U$5</f>
        <v>10.859329471578935</v>
      </c>
      <c r="F30" s="50">
        <f>7.846050941*Deflactores!$V$5</f>
        <v>11.370908297162268</v>
      </c>
      <c r="G30" s="50">
        <f>8*Deflactores!$W$5</f>
        <v>10.249309886094847</v>
      </c>
      <c r="H30" s="50">
        <f>29*Deflactores!$X$5</f>
        <v>33.998671611542655</v>
      </c>
      <c r="I30" s="50">
        <f>40.538191002*Deflactores!$Y$5</f>
        <v>45.176499396977562</v>
      </c>
      <c r="J30" s="50">
        <f>35.198878846*Deflactores!$Z$5</f>
        <v>37.322447038774229</v>
      </c>
      <c r="K30" s="50">
        <f>23.154858491*Deflactores!$AA$5</f>
        <v>23.154858490999999</v>
      </c>
    </row>
    <row r="31" spans="3:11" x14ac:dyDescent="0.2">
      <c r="C31" s="87" t="s">
        <v>160</v>
      </c>
      <c r="D31" s="42">
        <f>99.126838442*Deflactores!$T$5</f>
        <v>154.17640084376873</v>
      </c>
      <c r="E31" s="42">
        <f>215.442899543*Deflactores!$U$5</f>
        <v>329.77853332188431</v>
      </c>
      <c r="F31" s="42">
        <f>356.557706831*Deflactores!$V$5</f>
        <v>516.74211874349976</v>
      </c>
      <c r="G31" s="42">
        <f>667.239572578*Deflactores!$W$5</f>
        <v>854.84314345217444</v>
      </c>
      <c r="H31" s="42">
        <f>496.367897221*Deflactores!$X$5</f>
        <v>581.92583228030117</v>
      </c>
      <c r="I31" s="42">
        <f>561.259970633*Deflactores!$Y$5</f>
        <v>625.47834765489199</v>
      </c>
      <c r="J31" s="42">
        <f>467.11101387*Deflactores!$Z$5</f>
        <v>495.29208451968577</v>
      </c>
      <c r="K31" s="42">
        <f>453.842954339*Deflactores!$AA$5</f>
        <v>453.84295433900002</v>
      </c>
    </row>
    <row r="32" spans="3:11" x14ac:dyDescent="0.2">
      <c r="C32" s="88" t="s">
        <v>161</v>
      </c>
      <c r="D32" s="50">
        <f>381.989697171*Deflactores!$T$5</f>
        <v>594.1256434167949</v>
      </c>
      <c r="E32" s="50">
        <f>441.527088085*Deflactores!$U$5</f>
        <v>675.84569201127169</v>
      </c>
      <c r="F32" s="50">
        <f>516.325614849*Deflactores!$V$5</f>
        <v>748.28614574042228</v>
      </c>
      <c r="G32" s="50">
        <f>713.0015559*Deflactores!$W$5</f>
        <v>913.47173696085974</v>
      </c>
      <c r="H32" s="50">
        <f>542.101724312*Deflactores!$X$5</f>
        <v>635.54270706671434</v>
      </c>
      <c r="I32" s="50">
        <f>730.950388311*Deflactores!$Y$5</f>
        <v>814.58444396601817</v>
      </c>
      <c r="J32" s="50">
        <f>788.494325058*Deflactores!$Z$5</f>
        <v>836.06463194765922</v>
      </c>
      <c r="K32" s="50">
        <f>705.303629209*Deflactores!$AA$5</f>
        <v>705.30362920899995</v>
      </c>
    </row>
    <row r="33" spans="1:11" x14ac:dyDescent="0.2">
      <c r="C33" s="87" t="s">
        <v>140</v>
      </c>
      <c r="D33" s="42">
        <f>3324.853707915*Deflactores!$T$5</f>
        <v>5171.2935273158027</v>
      </c>
      <c r="E33" s="42">
        <f>3159.053762721*Deflactores!$U$5</f>
        <v>4835.5648701580067</v>
      </c>
      <c r="F33" s="42">
        <f>4897.453745578*Deflactores!$V$5</f>
        <v>7097.6466823020228</v>
      </c>
      <c r="G33" s="42">
        <f>4787.154763782*Deflactores!$W$5</f>
        <v>6133.1290808371123</v>
      </c>
      <c r="H33" s="42">
        <f>7287.278419043*Deflactores!$X$5</f>
        <v>8543.3719279629204</v>
      </c>
      <c r="I33" s="42">
        <f>7525.703325265*Deflactores!$Y$5</f>
        <v>8386.7810410901857</v>
      </c>
      <c r="J33" s="42">
        <f>7076.258883019*Deflactores!$Z$5</f>
        <v>7503.1735683861143</v>
      </c>
      <c r="K33" s="42">
        <f>10141.820157641*Deflactores!$AA$5</f>
        <v>10141.820157640999</v>
      </c>
    </row>
    <row r="34" spans="1:11" x14ac:dyDescent="0.2">
      <c r="C34" s="88" t="s">
        <v>141</v>
      </c>
      <c r="D34" s="50">
        <f>160.351239781*Deflactores!$T$5</f>
        <v>249.40144776972807</v>
      </c>
      <c r="E34" s="50">
        <f>223.229508317*Deflactores!$U$5</f>
        <v>341.69749851631866</v>
      </c>
      <c r="F34" s="50">
        <f>353.941613602*Deflactores!$V$5</f>
        <v>512.95073930593583</v>
      </c>
      <c r="G34" s="50">
        <f>444.371286924*Deflactores!$W$5</f>
        <v>569.31237802085536</v>
      </c>
      <c r="H34" s="50">
        <f>581.61888279*Deflactores!$X$5</f>
        <v>681.87135858791476</v>
      </c>
      <c r="I34" s="50">
        <f>515.167917902*Deflactores!$Y$5</f>
        <v>574.11252345457808</v>
      </c>
      <c r="J34" s="50">
        <f>383.713217875*Deflactores!$Z$5</f>
        <v>406.86285250374607</v>
      </c>
      <c r="K34" s="50">
        <f>890.028419756*Deflactores!$AA$5</f>
        <v>890.02841975599995</v>
      </c>
    </row>
    <row r="35" spans="1:11" x14ac:dyDescent="0.2">
      <c r="C35" s="87" t="s">
        <v>142</v>
      </c>
      <c r="D35" s="42">
        <f>301.854957798*Deflactores!$T$5</f>
        <v>469.48850282735162</v>
      </c>
      <c r="E35" s="42">
        <f>214.440182288*Deflactores!$U$5</f>
        <v>328.24367361477914</v>
      </c>
      <c r="F35" s="42">
        <f>585.154910213*Deflactores!$V$5</f>
        <v>848.03716846862665</v>
      </c>
      <c r="G35" s="42">
        <f>1137.305206519*Deflactores!$W$5</f>
        <v>1457.074187085291</v>
      </c>
      <c r="H35" s="42">
        <f>1407.764857741*Deflactores!$X$5</f>
        <v>1650.4184518829763</v>
      </c>
      <c r="I35" s="42">
        <f>982.459258332*Deflactores!$Y$5</f>
        <v>1094.8705157909212</v>
      </c>
      <c r="J35" s="42">
        <f>645.35435273*Deflactores!$Z$5</f>
        <v>684.28894444020068</v>
      </c>
      <c r="K35" s="42">
        <f>983.948201866*Deflactores!$AA$5</f>
        <v>983.94820186599998</v>
      </c>
    </row>
    <row r="36" spans="1:11" x14ac:dyDescent="0.2">
      <c r="C36" s="88" t="s">
        <v>143</v>
      </c>
      <c r="D36" s="50">
        <f>327.502494459*Deflactores!$T$5</f>
        <v>509.3792625353318</v>
      </c>
      <c r="E36" s="50">
        <f>728.879049582*Deflactores!$U$5</f>
        <v>1115.6954555015448</v>
      </c>
      <c r="F36" s="50">
        <f>2492.79450537*Deflactores!$V$5</f>
        <v>3612.6884642198816</v>
      </c>
      <c r="G36" s="50">
        <f>1365.786064798*Deflactores!$W$5</f>
        <v>1749.7955770280901</v>
      </c>
      <c r="H36" s="50">
        <f>2318.361949101*Deflactores!$X$5</f>
        <v>2717.9733304889951</v>
      </c>
      <c r="I36" s="50">
        <f>824.125423425*Deflactores!$Y$5</f>
        <v>918.42040244362545</v>
      </c>
      <c r="J36" s="50">
        <f>492.396294637*Deflactores!$Z$5</f>
        <v>522.1028405217661</v>
      </c>
      <c r="K36" s="50">
        <f>291.410215225*Deflactores!$AA$5</f>
        <v>291.410215225</v>
      </c>
    </row>
    <row r="37" spans="1:11" x14ac:dyDescent="0.2">
      <c r="C37" s="87" t="s">
        <v>144</v>
      </c>
      <c r="D37" s="42">
        <f>342.568474523*Deflactores!$T$5</f>
        <v>532.81205448108324</v>
      </c>
      <c r="E37" s="42">
        <f>276.349705141*Deflactores!$U$5</f>
        <v>423.00860524365902</v>
      </c>
      <c r="F37" s="42">
        <f>480.260662865*Deflactores!$V$5</f>
        <v>696.0189268763861</v>
      </c>
      <c r="G37" s="42">
        <f>580.82202774*Deflactores!$W$5</f>
        <v>744.12811887215469</v>
      </c>
      <c r="H37" s="42">
        <f>726.90985*Deflactores!$X$5</f>
        <v>852.20583728778377</v>
      </c>
      <c r="I37" s="42">
        <f>1137.039817889*Deflactores!$Y$5</f>
        <v>1267.1379106351246</v>
      </c>
      <c r="J37" s="42">
        <f>1249.41526791*Deflactores!$Z$5</f>
        <v>1324.7931949771767</v>
      </c>
      <c r="K37" s="42">
        <f>1449.610576324*Deflactores!$AA$5</f>
        <v>1449.610576324</v>
      </c>
    </row>
    <row r="38" spans="1:11" x14ac:dyDescent="0.2">
      <c r="C38" s="88" t="s">
        <v>145</v>
      </c>
      <c r="D38" s="50">
        <f>108.811841261*Deflactores!$T$5</f>
        <v>169.23991845680004</v>
      </c>
      <c r="E38" s="50">
        <f>148.531931771*Deflactores!$U$5</f>
        <v>227.35788793601051</v>
      </c>
      <c r="F38" s="50">
        <f>120.208690351*Deflactores!$V$5</f>
        <v>174.2127351430353</v>
      </c>
      <c r="G38" s="50">
        <f>215.537219175*Deflactores!$W$5</f>
        <v>276.13846891396491</v>
      </c>
      <c r="H38" s="50">
        <f>336.485286098*Deflactores!$X$5</f>
        <v>394.48457738489242</v>
      </c>
      <c r="I38" s="50">
        <f>310.408411808*Deflactores!$Y$5</f>
        <v>345.92479541499586</v>
      </c>
      <c r="J38" s="50">
        <f>340.330984448*Deflactores!$Z$5</f>
        <v>360.86334449137803</v>
      </c>
      <c r="K38" s="50">
        <f>396.562629583*Deflactores!$AA$5</f>
        <v>396.56262958299999</v>
      </c>
    </row>
    <row r="39" spans="1:11" x14ac:dyDescent="0.2">
      <c r="C39" s="87" t="s">
        <v>146</v>
      </c>
      <c r="D39" s="42">
        <f>49.526122132*Deflactores!$T$5</f>
        <v>77.030190592918288</v>
      </c>
      <c r="E39" s="42">
        <f>46.018722192*Deflactores!$U$5</f>
        <v>70.440876640708467</v>
      </c>
      <c r="F39" s="42">
        <f>71.962289824*Deflactores!$V$5</f>
        <v>104.29152252460726</v>
      </c>
      <c r="G39" s="42">
        <f>79.178463919*Deflactores!$W$5</f>
        <v>101.44057662635136</v>
      </c>
      <c r="H39" s="42">
        <f>118.391293235*Deflactores!$X$5</f>
        <v>138.79816208146954</v>
      </c>
      <c r="I39" s="42">
        <f>105.012736073*Deflactores!$Y$5</f>
        <v>117.02810832488289</v>
      </c>
      <c r="J39" s="42">
        <f>187.940451164*Deflactores!$Z$5</f>
        <v>199.27900447342915</v>
      </c>
      <c r="K39" s="42">
        <f>201.092961587*Deflactores!$AA$5</f>
        <v>201.09296158699999</v>
      </c>
    </row>
    <row r="40" spans="1:11" x14ac:dyDescent="0.2">
      <c r="C40" s="88" t="s">
        <v>162</v>
      </c>
      <c r="D40" s="50">
        <f>655.511019225*Deflactores!$T$5</f>
        <v>1019.5455766167167</v>
      </c>
      <c r="E40" s="50">
        <f>707.16456808*Deflactores!$U$5</f>
        <v>1082.4570898985721</v>
      </c>
      <c r="F40" s="50">
        <f>879.746749153*Deflactores!$V$5</f>
        <v>1274.9751033442062</v>
      </c>
      <c r="G40" s="50">
        <f>1182.912125689*Deflactores!$W$5</f>
        <v>1515.5041180257174</v>
      </c>
      <c r="H40" s="50">
        <f>2125.310001537*Deflactores!$X$5</f>
        <v>2491.6454074132303</v>
      </c>
      <c r="I40" s="50">
        <f>2056.649907901*Deflactores!$Y$5</f>
        <v>2291.9681669934298</v>
      </c>
      <c r="J40" s="50">
        <f>2126.376516837*Deflactores!$Z$5</f>
        <v>2254.6620101554968</v>
      </c>
      <c r="K40" s="50">
        <f>3034.420349005*Deflactores!$AA$5</f>
        <v>3034.4203490049999</v>
      </c>
    </row>
    <row r="41" spans="1:11" x14ac:dyDescent="0.2">
      <c r="C41" s="87" t="s">
        <v>148</v>
      </c>
      <c r="D41" s="42">
        <f>150.61064771*Deflactores!$T$5</f>
        <v>234.2514697093178</v>
      </c>
      <c r="E41" s="42">
        <f>177.973974653*Deflactores!$U$5</f>
        <v>272.42483486357963</v>
      </c>
      <c r="F41" s="42">
        <f>214.222987376*Deflactores!$V$5</f>
        <v>310.46318242310355</v>
      </c>
      <c r="G41" s="42">
        <f>255.085613218*Deflactores!$W$5</f>
        <v>326.80643716947674</v>
      </c>
      <c r="H41" s="42">
        <f>249.063806801*Deflactores!$X$5</f>
        <v>291.99443371544493</v>
      </c>
      <c r="I41" s="42">
        <f>254.269322249*Deflactores!$Y$5</f>
        <v>283.36237013351479</v>
      </c>
      <c r="J41" s="42">
        <f>264.583564807*Deflactores!$Z$5</f>
        <v>280.54604034530297</v>
      </c>
      <c r="K41" s="42">
        <f>267.481541366*Deflactores!$AA$5</f>
        <v>267.48154136599999</v>
      </c>
    </row>
    <row r="42" spans="1:11" x14ac:dyDescent="0.2">
      <c r="C42" s="88" t="s">
        <v>149</v>
      </c>
      <c r="D42" s="50">
        <f>1141.367832872*Deflactores!$T$5</f>
        <v>1775.2203871005117</v>
      </c>
      <c r="E42" s="50">
        <f>1268.783313599*Deflactores!$U$5</f>
        <v>1942.1271304346103</v>
      </c>
      <c r="F42" s="50">
        <f>1606.674211183*Deflactores!$V$5</f>
        <v>2328.4764853245956</v>
      </c>
      <c r="G42" s="50">
        <f>1565.590897309*Deflactores!$W$5</f>
        <v>2005.7782826711546</v>
      </c>
      <c r="H42" s="50">
        <f>1495.299573094*Deflactores!$X$5</f>
        <v>1753.0413498794076</v>
      </c>
      <c r="I42" s="50">
        <f>3260.032668925*Deflactores!$Y$5</f>
        <v>3633.0398634352318</v>
      </c>
      <c r="J42" s="50">
        <f>1899.403039629*Deflactores!$Z$5</f>
        <v>2013.9950951845765</v>
      </c>
      <c r="K42" s="50">
        <f>1707.851472581*Deflactores!$AA$5</f>
        <v>1707.8514725810001</v>
      </c>
    </row>
    <row r="43" spans="1:11" x14ac:dyDescent="0.2">
      <c r="C43" s="87" t="s">
        <v>163</v>
      </c>
      <c r="D43" s="42">
        <f>5178.702847861*Deflactores!$T$5</f>
        <v>8054.6679251730102</v>
      </c>
      <c r="E43" s="42">
        <f>5810.325189916*Deflactores!$U$5</f>
        <v>8893.8671142942967</v>
      </c>
      <c r="F43" s="42">
        <f>4146.329343165*Deflactores!$V$5</f>
        <v>6009.0778259659373</v>
      </c>
      <c r="G43" s="42">
        <f>4332.564139948*Deflactores!$W$5</f>
        <v>5550.7240589636322</v>
      </c>
      <c r="H43" s="42">
        <f>5120.5031115*Deflactores!$X$5</f>
        <v>6003.1139232334781</v>
      </c>
      <c r="I43" s="42">
        <f>5663.393123503*Deflactores!$Y$5</f>
        <v>6311.3885870279073</v>
      </c>
      <c r="J43" s="42">
        <f>6642.020890664*Deflactores!$Z$5</f>
        <v>7042.7377532909732</v>
      </c>
      <c r="K43" s="42">
        <f>6782.166091663*Deflactores!$AA$5</f>
        <v>6782.1660916629999</v>
      </c>
    </row>
    <row r="44" spans="1:11" x14ac:dyDescent="0.2">
      <c r="C44" s="88" t="s">
        <v>150</v>
      </c>
      <c r="D44" s="50">
        <f>6656.188300174*Deflactores!$T$5</f>
        <v>10352.667063619558</v>
      </c>
      <c r="E44" s="50">
        <f>7018.602306422*Deflactores!$U$5</f>
        <v>10743.377384407493</v>
      </c>
      <c r="F44" s="50">
        <f>10357.786140481*Deflactores!$V$5</f>
        <v>15011.046608119103</v>
      </c>
      <c r="G44" s="50">
        <f>11232.524326783*Deflactores!$W$5</f>
        <v>14390.702828537233</v>
      </c>
      <c r="H44" s="50">
        <f>11303.839670422*Deflactores!$X$5</f>
        <v>13252.259755317451</v>
      </c>
      <c r="I44" s="50">
        <f>12776.528166967*Deflactores!$Y$5</f>
        <v>14238.396010368959</v>
      </c>
      <c r="J44" s="50">
        <f>12131.627217916*Deflactores!$Z$5</f>
        <v>12863.53512325794</v>
      </c>
      <c r="K44" s="50">
        <f>15555.396320902*Deflactores!$AA$5</f>
        <v>15555.396320902</v>
      </c>
    </row>
    <row r="45" spans="1:11" x14ac:dyDescent="0.2">
      <c r="C45" s="87" t="s">
        <v>151</v>
      </c>
      <c r="D45" s="42">
        <f>1956.813877382*Deflactores!$T$5</f>
        <v>3043.5200544847476</v>
      </c>
      <c r="E45" s="42">
        <f>1995.97249401*Deflactores!$U$5</f>
        <v>3055.2359025137712</v>
      </c>
      <c r="F45" s="42">
        <f>3233.300557485*Deflactores!$V$5</f>
        <v>4685.8686507125467</v>
      </c>
      <c r="G45" s="42">
        <f>3165.347167423*Deflactores!$W$5</f>
        <v>4055.3280019988597</v>
      </c>
      <c r="H45" s="42">
        <f>5008.42949458*Deflactores!$X$5</f>
        <v>5871.7224026134472</v>
      </c>
      <c r="I45" s="42">
        <f>5366.906197157*Deflactores!$Y$5</f>
        <v>5980.9781489148445</v>
      </c>
      <c r="J45" s="42">
        <f>4001.528694152*Deflactores!$Z$5</f>
        <v>4242.9431748390816</v>
      </c>
      <c r="K45" s="42">
        <f>2632.130594413*Deflactores!$AA$5</f>
        <v>2632.1305944129999</v>
      </c>
    </row>
    <row r="46" spans="1:11" ht="10.5" customHeight="1" x14ac:dyDescent="0.2">
      <c r="C46" s="79" t="s">
        <v>202</v>
      </c>
      <c r="D46" s="44">
        <f t="shared" ref="D46:K46" si="0">+SUM(D15:D45)</f>
        <v>65010.034225063253</v>
      </c>
      <c r="E46" s="44">
        <f t="shared" si="0"/>
        <v>66989.632603454607</v>
      </c>
      <c r="F46" s="44">
        <f t="shared" si="0"/>
        <v>86334.552475351971</v>
      </c>
      <c r="G46" s="44">
        <f t="shared" si="0"/>
        <v>89274.398698657344</v>
      </c>
      <c r="H46" s="44">
        <f t="shared" si="0"/>
        <v>97703.799607280147</v>
      </c>
      <c r="I46" s="44">
        <f t="shared" si="0"/>
        <v>100968.96404623069</v>
      </c>
      <c r="J46" s="44">
        <f t="shared" si="0"/>
        <v>82832.564379332733</v>
      </c>
      <c r="K46" s="44">
        <f t="shared" si="0"/>
        <v>89472.089093144998</v>
      </c>
    </row>
    <row r="47" spans="1:11" s="31" customFormat="1" ht="10.5" customHeight="1" x14ac:dyDescent="0.2">
      <c r="A47" s="5"/>
      <c r="B47" s="5"/>
      <c r="C47" s="72" t="str">
        <f>+'C1 Aprop Resumen 2000-2026'!B20</f>
        <v>* Información con corte a 30 de Junio</v>
      </c>
      <c r="D47" s="121">
        <f>+D46-'C5 Ejecución PGN 2019-2026'!D32</f>
        <v>0</v>
      </c>
      <c r="E47" s="121">
        <f>+E46-'C5 Ejecución PGN 2019-2026'!E32</f>
        <v>0</v>
      </c>
      <c r="F47" s="121">
        <f>+F46-'C5 Ejecución PGN 2019-2026'!F32</f>
        <v>0</v>
      </c>
      <c r="G47" s="121">
        <f>+G46-'C5 Ejecución PGN 2019-2026'!G32</f>
        <v>0</v>
      </c>
      <c r="H47" s="121">
        <f>+H46-'C5 Ejecución PGN 2019-2026'!H32</f>
        <v>0</v>
      </c>
      <c r="I47" s="121">
        <f>+I46-'C5 Ejecución PGN 2019-2026'!I32</f>
        <v>0</v>
      </c>
      <c r="J47" s="121">
        <f>+J46-'C5 Ejecución PGN 2019-2026'!J32</f>
        <v>0</v>
      </c>
      <c r="K47" s="121">
        <f>+K46-'C5 Ejecución PGN 2019-2026'!K32</f>
        <v>0</v>
      </c>
    </row>
    <row r="48" spans="1:11" x14ac:dyDescent="0.2">
      <c r="C48" s="1" t="s">
        <v>52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customHeight="1" x14ac:dyDescent="0.2">
      <c r="C53" s="9"/>
      <c r="D53" s="131" t="s">
        <v>203</v>
      </c>
      <c r="E53" s="131"/>
      <c r="F53" s="131"/>
      <c r="G53" s="131"/>
      <c r="H53" s="131"/>
      <c r="I53" s="131"/>
      <c r="J53" s="131"/>
      <c r="K53" s="131"/>
    </row>
    <row r="54" spans="3:11" ht="2.25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x14ac:dyDescent="0.2">
      <c r="C56" s="181" t="s">
        <v>120</v>
      </c>
      <c r="D56" s="184">
        <v>2019</v>
      </c>
      <c r="E56" s="155">
        <v>2020</v>
      </c>
      <c r="F56" s="155">
        <v>2021</v>
      </c>
      <c r="G56" s="155">
        <v>2022</v>
      </c>
      <c r="H56" s="155">
        <v>2023</v>
      </c>
      <c r="I56" s="155">
        <v>2024</v>
      </c>
      <c r="J56" s="155">
        <v>2025</v>
      </c>
      <c r="K56" s="155" t="s">
        <v>36</v>
      </c>
    </row>
    <row r="57" spans="3:11" ht="12" customHeight="1" thickBot="1" x14ac:dyDescent="0.25">
      <c r="C57" s="162"/>
      <c r="D57" s="185"/>
      <c r="E57" s="156"/>
      <c r="F57" s="156"/>
      <c r="G57" s="156"/>
      <c r="H57" s="156"/>
      <c r="I57" s="156"/>
      <c r="J57" s="156"/>
      <c r="K57" s="156"/>
    </row>
    <row r="58" spans="3:11" x14ac:dyDescent="0.2">
      <c r="C58" s="87" t="s">
        <v>123</v>
      </c>
      <c r="D58" s="42">
        <f>1457.14229773049*Deflactores!$T$5</f>
        <v>2266.3585211865206</v>
      </c>
      <c r="E58" s="42">
        <f>1065.7474036407*Deflactores!$U$5</f>
        <v>1631.3399810797137</v>
      </c>
      <c r="F58" s="42">
        <f>1645.5623886033*Deflactores!$V$5</f>
        <v>2384.8352704784493</v>
      </c>
      <c r="G58" s="42">
        <f>1611.21584977058*Deflactores!$W$5</f>
        <v>2064.2313172107897</v>
      </c>
      <c r="H58" s="42">
        <f>4097.03270145921*Deflactores!$X$5</f>
        <v>4803.229979264247</v>
      </c>
      <c r="I58" s="42">
        <f>6630.71741609387*Deflactores!$Y$5</f>
        <v>7389.3924209621146</v>
      </c>
      <c r="J58" s="42">
        <f>3989.16223948175*Deflactores!$Z$5</f>
        <v>4229.8306449909824</v>
      </c>
      <c r="K58" s="42">
        <f>1800.24381629722*Deflactores!$AA$5</f>
        <v>1800.2438162972201</v>
      </c>
    </row>
    <row r="59" spans="3:11" x14ac:dyDescent="0.2">
      <c r="C59" s="88" t="s">
        <v>124</v>
      </c>
      <c r="D59" s="50">
        <f>288.20049987044*Deflactores!$T$5</f>
        <v>448.25111432761014</v>
      </c>
      <c r="E59" s="50">
        <f>358.04352203405*Deflactores!$U$5</f>
        <v>548.05736374813466</v>
      </c>
      <c r="F59" s="50">
        <f>580.47322576173*Deflactores!$V$5</f>
        <v>841.2522259578077</v>
      </c>
      <c r="G59" s="50">
        <f>758.067403550259*Deflactores!$W$5</f>
        <v>971.20846669174023</v>
      </c>
      <c r="H59" s="50">
        <f>1239.30551607519*Deflactores!$X$5</f>
        <v>1452.9221126694408</v>
      </c>
      <c r="I59" s="50">
        <f>1403.70850518201*Deflactores!$Y$5</f>
        <v>1564.318359316002</v>
      </c>
      <c r="J59" s="50">
        <f>949.172452500039*Deflactores!$Z$5</f>
        <v>1006.436561348655</v>
      </c>
      <c r="K59" s="50">
        <f>560.69419673787*Deflactores!$AA$5</f>
        <v>560.69419673787002</v>
      </c>
    </row>
    <row r="60" spans="3:11" x14ac:dyDescent="0.2">
      <c r="C60" s="87" t="s">
        <v>125</v>
      </c>
      <c r="D60" s="42">
        <f>327.372708889349*Deflactores!$T$5</f>
        <v>509.17740123999795</v>
      </c>
      <c r="E60" s="42">
        <f>243.643233944079*Deflactores!$U$5</f>
        <v>372.94479657633127</v>
      </c>
      <c r="F60" s="42">
        <f>383.2487069391*Deflactores!$V$5</f>
        <v>555.42411518616757</v>
      </c>
      <c r="G60" s="42">
        <f>302.683368367509*Deflactores!$W$5</f>
        <v>387.78695497069981</v>
      </c>
      <c r="H60" s="42">
        <f>451.84911058533*Deflactores!$X$5</f>
        <v>529.73343202614672</v>
      </c>
      <c r="I60" s="42">
        <f>341.72148436872*Deflactores!$Y$5</f>
        <v>380.8206545712934</v>
      </c>
      <c r="J60" s="42">
        <f>249.2123277102*Deflactores!$Z$5</f>
        <v>264.24744785388458</v>
      </c>
      <c r="K60" s="42">
        <f>217.37393658627*Deflactores!$AA$5</f>
        <v>217.37393658626999</v>
      </c>
    </row>
    <row r="61" spans="3:11" x14ac:dyDescent="0.2">
      <c r="C61" s="88" t="s">
        <v>126</v>
      </c>
      <c r="D61" s="50">
        <f>339.01676276163*Deflactores!$T$5</f>
        <v>527.28791848714741</v>
      </c>
      <c r="E61" s="50">
        <f>374.53614104527*Deflactores!$U$5</f>
        <v>573.30262232798964</v>
      </c>
      <c r="F61" s="50">
        <f>473.318057548889*Deflactores!$V$5</f>
        <v>685.95733933552981</v>
      </c>
      <c r="G61" s="50">
        <f>472.0308032489*Deflactores!$W$5</f>
        <v>604.74874728503028</v>
      </c>
      <c r="H61" s="50">
        <f>633.88547072686*Deflactores!$X$5</f>
        <v>743.14703305416026</v>
      </c>
      <c r="I61" s="50">
        <f>326.57453938395*Deflactores!$Y$5</f>
        <v>363.94062282698712</v>
      </c>
      <c r="J61" s="50">
        <f>385.878053078759*Deflactores!$Z$5</f>
        <v>409.15829343507426</v>
      </c>
      <c r="K61" s="50">
        <f>278.93430604212*Deflactores!$AA$5</f>
        <v>278.93430604212</v>
      </c>
    </row>
    <row r="62" spans="3:11" x14ac:dyDescent="0.2">
      <c r="C62" s="87" t="s">
        <v>127</v>
      </c>
      <c r="D62" s="42">
        <f>85.0317916714599*Deflactores!$T$5</f>
        <v>132.25374483090729</v>
      </c>
      <c r="E62" s="42">
        <f>82.08811447538*Deflactores!$U$5</f>
        <v>125.65230997295738</v>
      </c>
      <c r="F62" s="42">
        <f>113.121567184129*Deflactores!$V$5</f>
        <v>163.94170475753626</v>
      </c>
      <c r="G62" s="42">
        <f>180.03564532904*Deflactores!$W$5</f>
        <v>230.65513994004939</v>
      </c>
      <c r="H62" s="42">
        <f>264.313946154429*Deflactores!$X$5</f>
        <v>309.87320888466894</v>
      </c>
      <c r="I62" s="42">
        <f>260.20243270279*Deflactores!$Y$5</f>
        <v>289.97433663257794</v>
      </c>
      <c r="J62" s="42">
        <f>198.71816047376*Deflactores!$Z$5</f>
        <v>210.70693905829827</v>
      </c>
      <c r="K62" s="42">
        <f>196.02518717376*Deflactores!$AA$5</f>
        <v>196.02518717376</v>
      </c>
    </row>
    <row r="63" spans="3:11" x14ac:dyDescent="0.2">
      <c r="C63" s="88" t="s">
        <v>128</v>
      </c>
      <c r="D63" s="50">
        <f>145.05669568624*Deflactores!$T$5</f>
        <v>225.61315997463072</v>
      </c>
      <c r="E63" s="50">
        <f>141.476032455479*Deflactores!$U$5</f>
        <v>216.55742000471542</v>
      </c>
      <c r="F63" s="50">
        <f>367.027041890209*Deflactores!$V$5</f>
        <v>531.91482789179872</v>
      </c>
      <c r="G63" s="50">
        <f>368.114053853772*Deflactores!$W$5</f>
        <v>471.61437642173956</v>
      </c>
      <c r="H63" s="50">
        <f>496.071108602305*Deflactores!$X$5</f>
        <v>581.57788680495446</v>
      </c>
      <c r="I63" s="50">
        <f>972.46580265405*Deflactores!$Y$5</f>
        <v>1083.7336265205945</v>
      </c>
      <c r="J63" s="50">
        <f>731.29721899727*Deflactores!$Z$5</f>
        <v>775.41679225189739</v>
      </c>
      <c r="K63" s="50">
        <f>510.753771150989*Deflactores!$AA$5</f>
        <v>510.753771150989</v>
      </c>
    </row>
    <row r="64" spans="3:11" x14ac:dyDescent="0.2">
      <c r="C64" s="87" t="s">
        <v>129</v>
      </c>
      <c r="D64" s="42">
        <f>1128.47141640265*Deflactores!$T$5</f>
        <v>1755.1620143502291</v>
      </c>
      <c r="E64" s="42">
        <f>1380.41688755123*Deflactores!$U$5</f>
        <v>2113.0046871586314</v>
      </c>
      <c r="F64" s="42">
        <f>2081.46304348323*Deflactores!$V$5</f>
        <v>3016.5653485246839</v>
      </c>
      <c r="G64" s="42">
        <f>1996.66370915504*Deflactores!$W$5</f>
        <v>2558.0531366811947</v>
      </c>
      <c r="H64" s="42">
        <f>1869.28889509911*Deflactores!$X$5</f>
        <v>2191.4944583302772</v>
      </c>
      <c r="I64" s="42">
        <f>2888.57993568482*Deflactores!$Y$5</f>
        <v>3219.086162876597</v>
      </c>
      <c r="J64" s="42">
        <f>2276.26783366249*Deflactores!$Z$5</f>
        <v>2413.5963545778682</v>
      </c>
      <c r="K64" s="42">
        <f>1965.15393648158*Deflactores!$AA$5</f>
        <v>1965.1539364815801</v>
      </c>
    </row>
    <row r="65" spans="3:11" x14ac:dyDescent="0.2">
      <c r="C65" s="88" t="s">
        <v>130</v>
      </c>
      <c r="D65" s="50">
        <f>444.22376038195*Deflactores!$T$5</f>
        <v>690.92106256417355</v>
      </c>
      <c r="E65" s="50">
        <f>403.02721940475*Deflactores!$U$5</f>
        <v>616.91392747695738</v>
      </c>
      <c r="F65" s="50">
        <f>696.8199241366*Deflactores!$V$5</f>
        <v>1009.8679598915502</v>
      </c>
      <c r="G65" s="50">
        <f>829.17265326404*Deflactores!$W$5</f>
        <v>1062.3059340473276</v>
      </c>
      <c r="H65" s="50">
        <f>650.19622214562*Deflactores!$X$5</f>
        <v>762.26923585498525</v>
      </c>
      <c r="I65" s="50">
        <f>929.65762236639*Deflactores!$Y$5</f>
        <v>1036.027409663119</v>
      </c>
      <c r="J65" s="50">
        <f>396.25331116953*Deflactores!$Z$5</f>
        <v>420.15949669216087</v>
      </c>
      <c r="K65" s="50">
        <f>386.27770850076*Deflactores!$AA$5</f>
        <v>386.27770850076001</v>
      </c>
    </row>
    <row r="66" spans="3:11" x14ac:dyDescent="0.2">
      <c r="C66" s="87" t="s">
        <v>131</v>
      </c>
      <c r="D66" s="42">
        <f>4059.09012760083*Deflactores!$T$5</f>
        <v>6313.2842367422063</v>
      </c>
      <c r="E66" s="42">
        <f>3989.47143778037*Deflactores!$U$5</f>
        <v>6106.685540676971</v>
      </c>
      <c r="F66" s="42">
        <f>4855.84393790518*Deflactores!$V$5</f>
        <v>7037.3435679240911</v>
      </c>
      <c r="G66" s="42">
        <f>5528.88848345094*Deflactores!$W$5</f>
        <v>7083.4114240687086</v>
      </c>
      <c r="H66" s="42">
        <f>7383.75967930301*Deflactores!$X$5</f>
        <v>8656.4834687990515</v>
      </c>
      <c r="I66" s="42">
        <f>8056.49067200885*Deflactores!$Y$5</f>
        <v>8978.3001409166627</v>
      </c>
      <c r="J66" s="42">
        <f>6754.05805949682*Deflactores!$Z$5</f>
        <v>7161.5341876442308</v>
      </c>
      <c r="K66" s="42">
        <f>5075.96900534925*Deflactores!$AA$5</f>
        <v>5075.9690053492504</v>
      </c>
    </row>
    <row r="67" spans="3:11" x14ac:dyDescent="0.2">
      <c r="C67" s="88" t="s">
        <v>132</v>
      </c>
      <c r="D67" s="50">
        <f>300.629583821339*Deflactores!$T$5</f>
        <v>467.58262393139808</v>
      </c>
      <c r="E67" s="50">
        <f>187.21013920091*Deflactores!$U$5</f>
        <v>286.56263566643884</v>
      </c>
      <c r="F67" s="50">
        <f>217.63284735314*Deflactores!$V$5</f>
        <v>315.40493023965303</v>
      </c>
      <c r="G67" s="50">
        <f>229.58232074167*Deflactores!$W$5</f>
        <v>294.13254370627459</v>
      </c>
      <c r="H67" s="50">
        <f>298.30637236421*Deflactores!$X$5</f>
        <v>349.72484116004614</v>
      </c>
      <c r="I67" s="50">
        <f>332.15641994716*Deflactores!$Y$5</f>
        <v>370.16117233018065</v>
      </c>
      <c r="J67" s="50">
        <f>355.384343542669*Deflactores!$Z$5</f>
        <v>376.82488122169582</v>
      </c>
      <c r="K67" s="50">
        <f>219.884906192799*Deflactores!$AA$5</f>
        <v>219.88490619279901</v>
      </c>
    </row>
    <row r="68" spans="3:11" x14ac:dyDescent="0.2">
      <c r="C68" s="87" t="s">
        <v>133</v>
      </c>
      <c r="D68" s="42">
        <f>170.160323868139*Deflactores!$T$5</f>
        <v>264.65795452308174</v>
      </c>
      <c r="E68" s="42">
        <f>170.68877500457*Deflactores!$U$5</f>
        <v>261.27337682011398</v>
      </c>
      <c r="F68" s="42">
        <f>195.3461308216*Deflactores!$V$5</f>
        <v>283.10585241940475</v>
      </c>
      <c r="G68" s="42">
        <f>197.106304312919*Deflactores!$W$5</f>
        <v>252.52544917575253</v>
      </c>
      <c r="H68" s="42">
        <f>225.97992504154*Deflactores!$X$5</f>
        <v>264.93162973408079</v>
      </c>
      <c r="I68" s="42">
        <f>253.097706043409*Deflactores!$Y$5</f>
        <v>282.05669966581291</v>
      </c>
      <c r="J68" s="42">
        <f>336.609445736519*Deflactores!$Z$5</f>
        <v>356.91728325261835</v>
      </c>
      <c r="K68" s="42">
        <f>174.48111660441*Deflactores!$AA$5</f>
        <v>174.48111660441</v>
      </c>
    </row>
    <row r="69" spans="3:11" x14ac:dyDescent="0.2">
      <c r="C69" s="88" t="s">
        <v>134</v>
      </c>
      <c r="D69" s="50">
        <f>1204.07596679339*Deflactores!$T$5</f>
        <v>1872.7531496054501</v>
      </c>
      <c r="E69" s="50">
        <f>1030.83694137889*Deflactores!$U$5</f>
        <v>1577.902522399434</v>
      </c>
      <c r="F69" s="50">
        <f>1664.60186427044*Deflactores!$V$5</f>
        <v>2412.4282766244824</v>
      </c>
      <c r="G69" s="50">
        <f>2052.43653681453*Deflactores!$W$5</f>
        <v>2629.507260919429</v>
      </c>
      <c r="H69" s="50">
        <f>1709.46198849359*Deflactores!$X$5</f>
        <v>2004.1185096278714</v>
      </c>
      <c r="I69" s="50">
        <f>3034.41016930447*Deflactores!$Y$5</f>
        <v>3381.602034905869</v>
      </c>
      <c r="J69" s="50">
        <f>2508.89470690474*Deflactores!$Z$5</f>
        <v>2660.25773815106</v>
      </c>
      <c r="K69" s="50">
        <f>3831.39173673372*Deflactores!$AA$5</f>
        <v>3831.3917367337199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9876.82162195098*Deflactores!$Y$5</f>
        <v>11006.910151124148</v>
      </c>
      <c r="J70" s="42">
        <f>9973.81784170416*Deflactores!$Z$5</f>
        <v>10575.5438916114</v>
      </c>
      <c r="K70" s="42">
        <f>7038.60325497953*Deflactores!$AA$5</f>
        <v>7038.60325497953</v>
      </c>
    </row>
    <row r="71" spans="3:11" x14ac:dyDescent="0.2">
      <c r="C71" s="88" t="s">
        <v>136</v>
      </c>
      <c r="D71" s="50">
        <f>9938.24199580664*Deflactores!$T$5</f>
        <v>15457.39181951606</v>
      </c>
      <c r="E71" s="50">
        <f>10473.1315785255*Deflactores!$U$5</f>
        <v>16031.226736084227</v>
      </c>
      <c r="F71" s="50">
        <f>13956.0179398663*Deflactores!$V$5</f>
        <v>20225.792743520651</v>
      </c>
      <c r="G71" s="50">
        <f>21413.1975625256*Deflactores!$W$5</f>
        <v>27433.812183811962</v>
      </c>
      <c r="H71" s="50">
        <f>18296.3040459428*Deflactores!$X$5</f>
        <v>21450.001136653394</v>
      </c>
      <c r="I71" s="50">
        <f>10863.196471742*Deflactores!$Y$5</f>
        <v>12106.144273450411</v>
      </c>
      <c r="J71" s="50">
        <f>8784.72130867526*Deflactores!$Z$5</f>
        <v>9314.7084947758976</v>
      </c>
      <c r="K71" s="50">
        <f>5698.4477396999*Deflactores!$AA$5</f>
        <v>5698.4477396999</v>
      </c>
    </row>
    <row r="72" spans="3:11" x14ac:dyDescent="0.2">
      <c r="C72" s="87" t="s">
        <v>137</v>
      </c>
      <c r="D72" s="42">
        <f>215.139340389159*Deflactores!$T$5</f>
        <v>334.61582859328962</v>
      </c>
      <c r="E72" s="42">
        <f>196.612318659119*Deflactores!$U$5</f>
        <v>300.95455555952617</v>
      </c>
      <c r="F72" s="42">
        <f>272.855477830189*Deflactores!$V$5</f>
        <v>395.43646098097281</v>
      </c>
      <c r="G72" s="42">
        <f>277.85290164032*Deflactores!$W$5</f>
        <v>355.97506145778385</v>
      </c>
      <c r="H72" s="42">
        <f>649.734923253929*Deflactores!$X$5</f>
        <v>761.72842380211034</v>
      </c>
      <c r="I72" s="42">
        <f>987.02751904181*Deflactores!$Y$5</f>
        <v>1099.9614688428665</v>
      </c>
      <c r="J72" s="42">
        <f>725.67679059755*Deflactores!$Z$5</f>
        <v>769.45728024012192</v>
      </c>
      <c r="K72" s="42">
        <f>335.91251324842*Deflactores!$AA$5</f>
        <v>335.91251324842</v>
      </c>
    </row>
    <row r="73" spans="3:11" x14ac:dyDescent="0.2">
      <c r="C73" s="88" t="s">
        <v>138</v>
      </c>
      <c r="D73" s="50">
        <f>7.24011327854*Deflactores!$T$5</f>
        <v>11.260871672403901</v>
      </c>
      <c r="E73" s="50">
        <f>7.09158704076*Deflactores!$U$5</f>
        <v>10.855095146728406</v>
      </c>
      <c r="F73" s="50">
        <f>7.62840792554*Deflactores!$V$5</f>
        <v>11.055488630769164</v>
      </c>
      <c r="G73" s="50">
        <f>7.00219109229*Deflactores!$W$5</f>
        <v>8.9709532983166476</v>
      </c>
      <c r="H73" s="50">
        <f>28.58911039884*Deflactores!$X$5</f>
        <v>33.516957797113804</v>
      </c>
      <c r="I73" s="50">
        <f>39.42857062632*Deflactores!$Y$5</f>
        <v>43.939918212821908</v>
      </c>
      <c r="J73" s="50">
        <f>35.1851783793699*Deflactores!$Z$5</f>
        <v>37.307920015273126</v>
      </c>
      <c r="K73" s="50">
        <f>7.39804815575*Deflactores!$AA$5</f>
        <v>7.3980481557499997</v>
      </c>
    </row>
    <row r="74" spans="3:11" x14ac:dyDescent="0.2">
      <c r="C74" s="87" t="s">
        <v>160</v>
      </c>
      <c r="D74" s="42">
        <f>90.8150400894*Deflactores!$T$5</f>
        <v>141.24868949248983</v>
      </c>
      <c r="E74" s="42">
        <f>204.8316122369*Deflactores!$U$5</f>
        <v>313.53583155781735</v>
      </c>
      <c r="F74" s="42">
        <f>337.176317504449*Deflactores!$V$5</f>
        <v>488.65359339985434</v>
      </c>
      <c r="G74" s="42">
        <f>527.31773120062*Deflactores!$W$5</f>
        <v>675.58035443845245</v>
      </c>
      <c r="H74" s="42">
        <f>459.49130289419*Deflactores!$X$5</f>
        <v>538.69289363653252</v>
      </c>
      <c r="I74" s="42">
        <f>487.09482211411*Deflactores!$Y$5</f>
        <v>542.82735350532369</v>
      </c>
      <c r="J74" s="42">
        <f>461.12502309919*Deflactores!$Z$5</f>
        <v>488.9449555530046</v>
      </c>
      <c r="K74" s="42">
        <f>198.34751462507*Deflactores!$AA$5</f>
        <v>198.34751462507</v>
      </c>
    </row>
    <row r="75" spans="3:11" x14ac:dyDescent="0.2">
      <c r="C75" s="88" t="s">
        <v>161</v>
      </c>
      <c r="D75" s="50">
        <f>329.75323169689*Deflactores!$T$5</f>
        <v>512.87993472499272</v>
      </c>
      <c r="E75" s="50">
        <f>399.87789655353*Deflactores!$U$5</f>
        <v>612.09325771696308</v>
      </c>
      <c r="F75" s="50">
        <f>460.34561459564*Deflactores!$V$5</f>
        <v>667.15699501954418</v>
      </c>
      <c r="G75" s="50">
        <f>496.92303363902*Deflactores!$W$5</f>
        <v>636.63977016308127</v>
      </c>
      <c r="H75" s="50">
        <f>459.61261738658*Deflactores!$X$5</f>
        <v>538.83511886372173</v>
      </c>
      <c r="I75" s="50">
        <f>701.11949029911*Deflactores!$Y$5</f>
        <v>781.34034715915868</v>
      </c>
      <c r="J75" s="50">
        <f>702.68207815123*Deflactores!$Z$5</f>
        <v>745.07528383607587</v>
      </c>
      <c r="K75" s="50">
        <f>366.98178986464*Deflactores!$AA$5</f>
        <v>366.98178986464001</v>
      </c>
    </row>
    <row r="76" spans="3:11" x14ac:dyDescent="0.2">
      <c r="C76" s="87" t="s">
        <v>140</v>
      </c>
      <c r="D76" s="42">
        <f>3248.69805509588*Deflactores!$T$5</f>
        <v>5052.8452378303118</v>
      </c>
      <c r="E76" s="42">
        <f>3106.35825139056*Deflactores!$U$5</f>
        <v>4754.9038296871377</v>
      </c>
      <c r="F76" s="42">
        <f>4703.32653491161*Deflactores!$V$5</f>
        <v>6816.3073528647756</v>
      </c>
      <c r="G76" s="42">
        <f>4425.97526683406*Deflactores!$W$5</f>
        <v>5670.3990072467013</v>
      </c>
      <c r="H76" s="42">
        <f>6647.06425747272*Deflactores!$X$5</f>
        <v>7792.8053403668137</v>
      </c>
      <c r="I76" s="42">
        <f>7288.70712571268*Deflactores!$Y$5</f>
        <v>8122.6681539208212</v>
      </c>
      <c r="J76" s="42">
        <f>6691.90035591202*Deflactores!$Z$5</f>
        <v>7095.6264747808382</v>
      </c>
      <c r="K76" s="42">
        <f>5860.3803191809*Deflactores!$AA$5</f>
        <v>5860.3803191809002</v>
      </c>
    </row>
    <row r="77" spans="3:11" x14ac:dyDescent="0.2">
      <c r="C77" s="88" t="s">
        <v>141</v>
      </c>
      <c r="D77" s="50">
        <f>150.28931646502*Deflactores!$T$5</f>
        <v>233.75168886683031</v>
      </c>
      <c r="E77" s="50">
        <f>203.08294081661*Deflactores!$U$5</f>
        <v>310.8591395087019</v>
      </c>
      <c r="F77" s="50">
        <f>300.75663554628*Deflactores!$V$5</f>
        <v>435.87228126305428</v>
      </c>
      <c r="G77" s="50">
        <f>322.99075886375*Deflactores!$W$5</f>
        <v>413.80404724243874</v>
      </c>
      <c r="H77" s="50">
        <f>520.29727482276*Deflactores!$X$5</f>
        <v>609.9798685199853</v>
      </c>
      <c r="I77" s="50">
        <f>461.550373040819*Deflactores!$Y$5</f>
        <v>514.36015357282747</v>
      </c>
      <c r="J77" s="50">
        <f>364.29935462833*Deflactores!$Z$5</f>
        <v>386.27773994911172</v>
      </c>
      <c r="K77" s="50">
        <f>240.58144979804*Deflactores!$AA$5</f>
        <v>240.58144979804001</v>
      </c>
    </row>
    <row r="78" spans="3:11" x14ac:dyDescent="0.2">
      <c r="C78" s="87" t="s">
        <v>142</v>
      </c>
      <c r="D78" s="42">
        <f>290.40782952852*Deflactores!$T$5</f>
        <v>451.68427276892976</v>
      </c>
      <c r="E78" s="42">
        <f>209.06251773534*Deflactores!$U$5</f>
        <v>320.01208031263212</v>
      </c>
      <c r="F78" s="42">
        <f>538.38504922825*Deflactores!$V$5</f>
        <v>780.25583435192027</v>
      </c>
      <c r="G78" s="42">
        <f>1057.12627871551*Deflactores!$W$5</f>
        <v>1354.3518524111917</v>
      </c>
      <c r="H78" s="42">
        <f>1309.8043382036*Deflactores!$X$5</f>
        <v>1535.5726748261432</v>
      </c>
      <c r="I78" s="42">
        <f>840.6463291896*Deflactores!$Y$5</f>
        <v>936.83160113957001</v>
      </c>
      <c r="J78" s="42">
        <f>620.054194490519*Deflactores!$Z$5</f>
        <v>657.46241339934215</v>
      </c>
      <c r="K78" s="42">
        <f>460.58738732703*Deflactores!$AA$5</f>
        <v>460.58738732703</v>
      </c>
    </row>
    <row r="79" spans="3:11" x14ac:dyDescent="0.2">
      <c r="C79" s="88" t="s">
        <v>143</v>
      </c>
      <c r="D79" s="50">
        <f>298.960041640599*Deflactores!$T$5</f>
        <v>464.98591038208053</v>
      </c>
      <c r="E79" s="50">
        <f>696.26791925015*Deflactores!$U$5</f>
        <v>1065.7775851348781</v>
      </c>
      <c r="F79" s="50">
        <f>2382.53682175094*Deflactores!$V$5</f>
        <v>3452.8972496435877</v>
      </c>
      <c r="G79" s="50">
        <f>1284.38817144474*Deflactores!$W$5</f>
        <v>1645.5115478964822</v>
      </c>
      <c r="H79" s="50">
        <f>2168.35802756612*Deflactores!$X$5</f>
        <v>2542.1135350163058</v>
      </c>
      <c r="I79" s="50">
        <f>706.03271860248*Deflactores!$Y$5</f>
        <v>786.81573838896111</v>
      </c>
      <c r="J79" s="50">
        <f>485.162845806439*Deflactores!$Z$5</f>
        <v>514.4329936477377</v>
      </c>
      <c r="K79" s="50">
        <f>193.42962108705*Deflactores!$AA$5</f>
        <v>193.42962108705001</v>
      </c>
    </row>
    <row r="80" spans="3:11" x14ac:dyDescent="0.2">
      <c r="C80" s="87" t="s">
        <v>144</v>
      </c>
      <c r="D80" s="42">
        <f>321.45615513963*Deflactores!$T$5</f>
        <v>499.97512083978012</v>
      </c>
      <c r="E80" s="42">
        <f>262.37118981223*Deflactores!$U$5</f>
        <v>401.61168618567359</v>
      </c>
      <c r="F80" s="42">
        <f>410.751881874079*Deflactores!$V$5</f>
        <v>595.2831579604424</v>
      </c>
      <c r="G80" s="42">
        <f>489.71873122904*Deflactores!$W$5</f>
        <v>627.40987917395307</v>
      </c>
      <c r="H80" s="42">
        <f>709.58348720248*Deflactores!$X$5</f>
        <v>831.89296421966878</v>
      </c>
      <c r="I80" s="42">
        <f>993.701711954949*Deflactores!$Y$5</f>
        <v>1107.3993111506513</v>
      </c>
      <c r="J80" s="42">
        <f>1184.2927216499*Deflactores!$Z$5</f>
        <v>1255.7417688094106</v>
      </c>
      <c r="K80" s="42">
        <f>447.32094507034*Deflactores!$AA$5</f>
        <v>447.32094507033997</v>
      </c>
    </row>
    <row r="81" spans="1:11" x14ac:dyDescent="0.2">
      <c r="C81" s="88" t="s">
        <v>145</v>
      </c>
      <c r="D81" s="50">
        <f>104.764068712339*Deflactores!$T$5</f>
        <v>162.94423695625554</v>
      </c>
      <c r="E81" s="50">
        <f>147.363516969*Deflactores!$U$5</f>
        <v>225.56939492680723</v>
      </c>
      <c r="F81" s="50">
        <f>110.932988253929*Deflactores!$V$5</f>
        <v>160.76990145119245</v>
      </c>
      <c r="G81" s="50">
        <f>206.96494002199*Deflactores!$W$5</f>
        <v>265.15597573030118</v>
      </c>
      <c r="H81" s="50">
        <f>327.69936732657*Deflactores!$X$5</f>
        <v>384.18424748435666</v>
      </c>
      <c r="I81" s="50">
        <f>266.41431728631*Deflactores!$Y$5</f>
        <v>296.89697410615537</v>
      </c>
      <c r="J81" s="50">
        <f>324.337987480599*Deflactores!$Z$5</f>
        <v>343.90548100604906</v>
      </c>
      <c r="K81" s="50">
        <f>320.91751340094*Deflactores!$AA$5</f>
        <v>320.91751340093998</v>
      </c>
    </row>
    <row r="82" spans="1:11" x14ac:dyDescent="0.2">
      <c r="C82" s="87" t="s">
        <v>146</v>
      </c>
      <c r="D82" s="42">
        <f>48.70713345346*Deflactores!$T$5</f>
        <v>75.756380908541317</v>
      </c>
      <c r="E82" s="42">
        <f>44.3908023462599*Deflactores!$U$5</f>
        <v>67.949019075513533</v>
      </c>
      <c r="F82" s="42">
        <f>58.38649881688*Deflactores!$V$5</f>
        <v>84.616774582717525</v>
      </c>
      <c r="G82" s="42">
        <f>60.13311252943*Deflactores!$W$5</f>
        <v>77.040363091192603</v>
      </c>
      <c r="H82" s="42">
        <f>100.14156081164*Deflactores!$X$5</f>
        <v>117.40276002421645</v>
      </c>
      <c r="I82" s="42">
        <f>96.13393492928*Deflactores!$Y$5</f>
        <v>107.133410396814</v>
      </c>
      <c r="J82" s="42">
        <f>165.760022647169*Deflactores!$Z$5</f>
        <v>175.76041820712774</v>
      </c>
      <c r="K82" s="42">
        <f>69.09445511246*Deflactores!$AA$5</f>
        <v>69.094455112459997</v>
      </c>
    </row>
    <row r="83" spans="1:11" x14ac:dyDescent="0.2">
      <c r="C83" s="88" t="s">
        <v>162</v>
      </c>
      <c r="D83" s="50">
        <f>623.926003631919*Deflactores!$T$5</f>
        <v>970.419990637448</v>
      </c>
      <c r="E83" s="50">
        <f>680.47480742684*Deflactores!$U$5</f>
        <v>1041.6030624900034</v>
      </c>
      <c r="F83" s="50">
        <f>829.07065508206*Deflactores!$V$5</f>
        <v>1201.5326514824819</v>
      </c>
      <c r="G83" s="50">
        <f>1121.05488114801*Deflactores!$W$5</f>
        <v>1436.254859525648</v>
      </c>
      <c r="H83" s="50">
        <f>2039.29652315846*Deflactores!$X$5</f>
        <v>2390.8059589456957</v>
      </c>
      <c r="I83" s="50">
        <f>1972.69061701417*Deflactores!$Y$5</f>
        <v>2198.4024019613294</v>
      </c>
      <c r="J83" s="50">
        <f>2110.13515388882*Deflactores!$Z$5</f>
        <v>2237.4407966298322</v>
      </c>
      <c r="K83" s="50">
        <f>1930.58581640099*Deflactores!$AA$5</f>
        <v>1930.5858164009901</v>
      </c>
    </row>
    <row r="84" spans="1:11" x14ac:dyDescent="0.2">
      <c r="C84" s="87" t="s">
        <v>148</v>
      </c>
      <c r="D84" s="42">
        <f>131.86012306384*Deflactores!$T$5</f>
        <v>205.08794094844833</v>
      </c>
      <c r="E84" s="42">
        <f>169.528733938289*Deflactores!$U$5</f>
        <v>259.49770149155694</v>
      </c>
      <c r="F84" s="42">
        <f>196.59069856996*Deflactores!$V$5</f>
        <v>284.90954523794812</v>
      </c>
      <c r="G84" s="42">
        <f>242.37571934876*Deflactores!$W$5</f>
        <v>310.52298205882448</v>
      </c>
      <c r="H84" s="42">
        <f>233.308292914719*Deflactores!$X$5</f>
        <v>273.52317362265984</v>
      </c>
      <c r="I84" s="42">
        <f>247.65642707201*Deflactores!$Y$5</f>
        <v>275.99283914085589</v>
      </c>
      <c r="J84" s="42">
        <f>262.45457091479*Deflactores!$Z$5</f>
        <v>278.28860305204353</v>
      </c>
      <c r="K84" s="42">
        <f>206.60666206552*Deflactores!$AA$5</f>
        <v>206.60666206552</v>
      </c>
    </row>
    <row r="85" spans="1:11" x14ac:dyDescent="0.2">
      <c r="C85" s="88" t="s">
        <v>149</v>
      </c>
      <c r="D85" s="50">
        <f>1049.94701258532*Deflactores!$T$5</f>
        <v>1633.0295006007632</v>
      </c>
      <c r="E85" s="50">
        <f>1264.78092626602*Deflactores!$U$5</f>
        <v>1936.0006745279361</v>
      </c>
      <c r="F85" s="50">
        <f>1382.95297308313*Deflactores!$V$5</f>
        <v>2004.247940074162</v>
      </c>
      <c r="G85" s="50">
        <f>1379.46152380394*Deflactores!$W$5</f>
        <v>1767.3160791763983</v>
      </c>
      <c r="H85" s="50">
        <f>1466.14749357714*Deflactores!$X$5</f>
        <v>1718.8643851108802</v>
      </c>
      <c r="I85" s="50">
        <f>3077.89905639073*Deflactores!$Y$5</f>
        <v>3430.0668438345833</v>
      </c>
      <c r="J85" s="50">
        <f>1838.51037939204*Deflactores!$Z$5</f>
        <v>1949.4287464469583</v>
      </c>
      <c r="K85" s="50">
        <f>1251.14529766272*Deflactores!$AA$5</f>
        <v>1251.1452976627199</v>
      </c>
    </row>
    <row r="86" spans="1:11" x14ac:dyDescent="0.2">
      <c r="C86" s="87" t="s">
        <v>163</v>
      </c>
      <c r="D86" s="42">
        <f>5102.22697644615*Deflactores!$T$5</f>
        <v>7935.7215853981234</v>
      </c>
      <c r="E86" s="42">
        <f>5635.39491743344*Deflactores!$U$5</f>
        <v>8626.101275571993</v>
      </c>
      <c r="F86" s="42">
        <f>4023.59219583881*Deflactores!$V$5</f>
        <v>5831.2007184380673</v>
      </c>
      <c r="G86" s="42">
        <f>4214.12408689*Deflactores!$W$5</f>
        <v>5398.9829581240128</v>
      </c>
      <c r="H86" s="42">
        <f>4996.89998749019*Deflactores!$X$5</f>
        <v>5858.2055776000198</v>
      </c>
      <c r="I86" s="42">
        <f>5506.91813104931*Deflactores!$Y$5</f>
        <v>6137.0100016125534</v>
      </c>
      <c r="J86" s="42">
        <f>6326.41873263901*Deflactores!$Z$5</f>
        <v>6708.0951392535908</v>
      </c>
      <c r="K86" s="42">
        <f>3743.0542938856*Deflactores!$AA$5</f>
        <v>3743.0542938856001</v>
      </c>
    </row>
    <row r="87" spans="1:11" x14ac:dyDescent="0.2">
      <c r="C87" s="88" t="s">
        <v>150</v>
      </c>
      <c r="D87" s="50">
        <f>6575.66984927237*Deflactores!$T$5</f>
        <v>10227.433119345296</v>
      </c>
      <c r="E87" s="50">
        <f>6905.44839028756*Deflactores!$U$5</f>
        <v>10570.172639291281</v>
      </c>
      <c r="F87" s="50">
        <f>10010.6107230669*Deflactores!$V$5</f>
        <v>14507.901794998426</v>
      </c>
      <c r="G87" s="50">
        <f>10808.879773064*Deflactores!$W$5</f>
        <v>13847.944789459436</v>
      </c>
      <c r="H87" s="50">
        <f>10349.2629829576*Deflactores!$X$5</f>
        <v>12133.144606174819</v>
      </c>
      <c r="I87" s="50">
        <f>12304.2570241723*Deflactores!$Y$5</f>
        <v>13712.088435454674</v>
      </c>
      <c r="J87" s="50">
        <f>11892.7170295945*Deflactores!$Z$5</f>
        <v>12610.211348666577</v>
      </c>
      <c r="K87" s="50">
        <f>10176.3361748408*Deflactores!$AA$5</f>
        <v>10176.336174840801</v>
      </c>
    </row>
    <row r="88" spans="1:11" x14ac:dyDescent="0.2">
      <c r="C88" s="87" t="s">
        <v>151</v>
      </c>
      <c r="D88" s="42">
        <f>1925.21048560087*Deflactores!$T$5</f>
        <v>2994.3658871991529</v>
      </c>
      <c r="E88" s="42">
        <f>1980.99172377834*Deflactores!$U$5</f>
        <v>3032.3048314712419</v>
      </c>
      <c r="F88" s="42">
        <f>3221.0590711635*Deflactores!$V$5</f>
        <v>4668.1276470624989</v>
      </c>
      <c r="G88" s="42">
        <f>3100.58621018887*Deflactores!$W$5</f>
        <v>3972.3586120972682</v>
      </c>
      <c r="H88" s="42">
        <f>4925.39672612925*Deflactores!$X$5</f>
        <v>5774.3774430426083</v>
      </c>
      <c r="I88" s="42">
        <f>5318.6024361443*Deflactores!$Y$5</f>
        <v>5927.1475566677873</v>
      </c>
      <c r="J88" s="42">
        <f>3990.29980425294*Deflactores!$Z$5</f>
        <v>4231.036839685753</v>
      </c>
      <c r="K88" s="42">
        <f>2005.18565825806*Deflactores!$AA$5</f>
        <v>2005.1856582580599</v>
      </c>
    </row>
    <row r="89" spans="1:11" x14ac:dyDescent="0.2">
      <c r="C89" s="79" t="s">
        <v>202</v>
      </c>
      <c r="D89" s="44">
        <f t="shared" ref="D89:K89" si="1">+SUM(D58:D88)</f>
        <v>62838.700918444549</v>
      </c>
      <c r="E89" s="44">
        <f t="shared" si="1"/>
        <v>64311.225579649014</v>
      </c>
      <c r="F89" s="44">
        <f t="shared" si="1"/>
        <v>81850.059550194215</v>
      </c>
      <c r="G89" s="44">
        <f t="shared" si="1"/>
        <v>84508.212027522168</v>
      </c>
      <c r="H89" s="44">
        <f t="shared" si="1"/>
        <v>87935.152861916984</v>
      </c>
      <c r="I89" s="44">
        <f t="shared" si="1"/>
        <v>97473.350574830125</v>
      </c>
      <c r="J89" s="44">
        <f t="shared" si="1"/>
        <v>80659.833210044584</v>
      </c>
      <c r="K89" s="44">
        <f t="shared" si="1"/>
        <v>55768.100078514515</v>
      </c>
    </row>
    <row r="90" spans="1:11" s="31" customFormat="1" x14ac:dyDescent="0.2">
      <c r="A90" s="5"/>
      <c r="B90" s="5"/>
      <c r="C90" s="72" t="str">
        <f>+'C1 Aprop Resumen 2000-2026'!B20</f>
        <v>* Información con corte a 30 de Junio</v>
      </c>
      <c r="D90" s="121">
        <f>+D89-'C5 Ejecución PGN 2019-2026'!D65</f>
        <v>0</v>
      </c>
      <c r="E90" s="121">
        <f>+E89-'C5 Ejecución PGN 2019-2026'!E65</f>
        <v>5.8207660913467407E-11</v>
      </c>
      <c r="F90" s="121">
        <f>+F89-'C5 Ejecución PGN 2019-2026'!F65</f>
        <v>-1.3096723705530167E-10</v>
      </c>
      <c r="G90" s="121">
        <f>+G89-'C5 Ejecución PGN 2019-2026'!G65</f>
        <v>-1.1641532182693481E-10</v>
      </c>
      <c r="H90" s="121">
        <f>+H89-'C5 Ejecución PGN 2019-2026'!H65</f>
        <v>0</v>
      </c>
      <c r="I90" s="121">
        <f>+I89-'C5 Ejecución PGN 2019-2026'!I65</f>
        <v>0</v>
      </c>
      <c r="J90" s="121">
        <f>+J89-'C5 Ejecución PGN 2019-2026'!J65</f>
        <v>0</v>
      </c>
      <c r="K90" s="121">
        <f>+K89-'C5 Ejecución PGN 2019-2026'!K65</f>
        <v>0</v>
      </c>
    </row>
    <row r="91" spans="1:11" x14ac:dyDescent="0.2">
      <c r="C91" s="1" t="s">
        <v>52</v>
      </c>
      <c r="D91" s="11"/>
      <c r="E91" s="11"/>
      <c r="F91" s="11"/>
      <c r="G91" s="11"/>
      <c r="H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5" customHeight="1" x14ac:dyDescent="0.2">
      <c r="C95" s="9"/>
      <c r="D95" s="131" t="s">
        <v>204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81" t="s">
        <v>120</v>
      </c>
      <c r="D98" s="155">
        <v>2019</v>
      </c>
      <c r="E98" s="155">
        <v>2020</v>
      </c>
      <c r="F98" s="155">
        <v>2021</v>
      </c>
      <c r="G98" s="155">
        <v>2022</v>
      </c>
      <c r="H98" s="155">
        <v>2023</v>
      </c>
      <c r="I98" s="155">
        <v>2024</v>
      </c>
      <c r="J98" s="155">
        <v>2025</v>
      </c>
      <c r="K98" s="155" t="s">
        <v>36</v>
      </c>
    </row>
    <row r="99" spans="3:11" ht="12" customHeight="1" thickBot="1" x14ac:dyDescent="0.25">
      <c r="C99" s="162"/>
      <c r="D99" s="156"/>
      <c r="E99" s="156"/>
      <c r="F99" s="156"/>
      <c r="G99" s="156"/>
      <c r="H99" s="156"/>
      <c r="I99" s="156"/>
      <c r="J99" s="156"/>
      <c r="K99" s="156"/>
    </row>
    <row r="100" spans="3:11" x14ac:dyDescent="0.2">
      <c r="C100" s="87" t="s">
        <v>123</v>
      </c>
      <c r="D100" s="47">
        <f t="shared" ref="D100:K109" si="2">+IFERROR(IF(D58&gt;0,+((D58/D15)*100)," "),"")</f>
        <v>95.483581548195559</v>
      </c>
      <c r="E100" s="47">
        <f t="shared" si="2"/>
        <v>94.941957705853341</v>
      </c>
      <c r="F100" s="47">
        <f t="shared" si="2"/>
        <v>93.553600424112872</v>
      </c>
      <c r="G100" s="47">
        <f t="shared" si="2"/>
        <v>88.325367013619584</v>
      </c>
      <c r="H100" s="47">
        <f t="shared" si="2"/>
        <v>92.180019142653606</v>
      </c>
      <c r="I100" s="47">
        <f t="shared" si="2"/>
        <v>97.209463942245321</v>
      </c>
      <c r="J100" s="47">
        <f t="shared" si="2"/>
        <v>95.146659147677639</v>
      </c>
      <c r="K100" s="47">
        <f t="shared" si="2"/>
        <v>56.02021194727029</v>
      </c>
    </row>
    <row r="101" spans="3:11" x14ac:dyDescent="0.2">
      <c r="C101" s="88" t="s">
        <v>124</v>
      </c>
      <c r="D101" s="116">
        <f t="shared" si="2"/>
        <v>95.062022469341443</v>
      </c>
      <c r="E101" s="116">
        <f t="shared" si="2"/>
        <v>95.048595528164967</v>
      </c>
      <c r="F101" s="116">
        <f t="shared" si="2"/>
        <v>76.618102792825979</v>
      </c>
      <c r="G101" s="116">
        <f t="shared" si="2"/>
        <v>82.716658042911817</v>
      </c>
      <c r="H101" s="116">
        <f t="shared" si="2"/>
        <v>83.019224045868626</v>
      </c>
      <c r="I101" s="116">
        <f t="shared" si="2"/>
        <v>97.536343266362977</v>
      </c>
      <c r="J101" s="116">
        <f t="shared" si="2"/>
        <v>97.214289624961012</v>
      </c>
      <c r="K101" s="116">
        <f t="shared" si="2"/>
        <v>50.318344971011442</v>
      </c>
    </row>
    <row r="102" spans="3:11" x14ac:dyDescent="0.2">
      <c r="C102" s="87" t="s">
        <v>125</v>
      </c>
      <c r="D102" s="47">
        <f t="shared" si="2"/>
        <v>99.961103391274875</v>
      </c>
      <c r="E102" s="47">
        <f t="shared" si="2"/>
        <v>99.093095305659787</v>
      </c>
      <c r="F102" s="47">
        <f t="shared" si="2"/>
        <v>99.167724312621502</v>
      </c>
      <c r="G102" s="47">
        <f t="shared" si="2"/>
        <v>99.92800796545086</v>
      </c>
      <c r="H102" s="47">
        <f t="shared" si="2"/>
        <v>98.740813549341709</v>
      </c>
      <c r="I102" s="47">
        <f t="shared" si="2"/>
        <v>98.237727232815587</v>
      </c>
      <c r="J102" s="47">
        <f t="shared" si="2"/>
        <v>97.951336453366082</v>
      </c>
      <c r="K102" s="47">
        <f t="shared" si="2"/>
        <v>62.362150444173992</v>
      </c>
    </row>
    <row r="103" spans="3:11" x14ac:dyDescent="0.2">
      <c r="C103" s="88" t="s">
        <v>126</v>
      </c>
      <c r="D103" s="116">
        <f t="shared" si="2"/>
        <v>98.013344985036056</v>
      </c>
      <c r="E103" s="116">
        <f t="shared" si="2"/>
        <v>96.183465362407219</v>
      </c>
      <c r="F103" s="116">
        <f t="shared" si="2"/>
        <v>95.097654834504553</v>
      </c>
      <c r="G103" s="116">
        <f t="shared" si="2"/>
        <v>95.325528092682148</v>
      </c>
      <c r="H103" s="116">
        <f t="shared" si="2"/>
        <v>97.57877471812975</v>
      </c>
      <c r="I103" s="116">
        <f t="shared" si="2"/>
        <v>95.017281884682973</v>
      </c>
      <c r="J103" s="116">
        <f t="shared" si="2"/>
        <v>96.730855011062729</v>
      </c>
      <c r="K103" s="116">
        <f t="shared" si="2"/>
        <v>83.222098066343037</v>
      </c>
    </row>
    <row r="104" spans="3:11" x14ac:dyDescent="0.2">
      <c r="C104" s="87" t="s">
        <v>127</v>
      </c>
      <c r="D104" s="47">
        <f t="shared" si="2"/>
        <v>94.479768523844328</v>
      </c>
      <c r="E104" s="47">
        <f t="shared" si="2"/>
        <v>98.733460697228779</v>
      </c>
      <c r="F104" s="47">
        <f t="shared" si="2"/>
        <v>97.760069742216089</v>
      </c>
      <c r="G104" s="47">
        <f t="shared" si="2"/>
        <v>86.127672148666477</v>
      </c>
      <c r="H104" s="47">
        <f t="shared" si="2"/>
        <v>95.586965198124631</v>
      </c>
      <c r="I104" s="47">
        <f t="shared" si="2"/>
        <v>98.93628619877947</v>
      </c>
      <c r="J104" s="47">
        <f t="shared" si="2"/>
        <v>99.35908023687999</v>
      </c>
      <c r="K104" s="47">
        <f t="shared" si="2"/>
        <v>98.012593586880001</v>
      </c>
    </row>
    <row r="105" spans="3:11" x14ac:dyDescent="0.2">
      <c r="C105" s="88" t="s">
        <v>128</v>
      </c>
      <c r="D105" s="116">
        <f t="shared" si="2"/>
        <v>98.985018816285717</v>
      </c>
      <c r="E105" s="116">
        <f t="shared" si="2"/>
        <v>99.657575309629379</v>
      </c>
      <c r="F105" s="116">
        <f t="shared" si="2"/>
        <v>98.610030414686804</v>
      </c>
      <c r="G105" s="116">
        <f t="shared" si="2"/>
        <v>97.680637174377793</v>
      </c>
      <c r="H105" s="116">
        <f t="shared" si="2"/>
        <v>98.301116049754327</v>
      </c>
      <c r="I105" s="116">
        <f t="shared" si="2"/>
        <v>98.67865600902573</v>
      </c>
      <c r="J105" s="116">
        <f t="shared" si="2"/>
        <v>99.601765033691308</v>
      </c>
      <c r="K105" s="116">
        <f t="shared" si="2"/>
        <v>67.158113380668851</v>
      </c>
    </row>
    <row r="106" spans="3:11" x14ac:dyDescent="0.2">
      <c r="C106" s="87" t="s">
        <v>129</v>
      </c>
      <c r="D106" s="47">
        <f t="shared" si="2"/>
        <v>99.582957114944762</v>
      </c>
      <c r="E106" s="47">
        <f t="shared" si="2"/>
        <v>99.227224472805602</v>
      </c>
      <c r="F106" s="47">
        <f t="shared" si="2"/>
        <v>98.852351855024764</v>
      </c>
      <c r="G106" s="47">
        <f t="shared" si="2"/>
        <v>95.85481367972632</v>
      </c>
      <c r="H106" s="47">
        <f t="shared" si="2"/>
        <v>94.337412748716503</v>
      </c>
      <c r="I106" s="47">
        <f t="shared" si="2"/>
        <v>93.085610634509834</v>
      </c>
      <c r="J106" s="47">
        <f t="shared" si="2"/>
        <v>98.497291166506045</v>
      </c>
      <c r="K106" s="47">
        <f t="shared" si="2"/>
        <v>53.461319227742919</v>
      </c>
    </row>
    <row r="107" spans="3:11" x14ac:dyDescent="0.2">
      <c r="C107" s="88" t="s">
        <v>130</v>
      </c>
      <c r="D107" s="116">
        <f t="shared" si="2"/>
        <v>96.152329087002158</v>
      </c>
      <c r="E107" s="116">
        <f t="shared" si="2"/>
        <v>95.416492557602396</v>
      </c>
      <c r="F107" s="116">
        <f t="shared" si="2"/>
        <v>95.738091109540761</v>
      </c>
      <c r="G107" s="116">
        <f t="shared" si="2"/>
        <v>98.092260331530568</v>
      </c>
      <c r="H107" s="116">
        <f t="shared" si="2"/>
        <v>72.915730302808655</v>
      </c>
      <c r="I107" s="116">
        <f t="shared" si="2"/>
        <v>93.523266220800295</v>
      </c>
      <c r="J107" s="116">
        <f t="shared" si="2"/>
        <v>99.063327792382495</v>
      </c>
      <c r="K107" s="116">
        <f t="shared" si="2"/>
        <v>87.41440948286396</v>
      </c>
    </row>
    <row r="108" spans="3:11" x14ac:dyDescent="0.2">
      <c r="C108" s="87" t="s">
        <v>131</v>
      </c>
      <c r="D108" s="47">
        <f t="shared" si="2"/>
        <v>99.920094573821018</v>
      </c>
      <c r="E108" s="47">
        <f t="shared" si="2"/>
        <v>99.8668504958829</v>
      </c>
      <c r="F108" s="47">
        <f t="shared" si="2"/>
        <v>99.888927664237897</v>
      </c>
      <c r="G108" s="47">
        <f t="shared" si="2"/>
        <v>99.888983488167014</v>
      </c>
      <c r="H108" s="47">
        <f t="shared" si="2"/>
        <v>99.731832851718906</v>
      </c>
      <c r="I108" s="47">
        <f t="shared" si="2"/>
        <v>99.695732735355875</v>
      </c>
      <c r="J108" s="47">
        <f t="shared" si="2"/>
        <v>99.66233001741989</v>
      </c>
      <c r="K108" s="47">
        <f t="shared" si="2"/>
        <v>74.42441929513447</v>
      </c>
    </row>
    <row r="109" spans="3:11" x14ac:dyDescent="0.2">
      <c r="C109" s="88" t="s">
        <v>132</v>
      </c>
      <c r="D109" s="116">
        <f t="shared" si="2"/>
        <v>92.604445580113676</v>
      </c>
      <c r="E109" s="116">
        <f t="shared" si="2"/>
        <v>71.796506957029379</v>
      </c>
      <c r="F109" s="116">
        <f t="shared" si="2"/>
        <v>65.035025125018336</v>
      </c>
      <c r="G109" s="116">
        <f t="shared" si="2"/>
        <v>68.245479595647168</v>
      </c>
      <c r="H109" s="116">
        <f t="shared" si="2"/>
        <v>75.908736955355934</v>
      </c>
      <c r="I109" s="116">
        <f t="shared" si="2"/>
        <v>88.537206533929563</v>
      </c>
      <c r="J109" s="116">
        <f t="shared" si="2"/>
        <v>89.393956786595368</v>
      </c>
      <c r="K109" s="116">
        <f t="shared" si="2"/>
        <v>53.381650228038545</v>
      </c>
    </row>
    <row r="110" spans="3:11" x14ac:dyDescent="0.2">
      <c r="C110" s="87" t="s">
        <v>133</v>
      </c>
      <c r="D110" s="47">
        <f t="shared" ref="D110:K119" si="3">+IFERROR(IF(D68&gt;0,+((D68/D25)*100)," "),"")</f>
        <v>99.206959678040633</v>
      </c>
      <c r="E110" s="47">
        <f t="shared" si="3"/>
        <v>98.109144547189914</v>
      </c>
      <c r="F110" s="47">
        <f t="shared" si="3"/>
        <v>95.97484672109519</v>
      </c>
      <c r="G110" s="47">
        <f t="shared" si="3"/>
        <v>98.280478008083378</v>
      </c>
      <c r="H110" s="47">
        <f t="shared" si="3"/>
        <v>92.720826595858725</v>
      </c>
      <c r="I110" s="47">
        <f t="shared" si="3"/>
        <v>98.20268363302803</v>
      </c>
      <c r="J110" s="47">
        <f t="shared" si="3"/>
        <v>99.473296311604614</v>
      </c>
      <c r="K110" s="47">
        <f t="shared" si="3"/>
        <v>42.864730184671288</v>
      </c>
    </row>
    <row r="111" spans="3:11" x14ac:dyDescent="0.2">
      <c r="C111" s="88" t="s">
        <v>134</v>
      </c>
      <c r="D111" s="116">
        <f t="shared" si="3"/>
        <v>65.899810777035768</v>
      </c>
      <c r="E111" s="116">
        <f t="shared" si="3"/>
        <v>53.432018849215524</v>
      </c>
      <c r="F111" s="116">
        <f t="shared" si="3"/>
        <v>73.195553406598592</v>
      </c>
      <c r="G111" s="116">
        <f t="shared" si="3"/>
        <v>78.530278930310971</v>
      </c>
      <c r="H111" s="116">
        <f t="shared" si="3"/>
        <v>35.385791450190482</v>
      </c>
      <c r="I111" s="116">
        <f t="shared" si="3"/>
        <v>91.523312560437418</v>
      </c>
      <c r="J111" s="116">
        <f t="shared" si="3"/>
        <v>90.072919486634973</v>
      </c>
      <c r="K111" s="116">
        <f t="shared" si="3"/>
        <v>80.391930685756137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99.089672007502116</v>
      </c>
      <c r="J112" s="47">
        <f t="shared" si="3"/>
        <v>99.830894364243349</v>
      </c>
      <c r="K112" s="47">
        <f t="shared" si="3"/>
        <v>72.565461344667227</v>
      </c>
    </row>
    <row r="113" spans="3:11" x14ac:dyDescent="0.2">
      <c r="C113" s="88" t="s">
        <v>136</v>
      </c>
      <c r="D113" s="116">
        <f t="shared" si="3"/>
        <v>99.296727857872867</v>
      </c>
      <c r="E113" s="116">
        <f t="shared" si="3"/>
        <v>98.983557009791099</v>
      </c>
      <c r="F113" s="116">
        <f t="shared" si="3"/>
        <v>96.684393914873993</v>
      </c>
      <c r="G113" s="116">
        <f t="shared" si="3"/>
        <v>98.553225991905151</v>
      </c>
      <c r="H113" s="116">
        <f t="shared" si="3"/>
        <v>92.310614238251958</v>
      </c>
      <c r="I113" s="116">
        <f t="shared" si="3"/>
        <v>97.40761208328297</v>
      </c>
      <c r="J113" s="116">
        <f t="shared" si="3"/>
        <v>98.967311280751673</v>
      </c>
      <c r="K113" s="116">
        <f t="shared" si="3"/>
        <v>50.703341218476147</v>
      </c>
    </row>
    <row r="114" spans="3:11" x14ac:dyDescent="0.2">
      <c r="C114" s="87" t="s">
        <v>137</v>
      </c>
      <c r="D114" s="47">
        <f t="shared" si="3"/>
        <v>95.115475028829337</v>
      </c>
      <c r="E114" s="47">
        <f t="shared" si="3"/>
        <v>92.718318813859085</v>
      </c>
      <c r="F114" s="47">
        <f t="shared" si="3"/>
        <v>64.832202786723443</v>
      </c>
      <c r="G114" s="47">
        <f t="shared" si="3"/>
        <v>57.427864722007286</v>
      </c>
      <c r="H114" s="47">
        <f t="shared" si="3"/>
        <v>81.061668570414469</v>
      </c>
      <c r="I114" s="47">
        <f t="shared" si="3"/>
        <v>94.432623780217781</v>
      </c>
      <c r="J114" s="47">
        <f t="shared" si="3"/>
        <v>96.13517884906166</v>
      </c>
      <c r="K114" s="47">
        <f t="shared" si="3"/>
        <v>64.301345318630865</v>
      </c>
    </row>
    <row r="115" spans="3:11" x14ac:dyDescent="0.2">
      <c r="C115" s="88" t="s">
        <v>138</v>
      </c>
      <c r="D115" s="116">
        <f t="shared" si="3"/>
        <v>99.990654521629949</v>
      </c>
      <c r="E115" s="116">
        <f t="shared" si="3"/>
        <v>99.961007492574822</v>
      </c>
      <c r="F115" s="116">
        <f t="shared" si="3"/>
        <v>97.226082049471628</v>
      </c>
      <c r="G115" s="116">
        <f t="shared" si="3"/>
        <v>87.52738865362501</v>
      </c>
      <c r="H115" s="116">
        <f t="shared" si="3"/>
        <v>98.583139306344819</v>
      </c>
      <c r="I115" s="116">
        <f t="shared" si="3"/>
        <v>97.26277777016432</v>
      </c>
      <c r="J115" s="116">
        <f t="shared" si="3"/>
        <v>99.961076980065073</v>
      </c>
      <c r="K115" s="116">
        <f t="shared" si="3"/>
        <v>31.950306060499255</v>
      </c>
    </row>
    <row r="116" spans="3:11" x14ac:dyDescent="0.2">
      <c r="C116" s="87" t="s">
        <v>160</v>
      </c>
      <c r="D116" s="47">
        <f t="shared" si="3"/>
        <v>91.614986936697974</v>
      </c>
      <c r="E116" s="47">
        <f t="shared" si="3"/>
        <v>95.074663714325794</v>
      </c>
      <c r="F116" s="47">
        <f t="shared" si="3"/>
        <v>94.564305032470557</v>
      </c>
      <c r="G116" s="47">
        <f t="shared" si="3"/>
        <v>79.029744768169735</v>
      </c>
      <c r="H116" s="47">
        <f t="shared" si="3"/>
        <v>92.570713268672307</v>
      </c>
      <c r="I116" s="47">
        <f t="shared" si="3"/>
        <v>86.785954388436963</v>
      </c>
      <c r="J116" s="47">
        <f t="shared" si="3"/>
        <v>98.718507893612639</v>
      </c>
      <c r="K116" s="47">
        <f t="shared" si="3"/>
        <v>43.703997765912973</v>
      </c>
    </row>
    <row r="117" spans="3:11" x14ac:dyDescent="0.2">
      <c r="C117" s="88" t="s">
        <v>161</v>
      </c>
      <c r="D117" s="116">
        <f t="shared" si="3"/>
        <v>86.325163777721997</v>
      </c>
      <c r="E117" s="116">
        <f t="shared" si="3"/>
        <v>90.567013291956386</v>
      </c>
      <c r="F117" s="116">
        <f t="shared" si="3"/>
        <v>89.158004436845275</v>
      </c>
      <c r="G117" s="116">
        <f t="shared" si="3"/>
        <v>69.694523038139693</v>
      </c>
      <c r="H117" s="116">
        <f t="shared" si="3"/>
        <v>84.78346346709931</v>
      </c>
      <c r="I117" s="116">
        <f t="shared" si="3"/>
        <v>95.918888820783039</v>
      </c>
      <c r="J117" s="116">
        <f t="shared" si="3"/>
        <v>89.116948064216203</v>
      </c>
      <c r="K117" s="116">
        <f t="shared" si="3"/>
        <v>52.031745572642393</v>
      </c>
    </row>
    <row r="118" spans="3:11" x14ac:dyDescent="0.2">
      <c r="C118" s="87" t="s">
        <v>140</v>
      </c>
      <c r="D118" s="47">
        <f t="shared" si="3"/>
        <v>97.70950365010566</v>
      </c>
      <c r="E118" s="47">
        <f t="shared" si="3"/>
        <v>98.331921034320985</v>
      </c>
      <c r="F118" s="47">
        <f t="shared" si="3"/>
        <v>96.03616040597278</v>
      </c>
      <c r="G118" s="47">
        <f t="shared" si="3"/>
        <v>92.455236674600485</v>
      </c>
      <c r="H118" s="47">
        <f t="shared" si="3"/>
        <v>91.214632888222255</v>
      </c>
      <c r="I118" s="47">
        <f t="shared" si="3"/>
        <v>96.850843179577836</v>
      </c>
      <c r="J118" s="47">
        <f t="shared" si="3"/>
        <v>94.568337119076702</v>
      </c>
      <c r="K118" s="47">
        <f t="shared" si="3"/>
        <v>57.784305263642466</v>
      </c>
    </row>
    <row r="119" spans="3:11" x14ac:dyDescent="0.2">
      <c r="C119" s="88" t="s">
        <v>141</v>
      </c>
      <c r="D119" s="116">
        <f t="shared" si="3"/>
        <v>93.725072952524656</v>
      </c>
      <c r="E119" s="116">
        <f t="shared" si="3"/>
        <v>90.974953243286919</v>
      </c>
      <c r="F119" s="116">
        <f t="shared" si="3"/>
        <v>84.973516531592296</v>
      </c>
      <c r="G119" s="116">
        <f t="shared" si="3"/>
        <v>72.684884997754267</v>
      </c>
      <c r="H119" s="116">
        <f t="shared" si="3"/>
        <v>89.456737086477816</v>
      </c>
      <c r="I119" s="116">
        <f t="shared" si="3"/>
        <v>89.592219740791279</v>
      </c>
      <c r="J119" s="116">
        <f t="shared" si="3"/>
        <v>94.940527888462171</v>
      </c>
      <c r="K119" s="116">
        <f t="shared" si="3"/>
        <v>27.030760418189239</v>
      </c>
    </row>
    <row r="120" spans="3:11" x14ac:dyDescent="0.2">
      <c r="C120" s="87" t="s">
        <v>142</v>
      </c>
      <c r="D120" s="47">
        <f t="shared" ref="D120:K129" si="4">+IFERROR(IF(D78&gt;0,+((D78/D35)*100)," "),"")</f>
        <v>96.207738858097414</v>
      </c>
      <c r="E120" s="47">
        <f t="shared" si="4"/>
        <v>97.492230935787219</v>
      </c>
      <c r="F120" s="47">
        <f t="shared" si="4"/>
        <v>92.007268473962654</v>
      </c>
      <c r="G120" s="47">
        <f t="shared" si="4"/>
        <v>92.950095775179193</v>
      </c>
      <c r="H120" s="47">
        <f t="shared" si="4"/>
        <v>93.041414622709496</v>
      </c>
      <c r="I120" s="47">
        <f t="shared" si="4"/>
        <v>85.565515522428171</v>
      </c>
      <c r="J120" s="47">
        <f t="shared" si="4"/>
        <v>96.079648625215668</v>
      </c>
      <c r="K120" s="47">
        <f t="shared" si="4"/>
        <v>46.810125416516144</v>
      </c>
    </row>
    <row r="121" spans="3:11" x14ac:dyDescent="0.2">
      <c r="C121" s="88" t="s">
        <v>143</v>
      </c>
      <c r="D121" s="116">
        <f t="shared" si="4"/>
        <v>91.284813611709993</v>
      </c>
      <c r="E121" s="116">
        <f t="shared" si="4"/>
        <v>95.525851600405886</v>
      </c>
      <c r="F121" s="116">
        <f t="shared" si="4"/>
        <v>95.576944534275</v>
      </c>
      <c r="G121" s="116">
        <f t="shared" si="4"/>
        <v>94.040216440098263</v>
      </c>
      <c r="H121" s="116">
        <f t="shared" si="4"/>
        <v>93.529745362105885</v>
      </c>
      <c r="I121" s="116">
        <f t="shared" si="4"/>
        <v>85.670542193476322</v>
      </c>
      <c r="J121" s="116">
        <f t="shared" si="4"/>
        <v>98.530970092718988</v>
      </c>
      <c r="K121" s="116">
        <f t="shared" si="4"/>
        <v>66.377090088520589</v>
      </c>
    </row>
    <row r="122" spans="3:11" x14ac:dyDescent="0.2">
      <c r="C122" s="87" t="s">
        <v>144</v>
      </c>
      <c r="D122" s="47">
        <f t="shared" si="4"/>
        <v>93.837051289448823</v>
      </c>
      <c r="E122" s="47">
        <f t="shared" si="4"/>
        <v>94.941729602483974</v>
      </c>
      <c r="F122" s="47">
        <f t="shared" si="4"/>
        <v>85.526863562744097</v>
      </c>
      <c r="G122" s="47">
        <f t="shared" si="4"/>
        <v>84.31476559774319</v>
      </c>
      <c r="H122" s="47">
        <f t="shared" si="4"/>
        <v>97.616435821096644</v>
      </c>
      <c r="I122" s="47">
        <f t="shared" si="4"/>
        <v>87.393747898805444</v>
      </c>
      <c r="J122" s="47">
        <f t="shared" si="4"/>
        <v>94.787758087106141</v>
      </c>
      <c r="K122" s="47">
        <f t="shared" si="4"/>
        <v>30.858007824741478</v>
      </c>
    </row>
    <row r="123" spans="3:11" x14ac:dyDescent="0.2">
      <c r="C123" s="88" t="s">
        <v>145</v>
      </c>
      <c r="D123" s="116">
        <f t="shared" si="4"/>
        <v>96.280025683094664</v>
      </c>
      <c r="E123" s="116">
        <f t="shared" si="4"/>
        <v>99.213357836211671</v>
      </c>
      <c r="F123" s="116">
        <f t="shared" si="4"/>
        <v>92.283667620047538</v>
      </c>
      <c r="G123" s="116">
        <f t="shared" si="4"/>
        <v>96.022831144513404</v>
      </c>
      <c r="H123" s="116">
        <f t="shared" si="4"/>
        <v>97.388914423773315</v>
      </c>
      <c r="I123" s="116">
        <f t="shared" si="4"/>
        <v>85.827028892212468</v>
      </c>
      <c r="J123" s="116">
        <f t="shared" si="4"/>
        <v>95.300752003717534</v>
      </c>
      <c r="K123" s="116">
        <f t="shared" si="4"/>
        <v>80.924799630866985</v>
      </c>
    </row>
    <row r="124" spans="3:11" x14ac:dyDescent="0.2">
      <c r="C124" s="87" t="s">
        <v>146</v>
      </c>
      <c r="D124" s="47">
        <f t="shared" si="4"/>
        <v>98.346350080958928</v>
      </c>
      <c r="E124" s="47">
        <f t="shared" si="4"/>
        <v>96.462483597549578</v>
      </c>
      <c r="F124" s="47">
        <f t="shared" si="4"/>
        <v>81.134854046025126</v>
      </c>
      <c r="G124" s="47">
        <f t="shared" si="4"/>
        <v>75.946298466899407</v>
      </c>
      <c r="H124" s="47">
        <f t="shared" si="4"/>
        <v>84.58524108936345</v>
      </c>
      <c r="I124" s="47">
        <f t="shared" si="4"/>
        <v>91.545024464891696</v>
      </c>
      <c r="J124" s="47">
        <f t="shared" si="4"/>
        <v>88.198161503041192</v>
      </c>
      <c r="K124" s="47">
        <f t="shared" si="4"/>
        <v>34.359459708174455</v>
      </c>
    </row>
    <row r="125" spans="3:11" x14ac:dyDescent="0.2">
      <c r="C125" s="88" t="s">
        <v>162</v>
      </c>
      <c r="D125" s="116">
        <f t="shared" si="4"/>
        <v>95.181619428697999</v>
      </c>
      <c r="E125" s="116">
        <f t="shared" si="4"/>
        <v>96.22580628924544</v>
      </c>
      <c r="F125" s="116">
        <f t="shared" si="4"/>
        <v>94.239695216864405</v>
      </c>
      <c r="G125" s="116">
        <f t="shared" si="4"/>
        <v>94.770765875363693</v>
      </c>
      <c r="H125" s="116">
        <f t="shared" si="4"/>
        <v>95.95289730362461</v>
      </c>
      <c r="I125" s="116">
        <f t="shared" si="4"/>
        <v>95.917667340256358</v>
      </c>
      <c r="J125" s="116">
        <f t="shared" si="4"/>
        <v>99.236195338897957</v>
      </c>
      <c r="K125" s="116">
        <f t="shared" si="4"/>
        <v>63.622886559999436</v>
      </c>
    </row>
    <row r="126" spans="3:11" x14ac:dyDescent="0.2">
      <c r="C126" s="87" t="s">
        <v>148</v>
      </c>
      <c r="D126" s="47">
        <f t="shared" si="4"/>
        <v>87.550332641644275</v>
      </c>
      <c r="E126" s="47">
        <f t="shared" si="4"/>
        <v>95.254788948116229</v>
      </c>
      <c r="F126" s="47">
        <f t="shared" si="4"/>
        <v>91.769189188323608</v>
      </c>
      <c r="G126" s="47">
        <f t="shared" si="4"/>
        <v>95.017400742872169</v>
      </c>
      <c r="H126" s="47">
        <f t="shared" si="4"/>
        <v>93.67410540750727</v>
      </c>
      <c r="I126" s="47">
        <f t="shared" si="4"/>
        <v>97.399255593046277</v>
      </c>
      <c r="J126" s="47">
        <f t="shared" si="4"/>
        <v>99.195341595097574</v>
      </c>
      <c r="K126" s="47">
        <f t="shared" si="4"/>
        <v>77.241465340150796</v>
      </c>
    </row>
    <row r="127" spans="3:11" x14ac:dyDescent="0.2">
      <c r="C127" s="88" t="s">
        <v>149</v>
      </c>
      <c r="D127" s="116">
        <f t="shared" si="4"/>
        <v>91.990240336751043</v>
      </c>
      <c r="E127" s="116">
        <f t="shared" si="4"/>
        <v>99.684549182663275</v>
      </c>
      <c r="F127" s="116">
        <f t="shared" si="4"/>
        <v>86.075506998077529</v>
      </c>
      <c r="G127" s="116">
        <f t="shared" si="4"/>
        <v>88.111238138584838</v>
      </c>
      <c r="H127" s="116">
        <f t="shared" si="4"/>
        <v>98.050418789558023</v>
      </c>
      <c r="I127" s="116">
        <f t="shared" si="4"/>
        <v>94.413135356881924</v>
      </c>
      <c r="J127" s="116">
        <f t="shared" si="4"/>
        <v>96.794115889755886</v>
      </c>
      <c r="K127" s="116">
        <f t="shared" si="4"/>
        <v>73.258437150387536</v>
      </c>
    </row>
    <row r="128" spans="3:11" x14ac:dyDescent="0.2">
      <c r="C128" s="87" t="s">
        <v>163</v>
      </c>
      <c r="D128" s="47">
        <f t="shared" si="4"/>
        <v>98.523262027933541</v>
      </c>
      <c r="E128" s="47">
        <f t="shared" si="4"/>
        <v>96.989320446536155</v>
      </c>
      <c r="F128" s="47">
        <f t="shared" si="4"/>
        <v>97.039860146938977</v>
      </c>
      <c r="G128" s="47">
        <f t="shared" si="4"/>
        <v>97.266282754687126</v>
      </c>
      <c r="H128" s="47">
        <f t="shared" si="4"/>
        <v>97.586113682223669</v>
      </c>
      <c r="I128" s="47">
        <f t="shared" si="4"/>
        <v>97.237080509132937</v>
      </c>
      <c r="J128" s="47">
        <f t="shared" si="4"/>
        <v>95.248401605171111</v>
      </c>
      <c r="K128" s="47">
        <f t="shared" si="4"/>
        <v>55.189658337721369</v>
      </c>
    </row>
    <row r="129" spans="1:11" x14ac:dyDescent="0.2">
      <c r="C129" s="88" t="s">
        <v>150</v>
      </c>
      <c r="D129" s="116">
        <f t="shared" si="4"/>
        <v>98.790321918934808</v>
      </c>
      <c r="E129" s="116">
        <f t="shared" si="4"/>
        <v>98.387799861079117</v>
      </c>
      <c r="F129" s="116">
        <f t="shared" si="4"/>
        <v>96.64816966960494</v>
      </c>
      <c r="G129" s="116">
        <f t="shared" si="4"/>
        <v>96.228411874356198</v>
      </c>
      <c r="H129" s="116">
        <f t="shared" si="4"/>
        <v>91.555288156092857</v>
      </c>
      <c r="I129" s="116">
        <f t="shared" si="4"/>
        <v>96.303603478011098</v>
      </c>
      <c r="J129" s="116">
        <f t="shared" si="4"/>
        <v>98.030683073012014</v>
      </c>
      <c r="K129" s="116">
        <f t="shared" si="4"/>
        <v>65.419973653559168</v>
      </c>
    </row>
    <row r="130" spans="1:11" x14ac:dyDescent="0.2">
      <c r="C130" s="87" t="s">
        <v>151</v>
      </c>
      <c r="D130" s="47">
        <f t="shared" ref="D130:K131" si="5">+IFERROR(IF(D88&gt;0,+((D88/D45)*100)," "),"")</f>
        <v>98.384956681551543</v>
      </c>
      <c r="E130" s="47">
        <f t="shared" si="5"/>
        <v>99.249450066239987</v>
      </c>
      <c r="F130" s="47">
        <f t="shared" si="5"/>
        <v>99.6213934923816</v>
      </c>
      <c r="G130" s="47">
        <f t="shared" si="5"/>
        <v>97.954064631499691</v>
      </c>
      <c r="H130" s="47">
        <f t="shared" si="5"/>
        <v>98.342139616009234</v>
      </c>
      <c r="I130" s="47">
        <f t="shared" si="5"/>
        <v>99.099970090062541</v>
      </c>
      <c r="J130" s="47">
        <f t="shared" si="5"/>
        <v>99.719384996152343</v>
      </c>
      <c r="K130" s="47">
        <f t="shared" si="5"/>
        <v>76.181085486954842</v>
      </c>
    </row>
    <row r="131" spans="1:11" x14ac:dyDescent="0.2">
      <c r="C131" s="91" t="s">
        <v>202</v>
      </c>
      <c r="D131" s="64">
        <f t="shared" si="5"/>
        <v>96.660002824946062</v>
      </c>
      <c r="E131" s="64">
        <f t="shared" si="5"/>
        <v>96.001758899529378</v>
      </c>
      <c r="F131" s="64">
        <f t="shared" si="5"/>
        <v>94.805680001135059</v>
      </c>
      <c r="G131" s="64">
        <f t="shared" si="5"/>
        <v>94.66119431705917</v>
      </c>
      <c r="H131" s="64">
        <f t="shared" si="5"/>
        <v>90.001773948783793</v>
      </c>
      <c r="I131" s="64">
        <f t="shared" si="5"/>
        <v>96.537932715839275</v>
      </c>
      <c r="J131" s="64">
        <f t="shared" si="5"/>
        <v>97.3769601538133</v>
      </c>
      <c r="K131" s="64">
        <f t="shared" si="5"/>
        <v>62.330164237539023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Junio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C138" s="9"/>
      <c r="D138" s="131" t="s">
        <v>205</v>
      </c>
      <c r="E138" s="131"/>
      <c r="F138" s="131"/>
      <c r="G138" s="131"/>
      <c r="H138" s="131"/>
      <c r="I138" s="131"/>
      <c r="J138" s="131"/>
      <c r="K138" s="131"/>
    </row>
    <row r="139" spans="1:11" ht="15.75" customHeight="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81" t="s">
        <v>120</v>
      </c>
      <c r="D140" s="155">
        <v>2019</v>
      </c>
      <c r="E140" s="155">
        <v>2020</v>
      </c>
      <c r="F140" s="155">
        <v>2021</v>
      </c>
      <c r="G140" s="155">
        <v>2022</v>
      </c>
      <c r="H140" s="155">
        <v>2023</v>
      </c>
      <c r="I140" s="155">
        <v>2024</v>
      </c>
      <c r="J140" s="155">
        <v>2025</v>
      </c>
      <c r="K140" s="155" t="s">
        <v>36</v>
      </c>
    </row>
    <row r="141" spans="1:11" ht="12" customHeight="1" thickBot="1" x14ac:dyDescent="0.25">
      <c r="C141" s="162"/>
      <c r="D141" s="156"/>
      <c r="E141" s="156"/>
      <c r="F141" s="156"/>
      <c r="G141" s="156"/>
      <c r="H141" s="156"/>
      <c r="I141" s="156"/>
      <c r="J141" s="156"/>
      <c r="K141" s="156"/>
    </row>
    <row r="142" spans="1:11" x14ac:dyDescent="0.2">
      <c r="C142" s="87" t="s">
        <v>123</v>
      </c>
      <c r="D142" s="42">
        <f>876.44054466025*Deflactores!$T$5</f>
        <v>1363.1671387192823</v>
      </c>
      <c r="E142" s="42">
        <f>856.31160033044*Deflactores!$U$5</f>
        <v>1310.7565123868264</v>
      </c>
      <c r="F142" s="42">
        <f>1321.29102046979*Deflactores!$V$5</f>
        <v>1914.8842061572254</v>
      </c>
      <c r="G142" s="42">
        <f>1225.81683714427*Deflactores!$W$5</f>
        <v>1570.4720784355356</v>
      </c>
      <c r="H142" s="42">
        <f>3284.72977374717*Deflactores!$X$5</f>
        <v>3850.9120313892008</v>
      </c>
      <c r="I142" s="42">
        <f>2221.73110255235*Deflactores!$Y$5</f>
        <v>2475.9376610996446</v>
      </c>
      <c r="J142" s="42">
        <f>2219.51938389735*Deflactores!$Z$5</f>
        <v>2353.4242388647945</v>
      </c>
      <c r="K142" s="42">
        <f>769.84426922625*Deflactores!$AA$5</f>
        <v>769.84426922625005</v>
      </c>
    </row>
    <row r="143" spans="1:11" x14ac:dyDescent="0.2">
      <c r="C143" s="88" t="s">
        <v>124</v>
      </c>
      <c r="D143" s="50">
        <f>249.48357825334*Deflactores!$T$5</f>
        <v>388.03295625362455</v>
      </c>
      <c r="E143" s="50">
        <f>254.48148607142*Deflactores!$U$5</f>
        <v>389.53491348391555</v>
      </c>
      <c r="F143" s="50">
        <f>405.5632179549*Deflactores!$V$5</f>
        <v>587.76347422993388</v>
      </c>
      <c r="G143" s="50">
        <f>451.286923478269*Deflactores!$W$5</f>
        <v>578.17244078389388</v>
      </c>
      <c r="H143" s="50">
        <f>508.76130293371*Deflactores!$X$5</f>
        <v>596.45546438288886</v>
      </c>
      <c r="I143" s="50">
        <f>535.80058175722*Deflactores!$Y$5</f>
        <v>597.10594035784845</v>
      </c>
      <c r="J143" s="50">
        <f>654.87992985639*Deflactores!$Z$5</f>
        <v>694.38920500159225</v>
      </c>
      <c r="K143" s="50">
        <f>174.181568196949*Deflactores!$AA$5</f>
        <v>174.181568196949</v>
      </c>
    </row>
    <row r="144" spans="1:11" x14ac:dyDescent="0.2">
      <c r="C144" s="87" t="s">
        <v>125</v>
      </c>
      <c r="D144" s="42">
        <f>134.63888078372*Deflactores!$T$5</f>
        <v>209.40986698585147</v>
      </c>
      <c r="E144" s="42">
        <f>160.21290041796*Deflactores!$U$5</f>
        <v>245.2379513604472</v>
      </c>
      <c r="F144" s="42">
        <f>336.03032165847*Deflactores!$V$5</f>
        <v>486.99275614917298</v>
      </c>
      <c r="G144" s="42">
        <f>265.99426824601*Deflactores!$W$5</f>
        <v>340.78221039729937</v>
      </c>
      <c r="H144" s="42">
        <f>293.92692347326*Deflactores!$X$5</f>
        <v>344.59051548132391</v>
      </c>
      <c r="I144" s="42">
        <f>302.278074158079*Deflactores!$Y$5</f>
        <v>336.86419885505666</v>
      </c>
      <c r="J144" s="42">
        <f>244.244749685719*Deflactores!$Z$5</f>
        <v>258.98017304831961</v>
      </c>
      <c r="K144" s="42">
        <f>95.274715511*Deflactores!$AA$5</f>
        <v>95.274715510999997</v>
      </c>
    </row>
    <row r="145" spans="3:11" x14ac:dyDescent="0.2">
      <c r="C145" s="88" t="s">
        <v>126</v>
      </c>
      <c r="D145" s="50">
        <f>260.58220700278*Deflactores!$T$5</f>
        <v>405.29514943747205</v>
      </c>
      <c r="E145" s="50">
        <f>245.42233552992*Deflactores!$U$5</f>
        <v>375.66806809214273</v>
      </c>
      <c r="F145" s="50">
        <f>256.4965280952*Deflactores!$V$5</f>
        <v>371.72821352333671</v>
      </c>
      <c r="G145" s="50">
        <f>310.19250797631*Deflactores!$W$5</f>
        <v>397.40739232426864</v>
      </c>
      <c r="H145" s="50">
        <f>341.741679719189*Deflactores!$X$5</f>
        <v>400.6470049913687</v>
      </c>
      <c r="I145" s="50">
        <f>188.2107732291*Deflactores!$Y$5</f>
        <v>209.7455183155466</v>
      </c>
      <c r="J145" s="50">
        <f>313.52989597273*Deflactores!$Z$5</f>
        <v>332.44533124794089</v>
      </c>
      <c r="K145" s="50">
        <f>142.23300632961*Deflactores!$AA$5</f>
        <v>142.23300632960999</v>
      </c>
    </row>
    <row r="146" spans="3:11" x14ac:dyDescent="0.2">
      <c r="C146" s="87" t="s">
        <v>127</v>
      </c>
      <c r="D146" s="42">
        <f>56.1922021154799*Deflactores!$T$5</f>
        <v>87.398242633546687</v>
      </c>
      <c r="E146" s="42">
        <f>66.59964476967*Deflactores!$U$5</f>
        <v>101.9441031405014</v>
      </c>
      <c r="F146" s="42">
        <f>102.568897871439*Deflactores!$V$5</f>
        <v>148.64822324088644</v>
      </c>
      <c r="G146" s="42">
        <f>137.29572419259*Deflactores!$W$5</f>
        <v>175.89830291070803</v>
      </c>
      <c r="H146" s="42">
        <f>176.44283537095*Deflactores!$X$5</f>
        <v>206.85593165470385</v>
      </c>
      <c r="I146" s="42">
        <f>148.61662962711*Deflactores!$Y$5</f>
        <v>165.62108255888211</v>
      </c>
      <c r="J146" s="42">
        <f>143.897824087*Deflactores!$Z$5</f>
        <v>152.57926089007307</v>
      </c>
      <c r="K146" s="42">
        <f>80.00156900505*Deflactores!$AA$5</f>
        <v>80.001569005050001</v>
      </c>
    </row>
    <row r="147" spans="3:11" x14ac:dyDescent="0.2">
      <c r="C147" s="88" t="s">
        <v>128</v>
      </c>
      <c r="D147" s="50">
        <f>133.13368647513*Deflactores!$T$5</f>
        <v>207.06877102519783</v>
      </c>
      <c r="E147" s="50">
        <f>130.6417643623*Deflactores!$U$5</f>
        <v>199.97340145983159</v>
      </c>
      <c r="F147" s="50">
        <f>291.254714995599*Deflactores!$V$5</f>
        <v>422.10159993034495</v>
      </c>
      <c r="G147" s="50">
        <f>267.667561567409*Deflactores!$W$5</f>
        <v>342.92597311996826</v>
      </c>
      <c r="H147" s="50">
        <f>331.4119631388*Deflactores!$X$5</f>
        <v>388.53677596181859</v>
      </c>
      <c r="I147" s="50">
        <f>540.06579798318*Deflactores!$Y$5</f>
        <v>601.85917510999991</v>
      </c>
      <c r="J147" s="50">
        <f>403.94931938139*Deflactores!$Z$5</f>
        <v>428.31980941558044</v>
      </c>
      <c r="K147" s="50">
        <f>197.05006387593*Deflactores!$AA$5</f>
        <v>197.05006387592999</v>
      </c>
    </row>
    <row r="148" spans="3:11" x14ac:dyDescent="0.2">
      <c r="C148" s="87" t="s">
        <v>129</v>
      </c>
      <c r="D148" s="42">
        <f>723.86620201947*Deflactores!$T$5</f>
        <v>1125.8614465456826</v>
      </c>
      <c r="E148" s="42">
        <f>1038.39955890579*Deflactores!$U$5</f>
        <v>1589.4786241014892</v>
      </c>
      <c r="F148" s="42">
        <f>1491.43697751225*Deflactores!$V$5</f>
        <v>2161.4686457958674</v>
      </c>
      <c r="G148" s="42">
        <f>1346.74990393745*Deflactores!$W$5</f>
        <v>1725.4071380654241</v>
      </c>
      <c r="H148" s="42">
        <f>1342.84462535506*Deflactores!$X$5</f>
        <v>1574.3080497507485</v>
      </c>
      <c r="I148" s="42">
        <f>1116.37617663497*Deflactores!$Y$5</f>
        <v>1244.109971953648</v>
      </c>
      <c r="J148" s="42">
        <f>947.69753194763*Deflactores!$Z$5</f>
        <v>1004.8726580083093</v>
      </c>
      <c r="K148" s="42">
        <f>514.32599182711*Deflactores!$AA$5</f>
        <v>514.32599182710999</v>
      </c>
    </row>
    <row r="149" spans="3:11" x14ac:dyDescent="0.2">
      <c r="C149" s="88" t="s">
        <v>130</v>
      </c>
      <c r="D149" s="50">
        <f>230.304444823769*Deflactores!$T$5</f>
        <v>358.20279310155536</v>
      </c>
      <c r="E149" s="50">
        <f>204.20464554813*Deflactores!$U$5</f>
        <v>312.57613339416082</v>
      </c>
      <c r="F149" s="50">
        <f>635.953247227649*Deflactores!$V$5</f>
        <v>921.65678121209146</v>
      </c>
      <c r="G149" s="50">
        <f>507.46248029199*Deflactores!$W$5</f>
        <v>650.1425270098631</v>
      </c>
      <c r="H149" s="50">
        <f>512.80351295235*Deflactores!$X$5</f>
        <v>601.19442200387618</v>
      </c>
      <c r="I149" s="50">
        <f>321.25338850098*Deflactores!$Y$5</f>
        <v>358.01063523469765</v>
      </c>
      <c r="J149" s="50">
        <f>258.97770164243*Deflactores!$Z$5</f>
        <v>274.60197229752038</v>
      </c>
      <c r="K149" s="50">
        <f>245.717588879*Deflactores!$AA$5</f>
        <v>245.717588879</v>
      </c>
    </row>
    <row r="150" spans="3:11" x14ac:dyDescent="0.2">
      <c r="C150" s="87" t="s">
        <v>131</v>
      </c>
      <c r="D150" s="42">
        <f>3926.7866947984*Deflactores!$T$5</f>
        <v>6107.506796350126</v>
      </c>
      <c r="E150" s="42">
        <f>3956.51191418621*Deflactores!$U$5</f>
        <v>6056.2343846030126</v>
      </c>
      <c r="F150" s="42">
        <f>4825.31993397799*Deflactores!$V$5</f>
        <v>6993.1065814288113</v>
      </c>
      <c r="G150" s="42">
        <f>5464.84289946715*Deflactores!$W$5</f>
        <v>7001.3585444329865</v>
      </c>
      <c r="H150" s="42">
        <f>6749.93345638312*Deflactores!$X$5</f>
        <v>7913.40589597706</v>
      </c>
      <c r="I150" s="42">
        <f>5749.11710155624*Deflactores!$Y$5</f>
        <v>6406.920951623003</v>
      </c>
      <c r="J150" s="42">
        <f>6119.97492517046*Deflactores!$Z$5</f>
        <v>6489.1964605644698</v>
      </c>
      <c r="K150" s="42">
        <f>3793.09195758908*Deflactores!$AA$5</f>
        <v>3793.0919575890798</v>
      </c>
    </row>
    <row r="151" spans="3:11" x14ac:dyDescent="0.2">
      <c r="C151" s="88" t="s">
        <v>132</v>
      </c>
      <c r="D151" s="50">
        <f>274.30866882399*Deflactores!$T$5</f>
        <v>426.64452881016149</v>
      </c>
      <c r="E151" s="50">
        <f>168.78586736531*Deflactores!$U$5</f>
        <v>258.36059532834372</v>
      </c>
      <c r="F151" s="50">
        <f>204.3973059589*Deflactores!$V$5</f>
        <v>296.22328987191707</v>
      </c>
      <c r="G151" s="50">
        <f>208.70485291879*Deflactores!$W$5</f>
        <v>267.38508903706571</v>
      </c>
      <c r="H151" s="50">
        <f>246.66429178688*Deflactores!$X$5</f>
        <v>289.18131912951276</v>
      </c>
      <c r="I151" s="50">
        <f>316.58626135872*Deflactores!$Y$5</f>
        <v>352.80950362728265</v>
      </c>
      <c r="J151" s="50">
        <f>325.51171189122*Deflactores!$Z$5</f>
        <v>345.15001687167074</v>
      </c>
      <c r="K151" s="50">
        <f>102.75721664426*Deflactores!$AA$5</f>
        <v>102.75721664426</v>
      </c>
    </row>
    <row r="152" spans="3:11" x14ac:dyDescent="0.2">
      <c r="C152" s="87" t="s">
        <v>133</v>
      </c>
      <c r="D152" s="42">
        <f>119.32053043699*Deflactores!$T$5</f>
        <v>185.58455226339518</v>
      </c>
      <c r="E152" s="42">
        <f>119.43681221329*Deflactores!$U$5</f>
        <v>182.82197668101264</v>
      </c>
      <c r="F152" s="42">
        <f>172.66394969114*Deflactores!$V$5</f>
        <v>250.23364657298015</v>
      </c>
      <c r="G152" s="42">
        <f>160.86316011595*Deflactores!$W$5</f>
        <v>206.09204716060808</v>
      </c>
      <c r="H152" s="42">
        <f>176.01678715712*Deflactores!$X$5</f>
        <v>206.35644636805935</v>
      </c>
      <c r="I152" s="42">
        <f>178.7739221768*Deflactores!$Y$5</f>
        <v>199.22891939152049</v>
      </c>
      <c r="J152" s="42">
        <f>206.122094874819*Deflactores!$Z$5</f>
        <v>218.55755699334895</v>
      </c>
      <c r="K152" s="42">
        <f>22.46226239276*Deflactores!$AA$5</f>
        <v>22.46226239276</v>
      </c>
    </row>
    <row r="153" spans="3:11" x14ac:dyDescent="0.2">
      <c r="C153" s="88" t="s">
        <v>134</v>
      </c>
      <c r="D153" s="50">
        <f>538.77648446817*Deflactores!$T$5</f>
        <v>837.98313897768617</v>
      </c>
      <c r="E153" s="50">
        <f>587.015199654959*Deflactores!$U$5</f>
        <v>898.54440313651673</v>
      </c>
      <c r="F153" s="50">
        <f>812.470264807049*Deflactores!$V$5</f>
        <v>1177.4744957384414</v>
      </c>
      <c r="G153" s="50">
        <f>1029.38732300041*Deflactores!$W$5</f>
        <v>1318.8137082811018</v>
      </c>
      <c r="H153" s="50">
        <f>1103.4597270968*Deflactores!$X$5</f>
        <v>1293.6608585560887</v>
      </c>
      <c r="I153" s="50">
        <f>1017.4527032465*Deflactores!$Y$5</f>
        <v>1133.8678490217033</v>
      </c>
      <c r="J153" s="50">
        <f>694.34009370172*Deflactores!$Z$5</f>
        <v>736.23002276462853</v>
      </c>
      <c r="K153" s="50">
        <f>1105.33917681437*Deflactores!$AA$5</f>
        <v>1105.3391768143699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7908.67187627532*Deflactores!$X$5</f>
        <v>9271.8737243078449</v>
      </c>
      <c r="I154" s="42">
        <f>9039.01898899926*Deflactores!$Y$5</f>
        <v>10073.247616936023</v>
      </c>
      <c r="J154" s="42">
        <f>9397.1417120195*Deflactores!$Z$5</f>
        <v>9964.0765661080222</v>
      </c>
      <c r="K154" s="42">
        <f>4556.09329762898*Deflactores!$AA$5</f>
        <v>4556.0932976289796</v>
      </c>
    </row>
    <row r="155" spans="3:11" x14ac:dyDescent="0.2">
      <c r="C155" s="88" t="s">
        <v>136</v>
      </c>
      <c r="D155" s="50">
        <f>8854.1064179274*Deflactores!$T$5</f>
        <v>13771.187315758982</v>
      </c>
      <c r="E155" s="50">
        <f>10105.4841188875*Deflactores!$U$5</f>
        <v>15468.468621167855</v>
      </c>
      <c r="F155" s="50">
        <f>12819.6143412876*Deflactores!$V$5</f>
        <v>18578.857080577243</v>
      </c>
      <c r="G155" s="50">
        <f>20924.7647968539*Deflactores!$W$5</f>
        <v>26808.049837075512</v>
      </c>
      <c r="H155" s="50">
        <f>9654.00349880239*Deflactores!$X$5</f>
        <v>11318.044644567803</v>
      </c>
      <c r="I155" s="50">
        <f>8579.61837453714*Deflactores!$Y$5</f>
        <v>9561.2831935310624</v>
      </c>
      <c r="J155" s="50">
        <f>6865.09731278762*Deflactores!$Z$5</f>
        <v>7279.2725016485665</v>
      </c>
      <c r="K155" s="50">
        <f>4524.32274521188*Deflactores!$AA$5</f>
        <v>4524.3227452118799</v>
      </c>
    </row>
    <row r="156" spans="3:11" x14ac:dyDescent="0.2">
      <c r="C156" s="87" t="s">
        <v>137</v>
      </c>
      <c r="D156" s="42">
        <f>181.83430627373*Deflactores!$T$5</f>
        <v>282.81502095530345</v>
      </c>
      <c r="E156" s="42">
        <f>174.91348781059*Deflactores!$U$5</f>
        <v>267.74014641814097</v>
      </c>
      <c r="F156" s="42">
        <f>239.405989746369*Deflactores!$V$5</f>
        <v>346.95970949818644</v>
      </c>
      <c r="G156" s="42">
        <f>228.32750576787*Deflactores!$W$5</f>
        <v>292.52492026675105</v>
      </c>
      <c r="H156" s="42">
        <f>353.442753408279*Deflactores!$X$5</f>
        <v>414.36496919336292</v>
      </c>
      <c r="I156" s="42">
        <f>574.1435656782*Deflactores!$Y$5</f>
        <v>639.83606094707295</v>
      </c>
      <c r="J156" s="42">
        <f>475.05108983672*Deflactores!$Z$5</f>
        <v>503.71118974313032</v>
      </c>
      <c r="K156" s="42">
        <f>159.70591637841*Deflactores!$AA$5</f>
        <v>159.70591637841</v>
      </c>
    </row>
    <row r="157" spans="3:11" x14ac:dyDescent="0.2">
      <c r="C157" s="88" t="s">
        <v>138</v>
      </c>
      <c r="D157" s="50">
        <f>4.76299823841*Deflactores!$T$5</f>
        <v>7.4081039722954003</v>
      </c>
      <c r="E157" s="50">
        <f>6.86644852094*Deflactores!$U$5</f>
        <v>10.510475523533623</v>
      </c>
      <c r="F157" s="50">
        <f>7.52410469154*Deflactores!$V$5</f>
        <v>10.904326916700519</v>
      </c>
      <c r="G157" s="50">
        <f>6.92170782745*Deflactores!$W$5</f>
        <v>8.8678410580679206</v>
      </c>
      <c r="H157" s="50">
        <f>21.57742476233*Deflactores!$X$5</f>
        <v>25.296682024731947</v>
      </c>
      <c r="I157" s="50">
        <f>16.3466193832*Deflactores!$Y$5</f>
        <v>18.216970773839481</v>
      </c>
      <c r="J157" s="50">
        <f>15.28163051567*Deflactores!$Z$5</f>
        <v>16.203579894762019</v>
      </c>
      <c r="K157" s="50">
        <f>4.48856703505*Deflactores!$AA$5</f>
        <v>4.48856703505</v>
      </c>
    </row>
    <row r="158" spans="3:11" x14ac:dyDescent="0.2">
      <c r="C158" s="87" t="s">
        <v>160</v>
      </c>
      <c r="D158" s="42">
        <f>56.3394594717599*Deflactores!$T$5</f>
        <v>87.627278579268932</v>
      </c>
      <c r="E158" s="42">
        <f>181.41575232815*Deflactores!$U$5</f>
        <v>277.69316534065081</v>
      </c>
      <c r="F158" s="42">
        <f>302.92637915498*Deflactores!$V$5</f>
        <v>439.01678743417239</v>
      </c>
      <c r="G158" s="42">
        <f>450.22734428941*Deflactores!$W$5</f>
        <v>576.81494635195975</v>
      </c>
      <c r="H158" s="42">
        <f>242.093810540379*Deflactores!$X$5</f>
        <v>283.82303323273686</v>
      </c>
      <c r="I158" s="42">
        <f>217.12014470533*Deflactores!$Y$5</f>
        <v>241.9626491440651</v>
      </c>
      <c r="J158" s="42">
        <f>245.85399377512*Deflactores!$Z$5</f>
        <v>260.68650374032558</v>
      </c>
      <c r="K158" s="42">
        <f>81.4637736586999*Deflactores!$AA$5</f>
        <v>81.463773658699907</v>
      </c>
    </row>
    <row r="159" spans="3:11" x14ac:dyDescent="0.2">
      <c r="C159" s="88" t="s">
        <v>161</v>
      </c>
      <c r="D159" s="50">
        <f>91.50163802512*Deflactores!$T$5</f>
        <v>142.31658593930337</v>
      </c>
      <c r="E159" s="50">
        <f>119.05639107122*Deflactores!$U$5</f>
        <v>182.23966588523987</v>
      </c>
      <c r="F159" s="50">
        <f>111.309193730349*Deflactores!$V$5</f>
        <v>161.31511814751903</v>
      </c>
      <c r="G159" s="50">
        <f>155.21362788078*Deflactores!$W$5</f>
        <v>198.85407133689066</v>
      </c>
      <c r="H159" s="50">
        <f>254.44200935249*Deflactores!$X$5</f>
        <v>298.29966621228868</v>
      </c>
      <c r="I159" s="50">
        <f>290.42309139204*Deflactores!$Y$5</f>
        <v>323.65278984682743</v>
      </c>
      <c r="J159" s="50">
        <f>362.834099306269*Deflactores!$Z$5</f>
        <v>384.72408494790659</v>
      </c>
      <c r="K159" s="50">
        <f>131.37165916802*Deflactores!$AA$5</f>
        <v>131.37165916801999</v>
      </c>
    </row>
    <row r="160" spans="3:11" x14ac:dyDescent="0.2">
      <c r="C160" s="87" t="s">
        <v>140</v>
      </c>
      <c r="D160" s="42">
        <f>2747.76253334545*Deflactores!$T$5</f>
        <v>4273.7178389123465</v>
      </c>
      <c r="E160" s="42">
        <f>2741.63488034352*Deflactores!$U$5</f>
        <v>4196.6216183576335</v>
      </c>
      <c r="F160" s="42">
        <f>4387.67798020622*Deflactores!$V$5</f>
        <v>6358.8529217533014</v>
      </c>
      <c r="G160" s="42">
        <f>3933.3189467903*Deflactores!$W$5</f>
        <v>5039.2255958127489</v>
      </c>
      <c r="H160" s="42">
        <f>6239.21574645907*Deflactores!$X$5</f>
        <v>7314.6568026699269</v>
      </c>
      <c r="I160" s="42">
        <f>4463.36849543183*Deflactores!$Y$5</f>
        <v>4974.0592551950976</v>
      </c>
      <c r="J160" s="42">
        <f>4761.07516785723*Deflactores!$Z$5</f>
        <v>5048.3135152518598</v>
      </c>
      <c r="K160" s="42">
        <f>4714.19823409629*Deflactores!$AA$5</f>
        <v>4714.1982340962904</v>
      </c>
    </row>
    <row r="161" spans="1:11" x14ac:dyDescent="0.2">
      <c r="C161" s="88" t="s">
        <v>141</v>
      </c>
      <c r="D161" s="50">
        <f>88.24914922132*Deflactores!$T$5</f>
        <v>137.25784478064182</v>
      </c>
      <c r="E161" s="50">
        <f>143.06381197834*Deflactores!$U$5</f>
        <v>218.9878347614715</v>
      </c>
      <c r="F161" s="50">
        <f>151.71518984451*Deflactores!$V$5</f>
        <v>219.87360571337484</v>
      </c>
      <c r="G161" s="50">
        <f>176.00208250859*Deflactores!$W$5</f>
        <v>225.48748552857157</v>
      </c>
      <c r="H161" s="50">
        <f>304.634226872609*Deflactores!$X$5</f>
        <v>357.14341520958675</v>
      </c>
      <c r="I161" s="50">
        <f>344.890163782379*Deflactores!$Y$5</f>
        <v>384.3518887009397</v>
      </c>
      <c r="J161" s="50">
        <f>233.286404814959*Deflactores!$Z$5</f>
        <v>247.36070505728043</v>
      </c>
      <c r="K161" s="50">
        <f>116.50772813203*Deflactores!$AA$5</f>
        <v>116.50772813203</v>
      </c>
    </row>
    <row r="162" spans="1:11" x14ac:dyDescent="0.2">
      <c r="C162" s="87" t="s">
        <v>142</v>
      </c>
      <c r="D162" s="42">
        <f>161.86104441689*Deflactores!$T$5</f>
        <v>251.74971437842208</v>
      </c>
      <c r="E162" s="42">
        <f>138.286812571529*Deflactores!$U$5</f>
        <v>211.67567984061174</v>
      </c>
      <c r="F162" s="42">
        <f>393.79680926615*Deflactores!$V$5</f>
        <v>570.71097798783615</v>
      </c>
      <c r="G162" s="42">
        <f>271.414791479609*Deflactores!$W$5</f>
        <v>347.72678819304099</v>
      </c>
      <c r="H162" s="42">
        <f>382.60811724094*Deflactores!$X$5</f>
        <v>448.55750806845958</v>
      </c>
      <c r="I162" s="42">
        <f>387.5835279901*Deflactores!$Y$5</f>
        <v>431.93015242489065</v>
      </c>
      <c r="J162" s="42">
        <f>260.37206356954*Deflactores!$Z$5</f>
        <v>276.08045686531392</v>
      </c>
      <c r="K162" s="42">
        <f>93.3924755036499*Deflactores!$AA$5</f>
        <v>93.392475503649905</v>
      </c>
    </row>
    <row r="163" spans="1:11" x14ac:dyDescent="0.2">
      <c r="C163" s="88" t="s">
        <v>143</v>
      </c>
      <c r="D163" s="50">
        <f>118.5820815837*Deflactores!$T$5</f>
        <v>184.43600976777151</v>
      </c>
      <c r="E163" s="50">
        <f>105.961770360829*Deflactores!$U$5</f>
        <v>162.19572467650568</v>
      </c>
      <c r="F163" s="50">
        <f>383.851033678349*Deflactores!$V$5</f>
        <v>556.29703866938632</v>
      </c>
      <c r="G163" s="50">
        <f>288.502159830829*Deflactores!$W$5</f>
        <v>369.6185048642289</v>
      </c>
      <c r="H163" s="50">
        <f>155.718983788079*Deflactores!$X$5</f>
        <v>182.55995149979418</v>
      </c>
      <c r="I163" s="50">
        <f>99.74806780292*Deflactores!$Y$5</f>
        <v>111.16106598654022</v>
      </c>
      <c r="J163" s="50">
        <f>338.02714414891*Deflactores!$Z$5</f>
        <v>358.42051220899833</v>
      </c>
      <c r="K163" s="50">
        <f>37.35051646292*Deflactores!$AA$5</f>
        <v>37.350516462919998</v>
      </c>
    </row>
    <row r="164" spans="1:11" x14ac:dyDescent="0.2">
      <c r="C164" s="87" t="s">
        <v>144</v>
      </c>
      <c r="D164" s="42">
        <f>158.03429547132*Deflactores!$T$5</f>
        <v>245.79780076316158</v>
      </c>
      <c r="E164" s="42">
        <f>132.65661356948*Deflactores!$U$5</f>
        <v>203.05753195481668</v>
      </c>
      <c r="F164" s="42">
        <f>141.43333782396*Deflactores!$V$5</f>
        <v>204.97260681216633</v>
      </c>
      <c r="G164" s="42">
        <f>203.804279047869*Deflactores!$W$5</f>
        <v>261.1066515092196</v>
      </c>
      <c r="H164" s="42">
        <f>317.32623169544*Deflactores!$X$5</f>
        <v>372.02311534970903</v>
      </c>
      <c r="I164" s="42">
        <f>279.35663572606*Deflactores!$Y$5</f>
        <v>311.32012982023275</v>
      </c>
      <c r="J164" s="42">
        <f>478.57676047364*Deflactores!$Z$5</f>
        <v>507.44956607603336</v>
      </c>
      <c r="K164" s="42">
        <f>87.42755563117*Deflactores!$AA$5</f>
        <v>87.427555631169994</v>
      </c>
    </row>
    <row r="165" spans="1:11" x14ac:dyDescent="0.2">
      <c r="C165" s="88" t="s">
        <v>145</v>
      </c>
      <c r="D165" s="50">
        <f>91.43345378734*Deflactores!$T$5</f>
        <v>142.21053594779329</v>
      </c>
      <c r="E165" s="50">
        <f>109.06530846508*Deflactores!$U$5</f>
        <v>166.94631170582755</v>
      </c>
      <c r="F165" s="50">
        <f>76.75770677558*Deflactores!$V$5</f>
        <v>111.24129213649356</v>
      </c>
      <c r="G165" s="50">
        <f>154.41169761599*Deflactores!$W$5</f>
        <v>197.82666736303182</v>
      </c>
      <c r="H165" s="50">
        <f>192.3977726334*Deflactores!$X$5</f>
        <v>225.56098932949016</v>
      </c>
      <c r="I165" s="50">
        <f>157.40718706185*Deflactores!$Y$5</f>
        <v>175.41744008825572</v>
      </c>
      <c r="J165" s="50">
        <f>248.75658220747*Deflactores!$Z$5</f>
        <v>263.76420696819565</v>
      </c>
      <c r="K165" s="50">
        <f>111.451919071*Deflactores!$AA$5</f>
        <v>111.45191907100001</v>
      </c>
    </row>
    <row r="166" spans="1:11" x14ac:dyDescent="0.2">
      <c r="C166" s="87" t="s">
        <v>146</v>
      </c>
      <c r="D166" s="42">
        <f>44.11790003809*Deflactores!$T$5</f>
        <v>68.618541129381015</v>
      </c>
      <c r="E166" s="42">
        <f>40.76460286757*Deflactores!$U$5</f>
        <v>62.398394069298078</v>
      </c>
      <c r="F166" s="42">
        <f>54.25965995313*Deflactores!$V$5</f>
        <v>78.635943381169696</v>
      </c>
      <c r="G166" s="42">
        <f>49.698529742*Deflactores!$W$5</f>
        <v>63.671954026132425</v>
      </c>
      <c r="H166" s="42">
        <f>84.02908787253*Deflactores!$X$5</f>
        <v>98.513012565365813</v>
      </c>
      <c r="I166" s="42">
        <f>81.76680930321*Deflactores!$Y$5</f>
        <v>91.122423568358073</v>
      </c>
      <c r="J166" s="42">
        <f>151.28051185154*Deflactores!$Z$5</f>
        <v>160.40735036705263</v>
      </c>
      <c r="K166" s="42">
        <f>39.88354928609*Deflactores!$AA$5</f>
        <v>39.883549286090002</v>
      </c>
    </row>
    <row r="167" spans="1:11" x14ac:dyDescent="0.2">
      <c r="C167" s="88" t="s">
        <v>162</v>
      </c>
      <c r="D167" s="50">
        <f>594.55489869763*Deflactores!$T$5</f>
        <v>924.7377988239474</v>
      </c>
      <c r="E167" s="50">
        <f>649.13393205216*Deflactores!$U$5</f>
        <v>993.62957189917961</v>
      </c>
      <c r="F167" s="50">
        <f>793.61082392095*Deflactores!$V$5</f>
        <v>1150.1424054341371</v>
      </c>
      <c r="G167" s="50">
        <f>1055.40100918281*Deflactores!$W$5</f>
        <v>1352.1414996514816</v>
      </c>
      <c r="H167" s="50">
        <f>1398.57561442789*Deflactores!$X$5</f>
        <v>1639.645277201563</v>
      </c>
      <c r="I167" s="50">
        <f>939.01725892881*Deflactores!$Y$5</f>
        <v>1046.4579593513681</v>
      </c>
      <c r="J167" s="50">
        <f>926.64872607443*Deflactores!$Z$5</f>
        <v>982.55396581731577</v>
      </c>
      <c r="K167" s="50">
        <f>328.74026590619*Deflactores!$AA$5</f>
        <v>328.74026590619002</v>
      </c>
    </row>
    <row r="168" spans="1:11" x14ac:dyDescent="0.2">
      <c r="C168" s="87" t="s">
        <v>148</v>
      </c>
      <c r="D168" s="42">
        <f>93.17708820442*Deflactores!$T$5</f>
        <v>144.92248846275228</v>
      </c>
      <c r="E168" s="42">
        <f>141.71222660206*Deflactores!$U$5</f>
        <v>216.91896248025733</v>
      </c>
      <c r="F168" s="42">
        <f>181.1178384926*Deflactores!$V$5</f>
        <v>262.48546535910145</v>
      </c>
      <c r="G168" s="42">
        <f>221.057681067709*Deflactores!$W$5</f>
        <v>283.21108449555896</v>
      </c>
      <c r="H168" s="42">
        <f>213.284224419449*Deflactores!$X$5</f>
        <v>250.04759675722113</v>
      </c>
      <c r="I168" s="42">
        <f>194.44227124132*Deflactores!$Y$5</f>
        <v>216.69001335178132</v>
      </c>
      <c r="J168" s="42">
        <f>207.06352164687*Deflactores!$Z$5</f>
        <v>219.55578057298294</v>
      </c>
      <c r="K168" s="42">
        <f>105.485055960369*Deflactores!$AA$5</f>
        <v>105.485055960369</v>
      </c>
    </row>
    <row r="169" spans="1:11" x14ac:dyDescent="0.2">
      <c r="C169" s="88" t="s">
        <v>149</v>
      </c>
      <c r="D169" s="50">
        <f>1004.37031894766*Deflactores!$T$5</f>
        <v>1562.1420326066643</v>
      </c>
      <c r="E169" s="50">
        <f>1194.63780418196*Deflactores!$U$5</f>
        <v>1828.6325692315147</v>
      </c>
      <c r="F169" s="50">
        <f>1257.11616873044*Deflactores!$V$5</f>
        <v>1821.8786471059955</v>
      </c>
      <c r="G169" s="50">
        <f>1234.44921388694*Deflactores!$W$5</f>
        <v>1581.5315664716784</v>
      </c>
      <c r="H169" s="50">
        <f>1328.28218429712*Deflactores!$X$5</f>
        <v>1557.2355100475986</v>
      </c>
      <c r="I169" s="50">
        <f>2137.78646300826*Deflactores!$Y$5</f>
        <v>2382.388223791108</v>
      </c>
      <c r="J169" s="50">
        <f>1285.2454993341*Deflactores!$Z$5</f>
        <v>1362.7850844508087</v>
      </c>
      <c r="K169" s="50">
        <f>739.39630484422*Deflactores!$AA$5</f>
        <v>739.39630484422003</v>
      </c>
    </row>
    <row r="170" spans="1:11" x14ac:dyDescent="0.2">
      <c r="C170" s="87" t="s">
        <v>163</v>
      </c>
      <c r="D170" s="42">
        <f>4733.85120384429*Deflactores!$T$5</f>
        <v>7362.7702871376769</v>
      </c>
      <c r="E170" s="42">
        <f>5078.67695705625*Deflactores!$U$5</f>
        <v>7773.9328688313599</v>
      </c>
      <c r="F170" s="42">
        <f>3652.14832260009*Deflactores!$V$5</f>
        <v>5292.88478703501</v>
      </c>
      <c r="G170" s="42">
        <f>4037.78088057951*Deflactores!$W$5</f>
        <v>5173.0584371510413</v>
      </c>
      <c r="H170" s="42">
        <f>4567.96177882892*Deflactores!$X$5</f>
        <v>5355.3321535338855</v>
      </c>
      <c r="I170" s="42">
        <f>4746.41792700456*Deflactores!$Y$5</f>
        <v>5289.4947040568732</v>
      </c>
      <c r="J170" s="42">
        <f>5387.55592614467*Deflactores!$Z$5</f>
        <v>5712.5902106628901</v>
      </c>
      <c r="K170" s="42">
        <f>1982.10543693945*Deflactores!$AA$5</f>
        <v>1982.1054369394501</v>
      </c>
    </row>
    <row r="171" spans="1:11" x14ac:dyDescent="0.2">
      <c r="C171" s="88" t="s">
        <v>150</v>
      </c>
      <c r="D171" s="50">
        <f>5038.49892087087*Deflactores!$T$5</f>
        <v>7836.6024931745051</v>
      </c>
      <c r="E171" s="50">
        <f>5492.93610004022*Deflactores!$U$5</f>
        <v>8408.0395062662483</v>
      </c>
      <c r="F171" s="50">
        <f>8146.35015194508*Deflactores!$V$5</f>
        <v>11806.11765471603</v>
      </c>
      <c r="G171" s="50">
        <f>8091.18699645868*Deflactores!$W$5</f>
        <v>10366.135359130754</v>
      </c>
      <c r="H171" s="50">
        <f>8649.74279177608*Deflactores!$X$5</f>
        <v>10140.681541444934</v>
      </c>
      <c r="I171" s="50">
        <f>4813.86105525573*Deflactores!$Y$5</f>
        <v>5364.6545562224273</v>
      </c>
      <c r="J171" s="50">
        <f>4523.18247778714*Deflactores!$Z$5</f>
        <v>4796.0686251547013</v>
      </c>
      <c r="K171" s="50">
        <f>1791.31064179061*Deflactores!$AA$5</f>
        <v>1791.3106417906099</v>
      </c>
    </row>
    <row r="172" spans="1:11" x14ac:dyDescent="0.2">
      <c r="C172" s="87" t="s">
        <v>151</v>
      </c>
      <c r="D172" s="42">
        <f>685.84522775402*Deflactores!$T$5</f>
        <v>1066.7257264828411</v>
      </c>
      <c r="E172" s="42">
        <f>985.833941105099*Deflactores!$U$5</f>
        <v>1509.0164117090558</v>
      </c>
      <c r="F172" s="42">
        <f>1911.53779086795*Deflactores!$V$5</f>
        <v>2770.3007653107725</v>
      </c>
      <c r="G172" s="42">
        <f>2030.07812997202*Deflactores!$W$5</f>
        <v>2600.8624808833956</v>
      </c>
      <c r="H172" s="42">
        <f>2057.80987600099*Deflactores!$X$5</f>
        <v>2412.5104211429984</v>
      </c>
      <c r="I172" s="42">
        <f>1613.20015703395*Deflactores!$Y$5</f>
        <v>1797.7796768941366</v>
      </c>
      <c r="J172" s="42">
        <f>1474.83024841859*Deflactores!$Z$5</f>
        <v>1563.8075882647124</v>
      </c>
      <c r="K172" s="42">
        <f>418.512703917509*Deflactores!$AA$5</f>
        <v>418.51270391750899</v>
      </c>
    </row>
    <row r="173" spans="1:11" x14ac:dyDescent="0.2">
      <c r="C173" s="79" t="s">
        <v>202</v>
      </c>
      <c r="D173" s="44">
        <f>+SUM(D142:D172)</f>
        <v>50195.198798676633</v>
      </c>
      <c r="E173" s="44">
        <f>+SUM(E142:E172)</f>
        <v>54079.83612728741</v>
      </c>
      <c r="F173" s="44">
        <f>+SUM(F142:F172)</f>
        <v>66473.729047839603</v>
      </c>
      <c r="G173" s="44">
        <f>+SUM(G142:G172)</f>
        <v>70321.5731431288</v>
      </c>
      <c r="H173" s="44">
        <f>+SUM(H142:H172)</f>
        <v>69632.274730005942</v>
      </c>
      <c r="I173" s="44">
        <f>SUM(I142:I172)</f>
        <v>57517.108177779737</v>
      </c>
      <c r="J173" s="44">
        <f>SUM(J142:J172)</f>
        <v>53196.57869976911</v>
      </c>
      <c r="K173" s="44">
        <f>SUM(K142:K172)</f>
        <v>27265.487732913909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Junio</v>
      </c>
      <c r="D174" s="121">
        <f>+D173-'C5 Ejecución PGN 2019-2026'!D97</f>
        <v>0</v>
      </c>
      <c r="E174" s="121">
        <f>+E173-'C5 Ejecución PGN 2019-2026'!E97</f>
        <v>0</v>
      </c>
      <c r="F174" s="121">
        <f>+F173-'C5 Ejecución PGN 2019-2026'!F97</f>
        <v>-1.4551915228366852E-10</v>
      </c>
      <c r="G174" s="121">
        <f>+G173-'C5 Ejecución PGN 2019-2026'!G97</f>
        <v>0</v>
      </c>
      <c r="H174" s="121">
        <f>+H173-'C5 Ejecución PGN 2019-2026'!H97</f>
        <v>0</v>
      </c>
      <c r="I174" s="121">
        <f>+I173-'C5 Ejecución PGN 2019-2026'!I97</f>
        <v>0</v>
      </c>
      <c r="J174" s="121">
        <f>+J173-'C5 Ejecución PGN 2019-2026'!J97</f>
        <v>0</v>
      </c>
      <c r="K174" s="121">
        <f>+K173-'C5 Ejecución PGN 2019-2026'!K97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8" customHeight="1" x14ac:dyDescent="0.2">
      <c r="C179" s="9"/>
      <c r="D179" s="131" t="s">
        <v>206</v>
      </c>
      <c r="E179" s="131"/>
      <c r="F179" s="131"/>
      <c r="G179" s="131"/>
      <c r="H179" s="131"/>
      <c r="I179" s="131"/>
      <c r="J179" s="131"/>
      <c r="K179" s="131"/>
    </row>
    <row r="180" spans="3:11" ht="1.5" customHeight="1" x14ac:dyDescent="0.2">
      <c r="D180" s="28"/>
      <c r="E180" s="28"/>
      <c r="F180" s="28"/>
    </row>
    <row r="181" spans="3:11" x14ac:dyDescent="0.2">
      <c r="E181" s="29"/>
      <c r="F181" s="29"/>
    </row>
    <row r="182" spans="3:11" x14ac:dyDescent="0.2">
      <c r="C182" s="181" t="s">
        <v>120</v>
      </c>
      <c r="D182" s="155">
        <v>2019</v>
      </c>
      <c r="E182" s="155">
        <v>2020</v>
      </c>
      <c r="F182" s="155">
        <v>2021</v>
      </c>
      <c r="G182" s="155">
        <v>2022</v>
      </c>
      <c r="H182" s="155">
        <v>2023</v>
      </c>
      <c r="I182" s="155">
        <v>2024</v>
      </c>
      <c r="J182" s="155">
        <v>2025</v>
      </c>
      <c r="K182" s="155" t="s">
        <v>36</v>
      </c>
    </row>
    <row r="183" spans="3:11" ht="12" customHeight="1" thickBot="1" x14ac:dyDescent="0.25">
      <c r="C183" s="162"/>
      <c r="D183" s="156"/>
      <c r="E183" s="156"/>
      <c r="F183" s="156"/>
      <c r="G183" s="156"/>
      <c r="H183" s="156"/>
      <c r="I183" s="156"/>
      <c r="J183" s="156"/>
      <c r="K183" s="156"/>
    </row>
    <row r="184" spans="3:11" x14ac:dyDescent="0.2">
      <c r="C184" s="87" t="s">
        <v>123</v>
      </c>
      <c r="D184" s="47">
        <f t="shared" ref="D184:K193" si="6">+IFERROR(IF(D142&gt;0,+((D142/D15)*100)," "),"")</f>
        <v>57.431372590414107</v>
      </c>
      <c r="E184" s="47">
        <f t="shared" si="6"/>
        <v>76.284398595648099</v>
      </c>
      <c r="F184" s="47">
        <f t="shared" si="6"/>
        <v>75.118107358978065</v>
      </c>
      <c r="G184" s="47">
        <f t="shared" si="6"/>
        <v>67.198148558219927</v>
      </c>
      <c r="H184" s="47">
        <f t="shared" si="6"/>
        <v>73.90384102001849</v>
      </c>
      <c r="I184" s="47">
        <f t="shared" si="6"/>
        <v>32.571632291058577</v>
      </c>
      <c r="J184" s="47">
        <f t="shared" si="6"/>
        <v>52.938396990035677</v>
      </c>
      <c r="K184" s="47">
        <f t="shared" si="6"/>
        <v>23.95611013243203</v>
      </c>
    </row>
    <row r="185" spans="3:11" x14ac:dyDescent="0.2">
      <c r="C185" s="88" t="s">
        <v>124</v>
      </c>
      <c r="D185" s="116">
        <f t="shared" si="6"/>
        <v>82.291368447703519</v>
      </c>
      <c r="E185" s="116">
        <f t="shared" si="6"/>
        <v>67.556334217683329</v>
      </c>
      <c r="F185" s="116">
        <f t="shared" si="6"/>
        <v>53.531296437456568</v>
      </c>
      <c r="G185" s="116">
        <f t="shared" si="6"/>
        <v>49.242252013167878</v>
      </c>
      <c r="H185" s="116">
        <f t="shared" si="6"/>
        <v>34.081159202682947</v>
      </c>
      <c r="I185" s="116">
        <f t="shared" si="6"/>
        <v>37.229972798243445</v>
      </c>
      <c r="J185" s="116">
        <f t="shared" si="6"/>
        <v>67.072834870995848</v>
      </c>
      <c r="K185" s="116">
        <f t="shared" si="6"/>
        <v>15.631565810950132</v>
      </c>
    </row>
    <row r="186" spans="3:11" x14ac:dyDescent="0.2">
      <c r="C186" s="87" t="s">
        <v>125</v>
      </c>
      <c r="D186" s="47">
        <f t="shared" si="6"/>
        <v>41.111096670724464</v>
      </c>
      <c r="E186" s="47">
        <f t="shared" si="6"/>
        <v>65.160817123109382</v>
      </c>
      <c r="F186" s="47">
        <f t="shared" si="6"/>
        <v>86.949705753877254</v>
      </c>
      <c r="G186" s="47">
        <f t="shared" si="6"/>
        <v>87.815453817001895</v>
      </c>
      <c r="H186" s="47">
        <f t="shared" si="6"/>
        <v>64.230697522473022</v>
      </c>
      <c r="I186" s="47">
        <f t="shared" si="6"/>
        <v>86.898577806600315</v>
      </c>
      <c r="J186" s="47">
        <f t="shared" si="6"/>
        <v>95.998861184967197</v>
      </c>
      <c r="K186" s="47">
        <f t="shared" si="6"/>
        <v>27.333249954116834</v>
      </c>
    </row>
    <row r="187" spans="3:11" x14ac:dyDescent="0.2">
      <c r="C187" s="88" t="s">
        <v>126</v>
      </c>
      <c r="D187" s="116">
        <f t="shared" si="6"/>
        <v>75.337082284287092</v>
      </c>
      <c r="E187" s="116">
        <f t="shared" si="6"/>
        <v>63.026149206118788</v>
      </c>
      <c r="F187" s="116">
        <f t="shared" si="6"/>
        <v>51.534518715307328</v>
      </c>
      <c r="G187" s="116">
        <f t="shared" si="6"/>
        <v>62.64265897419309</v>
      </c>
      <c r="H187" s="116">
        <f t="shared" si="6"/>
        <v>52.606876032157921</v>
      </c>
      <c r="I187" s="116">
        <f t="shared" si="6"/>
        <v>54.760166323371493</v>
      </c>
      <c r="J187" s="116">
        <f t="shared" si="6"/>
        <v>78.594816852104515</v>
      </c>
      <c r="K187" s="116">
        <f t="shared" si="6"/>
        <v>42.436261673908895</v>
      </c>
    </row>
    <row r="188" spans="3:11" x14ac:dyDescent="0.2">
      <c r="C188" s="87" t="s">
        <v>127</v>
      </c>
      <c r="D188" s="47">
        <f t="shared" si="6"/>
        <v>62.435780128310995</v>
      </c>
      <c r="E188" s="47">
        <f t="shared" si="6"/>
        <v>80.104329979314855</v>
      </c>
      <c r="F188" s="47">
        <f t="shared" si="6"/>
        <v>88.640414545997615</v>
      </c>
      <c r="G188" s="47">
        <f t="shared" si="6"/>
        <v>65.681221621759292</v>
      </c>
      <c r="H188" s="47">
        <f t="shared" si="6"/>
        <v>63.809100539127265</v>
      </c>
      <c r="I188" s="47">
        <f t="shared" si="6"/>
        <v>56.508224192817494</v>
      </c>
      <c r="J188" s="47">
        <f t="shared" si="6"/>
        <v>71.948912043499988</v>
      </c>
      <c r="K188" s="47">
        <f t="shared" si="6"/>
        <v>40.000784502525001</v>
      </c>
    </row>
    <row r="189" spans="3:11" x14ac:dyDescent="0.2">
      <c r="C189" s="88" t="s">
        <v>128</v>
      </c>
      <c r="D189" s="116">
        <f t="shared" si="6"/>
        <v>90.848894623430382</v>
      </c>
      <c r="E189" s="116">
        <f t="shared" si="6"/>
        <v>92.025774575038696</v>
      </c>
      <c r="F189" s="116">
        <f t="shared" si="6"/>
        <v>78.252098690669044</v>
      </c>
      <c r="G189" s="116">
        <f t="shared" si="6"/>
        <v>71.026731229345032</v>
      </c>
      <c r="H189" s="116">
        <f t="shared" si="6"/>
        <v>65.672370923946815</v>
      </c>
      <c r="I189" s="116">
        <f t="shared" si="6"/>
        <v>54.801893244960645</v>
      </c>
      <c r="J189" s="116">
        <f t="shared" si="6"/>
        <v>55.017391218460155</v>
      </c>
      <c r="K189" s="116">
        <f t="shared" si="6"/>
        <v>25.909765681467</v>
      </c>
    </row>
    <row r="190" spans="3:11" x14ac:dyDescent="0.2">
      <c r="C190" s="87" t="s">
        <v>129</v>
      </c>
      <c r="D190" s="47">
        <f t="shared" si="6"/>
        <v>63.878212513751663</v>
      </c>
      <c r="E190" s="47">
        <f t="shared" si="6"/>
        <v>74.642310633267442</v>
      </c>
      <c r="F190" s="47">
        <f t="shared" si="6"/>
        <v>70.830973113947309</v>
      </c>
      <c r="G190" s="47">
        <f t="shared" si="6"/>
        <v>64.654082970108021</v>
      </c>
      <c r="H190" s="47">
        <f t="shared" si="6"/>
        <v>67.769346948802834</v>
      </c>
      <c r="I190" s="47">
        <f t="shared" si="6"/>
        <v>35.975656001795478</v>
      </c>
      <c r="J190" s="47">
        <f t="shared" si="6"/>
        <v>41.008196997553121</v>
      </c>
      <c r="K190" s="47">
        <f t="shared" si="6"/>
        <v>13.99205707285433</v>
      </c>
    </row>
    <row r="191" spans="3:11" x14ac:dyDescent="0.2">
      <c r="C191" s="88" t="s">
        <v>130</v>
      </c>
      <c r="D191" s="116">
        <f t="shared" si="6"/>
        <v>49.849446931551725</v>
      </c>
      <c r="E191" s="116">
        <f t="shared" si="6"/>
        <v>48.345347668945408</v>
      </c>
      <c r="F191" s="116">
        <f t="shared" si="6"/>
        <v>87.375443519254873</v>
      </c>
      <c r="G191" s="116">
        <f t="shared" si="6"/>
        <v>60.033506326257047</v>
      </c>
      <c r="H191" s="116">
        <f t="shared" si="6"/>
        <v>57.507935874152302</v>
      </c>
      <c r="I191" s="116">
        <f t="shared" si="6"/>
        <v>32.31799046689293</v>
      </c>
      <c r="J191" s="116">
        <f t="shared" si="6"/>
        <v>64.744425410607505</v>
      </c>
      <c r="K191" s="116">
        <f t="shared" si="6"/>
        <v>55.605740271105155</v>
      </c>
    </row>
    <row r="192" spans="3:11" x14ac:dyDescent="0.2">
      <c r="C192" s="87" t="s">
        <v>131</v>
      </c>
      <c r="D192" s="47">
        <f t="shared" si="6"/>
        <v>96.663263337636167</v>
      </c>
      <c r="E192" s="47">
        <f t="shared" si="6"/>
        <v>99.041787861263614</v>
      </c>
      <c r="F192" s="47">
        <f t="shared" si="6"/>
        <v>99.261022389831282</v>
      </c>
      <c r="G192" s="47">
        <f t="shared" si="6"/>
        <v>98.731888657950122</v>
      </c>
      <c r="H192" s="47">
        <f t="shared" si="6"/>
        <v>91.170794347382085</v>
      </c>
      <c r="I192" s="47">
        <f t="shared" si="6"/>
        <v>71.142941183111844</v>
      </c>
      <c r="J192" s="47">
        <f t="shared" si="6"/>
        <v>90.305850988807322</v>
      </c>
      <c r="K192" s="47">
        <f t="shared" si="6"/>
        <v>55.614734049619877</v>
      </c>
    </row>
    <row r="193" spans="3:11" x14ac:dyDescent="0.2">
      <c r="C193" s="88" t="s">
        <v>132</v>
      </c>
      <c r="D193" s="116">
        <f t="shared" si="6"/>
        <v>84.496681502113461</v>
      </c>
      <c r="E193" s="116">
        <f t="shared" si="6"/>
        <v>64.730659099273907</v>
      </c>
      <c r="F193" s="116">
        <f t="shared" si="6"/>
        <v>61.079860371230552</v>
      </c>
      <c r="G193" s="116">
        <f t="shared" si="6"/>
        <v>62.039458157618689</v>
      </c>
      <c r="H193" s="116">
        <f t="shared" si="6"/>
        <v>62.767599274308658</v>
      </c>
      <c r="I193" s="116">
        <f t="shared" si="6"/>
        <v>84.386937973923864</v>
      </c>
      <c r="J193" s="116">
        <f t="shared" si="6"/>
        <v>81.879746350842481</v>
      </c>
      <c r="K193" s="116">
        <f t="shared" si="6"/>
        <v>24.946459001151339</v>
      </c>
    </row>
    <row r="194" spans="3:11" x14ac:dyDescent="0.2">
      <c r="C194" s="87" t="s">
        <v>133</v>
      </c>
      <c r="D194" s="47">
        <f t="shared" ref="D194:K203" si="7">+IFERROR(IF(D152&gt;0,+((D152/D25)*100)," "),"")</f>
        <v>69.566317122186319</v>
      </c>
      <c r="E194" s="47">
        <f t="shared" si="7"/>
        <v>68.650346066257228</v>
      </c>
      <c r="F194" s="47">
        <f t="shared" si="7"/>
        <v>84.830941038703713</v>
      </c>
      <c r="G194" s="47">
        <f t="shared" si="7"/>
        <v>80.20904417642312</v>
      </c>
      <c r="H194" s="47">
        <f t="shared" si="7"/>
        <v>72.220671800627642</v>
      </c>
      <c r="I194" s="47">
        <f t="shared" si="7"/>
        <v>69.364828294227237</v>
      </c>
      <c r="J194" s="47">
        <f t="shared" si="7"/>
        <v>60.912266365516011</v>
      </c>
      <c r="K194" s="47">
        <f t="shared" si="7"/>
        <v>5.5182981146660692</v>
      </c>
    </row>
    <row r="195" spans="3:11" x14ac:dyDescent="0.2">
      <c r="C195" s="88" t="s">
        <v>134</v>
      </c>
      <c r="D195" s="116">
        <f t="shared" si="7"/>
        <v>29.487565034724568</v>
      </c>
      <c r="E195" s="116">
        <f t="shared" si="7"/>
        <v>30.427127660737618</v>
      </c>
      <c r="F195" s="116">
        <f t="shared" si="7"/>
        <v>35.725786409005231</v>
      </c>
      <c r="G195" s="116">
        <f t="shared" si="7"/>
        <v>39.386393758129309</v>
      </c>
      <c r="H195" s="116">
        <f t="shared" si="7"/>
        <v>22.84157006096417</v>
      </c>
      <c r="I195" s="116">
        <f t="shared" si="7"/>
        <v>30.688218328781829</v>
      </c>
      <c r="J195" s="116">
        <f t="shared" si="7"/>
        <v>24.927805532937509</v>
      </c>
      <c r="K195" s="116">
        <f t="shared" si="7"/>
        <v>23.192708183492989</v>
      </c>
    </row>
    <row r="196" spans="3:11" x14ac:dyDescent="0.2">
      <c r="C196" s="87" t="s">
        <v>135</v>
      </c>
      <c r="D196" s="47" t="str">
        <f t="shared" si="7"/>
        <v xml:space="preserve"> </v>
      </c>
      <c r="E196" s="47" t="str">
        <f t="shared" si="7"/>
        <v xml:space="preserve"> </v>
      </c>
      <c r="F196" s="47" t="str">
        <f t="shared" si="7"/>
        <v xml:space="preserve"> </v>
      </c>
      <c r="G196" s="47" t="str">
        <f t="shared" si="7"/>
        <v xml:space="preserve"> </v>
      </c>
      <c r="H196" s="47" t="str">
        <f t="shared" si="7"/>
        <v/>
      </c>
      <c r="I196" s="47">
        <f t="shared" si="7"/>
        <v>90.684378150447628</v>
      </c>
      <c r="J196" s="47">
        <f t="shared" si="7"/>
        <v>94.058772324455489</v>
      </c>
      <c r="K196" s="47">
        <f t="shared" si="7"/>
        <v>46.971678910570255</v>
      </c>
    </row>
    <row r="197" spans="3:11" x14ac:dyDescent="0.2">
      <c r="C197" s="88" t="s">
        <v>136</v>
      </c>
      <c r="D197" s="116">
        <f t="shared" si="7"/>
        <v>88.464719995402305</v>
      </c>
      <c r="E197" s="116">
        <f t="shared" si="7"/>
        <v>95.50885099586111</v>
      </c>
      <c r="F197" s="116">
        <f t="shared" si="7"/>
        <v>88.811625791138283</v>
      </c>
      <c r="G197" s="116">
        <f t="shared" si="7"/>
        <v>96.305237357954653</v>
      </c>
      <c r="H197" s="116">
        <f t="shared" si="7"/>
        <v>48.707487074707757</v>
      </c>
      <c r="I197" s="116">
        <f t="shared" si="7"/>
        <v>76.931328695328858</v>
      </c>
      <c r="J197" s="116">
        <f t="shared" si="7"/>
        <v>77.34112430594125</v>
      </c>
      <c r="K197" s="116">
        <f t="shared" si="7"/>
        <v>40.256275114154441</v>
      </c>
    </row>
    <row r="198" spans="3:11" x14ac:dyDescent="0.2">
      <c r="C198" s="87" t="s">
        <v>137</v>
      </c>
      <c r="D198" s="47">
        <f t="shared" si="7"/>
        <v>80.390952145147466</v>
      </c>
      <c r="E198" s="47">
        <f t="shared" si="7"/>
        <v>82.485597231494481</v>
      </c>
      <c r="F198" s="47">
        <f t="shared" si="7"/>
        <v>56.884390956784912</v>
      </c>
      <c r="G198" s="47">
        <f t="shared" si="7"/>
        <v>47.191737196700224</v>
      </c>
      <c r="H198" s="47">
        <f t="shared" si="7"/>
        <v>44.095920212987238</v>
      </c>
      <c r="I198" s="47">
        <f t="shared" si="7"/>
        <v>54.93046778083356</v>
      </c>
      <c r="J198" s="47">
        <f t="shared" si="7"/>
        <v>62.933143343731615</v>
      </c>
      <c r="K198" s="47">
        <f t="shared" si="7"/>
        <v>30.571368655391495</v>
      </c>
    </row>
    <row r="199" spans="3:11" x14ac:dyDescent="0.2">
      <c r="C199" s="88" t="s">
        <v>138</v>
      </c>
      <c r="D199" s="116">
        <f t="shared" si="7"/>
        <v>65.780091142444846</v>
      </c>
      <c r="E199" s="116">
        <f t="shared" si="7"/>
        <v>96.78751852074906</v>
      </c>
      <c r="F199" s="116">
        <f t="shared" si="7"/>
        <v>95.896709671133408</v>
      </c>
      <c r="G199" s="116">
        <f t="shared" si="7"/>
        <v>86.521347843124985</v>
      </c>
      <c r="H199" s="116">
        <f t="shared" si="7"/>
        <v>74.404912973551717</v>
      </c>
      <c r="I199" s="116">
        <f t="shared" si="7"/>
        <v>40.323998133990543</v>
      </c>
      <c r="J199" s="116">
        <f t="shared" si="7"/>
        <v>43.415105868937658</v>
      </c>
      <c r="K199" s="116">
        <f t="shared" si="7"/>
        <v>19.384990138439626</v>
      </c>
    </row>
    <row r="200" spans="3:11" x14ac:dyDescent="0.2">
      <c r="C200" s="87" t="s">
        <v>160</v>
      </c>
      <c r="D200" s="47">
        <f t="shared" si="7"/>
        <v>56.835727192817345</v>
      </c>
      <c r="E200" s="47">
        <f t="shared" si="7"/>
        <v>84.205955597966422</v>
      </c>
      <c r="F200" s="47">
        <f t="shared" si="7"/>
        <v>84.958584080910072</v>
      </c>
      <c r="G200" s="47">
        <f t="shared" si="7"/>
        <v>67.476115445292876</v>
      </c>
      <c r="H200" s="47">
        <f t="shared" si="7"/>
        <v>48.773059638985991</v>
      </c>
      <c r="I200" s="47">
        <f t="shared" si="7"/>
        <v>38.684416503186156</v>
      </c>
      <c r="J200" s="47">
        <f t="shared" si="7"/>
        <v>52.632883078099013</v>
      </c>
      <c r="K200" s="47">
        <f t="shared" si="7"/>
        <v>17.949771585051462</v>
      </c>
    </row>
    <row r="201" spans="3:11" x14ac:dyDescent="0.2">
      <c r="C201" s="88" t="s">
        <v>161</v>
      </c>
      <c r="D201" s="116">
        <f t="shared" si="7"/>
        <v>23.95395443981274</v>
      </c>
      <c r="E201" s="116">
        <f t="shared" si="7"/>
        <v>26.964685584205881</v>
      </c>
      <c r="F201" s="116">
        <f t="shared" si="7"/>
        <v>21.557945321558666</v>
      </c>
      <c r="G201" s="116">
        <f t="shared" si="7"/>
        <v>21.769044765247195</v>
      </c>
      <c r="H201" s="116">
        <f t="shared" si="7"/>
        <v>46.936211035928935</v>
      </c>
      <c r="I201" s="116">
        <f t="shared" si="7"/>
        <v>39.732257624640958</v>
      </c>
      <c r="J201" s="116">
        <f t="shared" si="7"/>
        <v>46.016069840398629</v>
      </c>
      <c r="K201" s="116">
        <f t="shared" si="7"/>
        <v>18.626255945308788</v>
      </c>
    </row>
    <row r="202" spans="3:11" x14ac:dyDescent="0.2">
      <c r="C202" s="87" t="s">
        <v>140</v>
      </c>
      <c r="D202" s="47">
        <f t="shared" si="7"/>
        <v>82.64311078722794</v>
      </c>
      <c r="E202" s="47">
        <f t="shared" si="7"/>
        <v>86.786585043176245</v>
      </c>
      <c r="F202" s="47">
        <f t="shared" si="7"/>
        <v>89.591003981771834</v>
      </c>
      <c r="G202" s="47">
        <f t="shared" si="7"/>
        <v>82.164023117624382</v>
      </c>
      <c r="H202" s="47">
        <f t="shared" si="7"/>
        <v>85.617913680295914</v>
      </c>
      <c r="I202" s="47">
        <f t="shared" si="7"/>
        <v>59.30832378746026</v>
      </c>
      <c r="J202" s="47">
        <f t="shared" si="7"/>
        <v>67.282376840147123</v>
      </c>
      <c r="K202" s="47">
        <f t="shared" si="7"/>
        <v>46.482763062452285</v>
      </c>
    </row>
    <row r="203" spans="3:11" x14ac:dyDescent="0.2">
      <c r="C203" s="88" t="s">
        <v>141</v>
      </c>
      <c r="D203" s="116">
        <f t="shared" si="7"/>
        <v>55.034902967913702</v>
      </c>
      <c r="E203" s="116">
        <f t="shared" si="7"/>
        <v>64.088217125479829</v>
      </c>
      <c r="F203" s="116">
        <f t="shared" si="7"/>
        <v>42.864468040514332</v>
      </c>
      <c r="G203" s="116">
        <f t="shared" si="7"/>
        <v>39.606988049768241</v>
      </c>
      <c r="H203" s="116">
        <f t="shared" si="7"/>
        <v>52.376949216519954</v>
      </c>
      <c r="I203" s="116">
        <f t="shared" si="7"/>
        <v>66.9471354479778</v>
      </c>
      <c r="J203" s="116">
        <f t="shared" si="7"/>
        <v>60.797072904315577</v>
      </c>
      <c r="K203" s="116">
        <f t="shared" si="7"/>
        <v>13.090337965159632</v>
      </c>
    </row>
    <row r="204" spans="3:11" x14ac:dyDescent="0.2">
      <c r="C204" s="87" t="s">
        <v>142</v>
      </c>
      <c r="D204" s="47">
        <f t="shared" ref="D204:K213" si="8">+IFERROR(IF(D162&gt;0,+((D162/D35)*100)," "),"")</f>
        <v>53.622125539248785</v>
      </c>
      <c r="E204" s="47">
        <f t="shared" si="8"/>
        <v>64.487360109499164</v>
      </c>
      <c r="F204" s="47">
        <f t="shared" si="8"/>
        <v>67.297873160255207</v>
      </c>
      <c r="G204" s="47">
        <f t="shared" si="8"/>
        <v>23.864727772621404</v>
      </c>
      <c r="H204" s="47">
        <f t="shared" si="8"/>
        <v>27.178410878568194</v>
      </c>
      <c r="I204" s="47">
        <f t="shared" si="8"/>
        <v>39.450341039905481</v>
      </c>
      <c r="J204" s="47">
        <f t="shared" si="8"/>
        <v>40.345596565376091</v>
      </c>
      <c r="K204" s="47">
        <f t="shared" si="8"/>
        <v>9.4916048757990055</v>
      </c>
    </row>
    <row r="205" spans="3:11" x14ac:dyDescent="0.2">
      <c r="C205" s="88" t="s">
        <v>143</v>
      </c>
      <c r="D205" s="116">
        <f t="shared" si="8"/>
        <v>36.20799340157248</v>
      </c>
      <c r="E205" s="116">
        <f t="shared" si="8"/>
        <v>14.537634251059393</v>
      </c>
      <c r="F205" s="116">
        <f t="shared" si="8"/>
        <v>15.398422647813675</v>
      </c>
      <c r="G205" s="116">
        <f t="shared" si="8"/>
        <v>21.12352492580882</v>
      </c>
      <c r="H205" s="116">
        <f t="shared" si="8"/>
        <v>6.7167675801642073</v>
      </c>
      <c r="I205" s="116">
        <f t="shared" si="8"/>
        <v>12.103505724695998</v>
      </c>
      <c r="J205" s="116">
        <f t="shared" si="8"/>
        <v>68.649408582188329</v>
      </c>
      <c r="K205" s="116">
        <f t="shared" si="8"/>
        <v>12.817161002431362</v>
      </c>
    </row>
    <row r="206" spans="3:11" x14ac:dyDescent="0.2">
      <c r="C206" s="87" t="s">
        <v>144</v>
      </c>
      <c r="D206" s="47">
        <f t="shared" si="8"/>
        <v>46.132177133745436</v>
      </c>
      <c r="E206" s="47">
        <f t="shared" si="8"/>
        <v>48.003168124169157</v>
      </c>
      <c r="F206" s="47">
        <f t="shared" si="8"/>
        <v>29.449286348009</v>
      </c>
      <c r="G206" s="47">
        <f t="shared" si="8"/>
        <v>35.088937628773998</v>
      </c>
      <c r="H206" s="47">
        <f t="shared" si="8"/>
        <v>43.654138363297726</v>
      </c>
      <c r="I206" s="47">
        <f t="shared" si="8"/>
        <v>24.568764552564801</v>
      </c>
      <c r="J206" s="47">
        <f t="shared" si="8"/>
        <v>38.304058927837083</v>
      </c>
      <c r="K206" s="47">
        <f t="shared" si="8"/>
        <v>6.0311063577415025</v>
      </c>
    </row>
    <row r="207" spans="3:11" x14ac:dyDescent="0.2">
      <c r="C207" s="88" t="s">
        <v>145</v>
      </c>
      <c r="D207" s="116">
        <f t="shared" si="8"/>
        <v>84.028955606058005</v>
      </c>
      <c r="E207" s="116">
        <f t="shared" si="8"/>
        <v>73.428862847641469</v>
      </c>
      <c r="F207" s="116">
        <f t="shared" si="8"/>
        <v>63.85370853925243</v>
      </c>
      <c r="G207" s="116">
        <f t="shared" si="8"/>
        <v>71.640386846885747</v>
      </c>
      <c r="H207" s="116">
        <f t="shared" si="8"/>
        <v>57.178658497823562</v>
      </c>
      <c r="I207" s="116">
        <f t="shared" si="8"/>
        <v>50.709704078255669</v>
      </c>
      <c r="J207" s="116">
        <f t="shared" si="8"/>
        <v>73.092546249040723</v>
      </c>
      <c r="K207" s="116">
        <f t="shared" si="8"/>
        <v>28.104493655439938</v>
      </c>
    </row>
    <row r="208" spans="3:11" x14ac:dyDescent="0.2">
      <c r="C208" s="87" t="s">
        <v>146</v>
      </c>
      <c r="D208" s="47">
        <f t="shared" si="8"/>
        <v>89.080061468378887</v>
      </c>
      <c r="E208" s="47">
        <f t="shared" si="8"/>
        <v>88.582648378395447</v>
      </c>
      <c r="F208" s="47">
        <f t="shared" si="8"/>
        <v>75.400129826099516</v>
      </c>
      <c r="G208" s="47">
        <f t="shared" si="8"/>
        <v>62.767736682593224</v>
      </c>
      <c r="H208" s="47">
        <f t="shared" si="8"/>
        <v>70.975732738840023</v>
      </c>
      <c r="I208" s="47">
        <f t="shared" si="8"/>
        <v>77.863707166309311</v>
      </c>
      <c r="J208" s="47">
        <f t="shared" si="8"/>
        <v>80.493853725790032</v>
      </c>
      <c r="K208" s="47">
        <f t="shared" si="8"/>
        <v>19.833388981560628</v>
      </c>
    </row>
    <row r="209" spans="1:11" x14ac:dyDescent="0.2">
      <c r="C209" s="88" t="s">
        <v>162</v>
      </c>
      <c r="D209" s="116">
        <f t="shared" si="8"/>
        <v>90.700976987474988</v>
      </c>
      <c r="E209" s="116">
        <f t="shared" si="8"/>
        <v>91.793899376859756</v>
      </c>
      <c r="F209" s="116">
        <f t="shared" si="8"/>
        <v>90.209008977301735</v>
      </c>
      <c r="G209" s="116">
        <f t="shared" si="8"/>
        <v>89.220575752241956</v>
      </c>
      <c r="H209" s="116">
        <f t="shared" si="8"/>
        <v>65.805723090582362</v>
      </c>
      <c r="I209" s="116">
        <f t="shared" si="8"/>
        <v>45.657613156298602</v>
      </c>
      <c r="J209" s="116">
        <f t="shared" si="8"/>
        <v>43.578769739840176</v>
      </c>
      <c r="K209" s="116">
        <f t="shared" si="8"/>
        <v>10.833708850324095</v>
      </c>
    </row>
    <row r="210" spans="1:11" x14ac:dyDescent="0.2">
      <c r="C210" s="87" t="s">
        <v>148</v>
      </c>
      <c r="D210" s="47">
        <f t="shared" si="8"/>
        <v>61.866202437315046</v>
      </c>
      <c r="E210" s="47">
        <f t="shared" si="8"/>
        <v>79.625252443993361</v>
      </c>
      <c r="F210" s="47">
        <f t="shared" si="8"/>
        <v>84.546406859085337</v>
      </c>
      <c r="G210" s="47">
        <f t="shared" si="8"/>
        <v>86.660191564308178</v>
      </c>
      <c r="H210" s="47">
        <f t="shared" si="8"/>
        <v>85.634371030818372</v>
      </c>
      <c r="I210" s="47">
        <f t="shared" si="8"/>
        <v>76.470991278651866</v>
      </c>
      <c r="J210" s="47">
        <f t="shared" si="8"/>
        <v>78.260160187165113</v>
      </c>
      <c r="K210" s="47">
        <f t="shared" si="8"/>
        <v>39.436387057464955</v>
      </c>
    </row>
    <row r="211" spans="1:11" x14ac:dyDescent="0.2">
      <c r="C211" s="88" t="s">
        <v>149</v>
      </c>
      <c r="D211" s="116">
        <f t="shared" si="8"/>
        <v>87.997075966332801</v>
      </c>
      <c r="E211" s="116">
        <f t="shared" si="8"/>
        <v>94.15617240372427</v>
      </c>
      <c r="F211" s="116">
        <f t="shared" si="8"/>
        <v>78.243377529836678</v>
      </c>
      <c r="G211" s="116">
        <f t="shared" si="8"/>
        <v>78.848773074036174</v>
      </c>
      <c r="H211" s="116">
        <f t="shared" si="8"/>
        <v>88.830506488322229</v>
      </c>
      <c r="I211" s="116">
        <f t="shared" si="8"/>
        <v>65.575614728830246</v>
      </c>
      <c r="J211" s="116">
        <f t="shared" si="8"/>
        <v>67.665759847638242</v>
      </c>
      <c r="K211" s="116">
        <f t="shared" si="8"/>
        <v>43.293946617430571</v>
      </c>
    </row>
    <row r="212" spans="1:11" x14ac:dyDescent="0.2">
      <c r="C212" s="87" t="s">
        <v>163</v>
      </c>
      <c r="D212" s="47">
        <f t="shared" si="8"/>
        <v>91.409979350322232</v>
      </c>
      <c r="E212" s="47">
        <f t="shared" si="8"/>
        <v>87.407792009136614</v>
      </c>
      <c r="F212" s="47">
        <f t="shared" si="8"/>
        <v>88.081481723598714</v>
      </c>
      <c r="G212" s="47">
        <f t="shared" si="8"/>
        <v>93.196101665282484</v>
      </c>
      <c r="H212" s="47">
        <f t="shared" si="8"/>
        <v>89.209237439380857</v>
      </c>
      <c r="I212" s="47">
        <f t="shared" si="8"/>
        <v>83.808731329403798</v>
      </c>
      <c r="J212" s="47">
        <f t="shared" si="8"/>
        <v>81.113203569073349</v>
      </c>
      <c r="K212" s="47">
        <f t="shared" si="8"/>
        <v>29.225256505822824</v>
      </c>
    </row>
    <row r="213" spans="1:11" x14ac:dyDescent="0.2">
      <c r="C213" s="88" t="s">
        <v>150</v>
      </c>
      <c r="D213" s="116">
        <f t="shared" si="8"/>
        <v>75.696460100732992</v>
      </c>
      <c r="E213" s="116">
        <f t="shared" si="8"/>
        <v>78.262535191860053</v>
      </c>
      <c r="F213" s="116">
        <f t="shared" si="8"/>
        <v>78.649530328753997</v>
      </c>
      <c r="G213" s="116">
        <f t="shared" si="8"/>
        <v>72.033558629078016</v>
      </c>
      <c r="H213" s="116">
        <f t="shared" si="8"/>
        <v>76.520395228262856</v>
      </c>
      <c r="I213" s="116">
        <f t="shared" si="8"/>
        <v>37.6773798980986</v>
      </c>
      <c r="J213" s="116">
        <f t="shared" si="8"/>
        <v>37.284219145040154</v>
      </c>
      <c r="K213" s="116">
        <f t="shared" si="8"/>
        <v>11.515686291988596</v>
      </c>
    </row>
    <row r="214" spans="1:11" x14ac:dyDescent="0.2">
      <c r="C214" s="87" t="s">
        <v>151</v>
      </c>
      <c r="D214" s="47">
        <f t="shared" ref="D214:K215" si="9">+IFERROR(IF(D172&gt;0,+((D172/D45)*100)," "),"")</f>
        <v>35.049078283909395</v>
      </c>
      <c r="E214" s="47">
        <f t="shared" si="9"/>
        <v>49.391158648910718</v>
      </c>
      <c r="F214" s="47">
        <f t="shared" si="9"/>
        <v>59.120324785235127</v>
      </c>
      <c r="G214" s="47">
        <f t="shared" si="9"/>
        <v>64.134454219274943</v>
      </c>
      <c r="H214" s="47">
        <f t="shared" si="9"/>
        <v>41.086929110770178</v>
      </c>
      <c r="I214" s="47">
        <f t="shared" si="9"/>
        <v>30.058288663373826</v>
      </c>
      <c r="J214" s="47">
        <f t="shared" si="9"/>
        <v>36.856670566275533</v>
      </c>
      <c r="K214" s="47">
        <f t="shared" si="9"/>
        <v>15.900149666048119</v>
      </c>
    </row>
    <row r="215" spans="1:11" x14ac:dyDescent="0.2">
      <c r="C215" s="91" t="s">
        <v>202</v>
      </c>
      <c r="D215" s="64">
        <f t="shared" si="9"/>
        <v>77.211463425633653</v>
      </c>
      <c r="E215" s="64">
        <f t="shared" si="9"/>
        <v>80.728665056895011</v>
      </c>
      <c r="F215" s="64">
        <f t="shared" si="9"/>
        <v>76.995510073232239</v>
      </c>
      <c r="G215" s="64">
        <f t="shared" si="9"/>
        <v>78.770144821133826</v>
      </c>
      <c r="H215" s="64">
        <f t="shared" si="9"/>
        <v>71.268748001502985</v>
      </c>
      <c r="I215" s="64">
        <f t="shared" si="9"/>
        <v>56.96513648634086</v>
      </c>
      <c r="J215" s="64">
        <f t="shared" si="9"/>
        <v>64.221817950914499</v>
      </c>
      <c r="K215" s="64">
        <f t="shared" si="9"/>
        <v>30.473735451207752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Junio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C221" s="9"/>
      <c r="D221" s="131" t="s">
        <v>207</v>
      </c>
      <c r="E221" s="131"/>
      <c r="F221" s="131"/>
      <c r="G221" s="131"/>
      <c r="H221" s="131"/>
      <c r="I221" s="131"/>
      <c r="J221" s="131"/>
      <c r="K221" s="131"/>
    </row>
    <row r="222" spans="1:11" ht="15.75" customHeight="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81" t="s">
        <v>120</v>
      </c>
      <c r="D223" s="155">
        <v>2019</v>
      </c>
      <c r="E223" s="155">
        <v>2020</v>
      </c>
      <c r="F223" s="155">
        <v>2021</v>
      </c>
      <c r="G223" s="155">
        <v>2022</v>
      </c>
      <c r="H223" s="155">
        <v>2023</v>
      </c>
      <c r="I223" s="155">
        <v>2024</v>
      </c>
      <c r="J223" s="155">
        <v>2025</v>
      </c>
      <c r="K223" s="155" t="s">
        <v>36</v>
      </c>
    </row>
    <row r="224" spans="1:11" ht="12" customHeight="1" thickBot="1" x14ac:dyDescent="0.25">
      <c r="C224" s="162"/>
      <c r="D224" s="156"/>
      <c r="E224" s="156"/>
      <c r="F224" s="156"/>
      <c r="G224" s="156"/>
      <c r="H224" s="156"/>
      <c r="I224" s="156"/>
      <c r="J224" s="156"/>
      <c r="K224" s="156"/>
    </row>
    <row r="225" spans="3:11" x14ac:dyDescent="0.2">
      <c r="C225" s="87" t="s">
        <v>123</v>
      </c>
      <c r="D225" s="42">
        <f>870.899372097949*Deflactores!$T$5</f>
        <v>1354.5487054519924</v>
      </c>
      <c r="E225" s="42">
        <f>854.99585787813*Deflactores!$U$5</f>
        <v>1308.7425048838056</v>
      </c>
      <c r="F225" s="42">
        <f>1319.99384408719*Deflactores!$V$5</f>
        <v>1913.0042701483076</v>
      </c>
      <c r="G225" s="42">
        <f>1216.69333105053*Deflactores!$W$5</f>
        <v>1558.7833732852337</v>
      </c>
      <c r="H225" s="42">
        <f>3262.92800712956*Deflactores!$X$5</f>
        <v>3825.3523381552827</v>
      </c>
      <c r="I225" s="42">
        <f>2206.05256963647*Deflactores!$Y$5</f>
        <v>2458.465218069693</v>
      </c>
      <c r="J225" s="42">
        <f>2212.28815895224*Deflactores!$Z$5</f>
        <v>2345.7567500444788</v>
      </c>
      <c r="K225" s="42">
        <f>753.16574308525*Deflactores!$AA$5</f>
        <v>753.16574308525003</v>
      </c>
    </row>
    <row r="226" spans="3:11" x14ac:dyDescent="0.2">
      <c r="C226" s="88" t="s">
        <v>124</v>
      </c>
      <c r="D226" s="50">
        <f>245.47944673166*Deflactores!$T$5</f>
        <v>381.80515159223694</v>
      </c>
      <c r="E226" s="50">
        <f>250.91034662321*Deflactores!$U$5</f>
        <v>384.06856888858778</v>
      </c>
      <c r="F226" s="50">
        <f>398.08688807036*Deflactores!$V$5</f>
        <v>576.92838506779253</v>
      </c>
      <c r="G226" s="50">
        <f>445.319226332289*Deflactores!$W$5</f>
        <v>570.52684361445483</v>
      </c>
      <c r="H226" s="50">
        <f>500.0834862054*Deflactores!$X$5</f>
        <v>586.28186985699358</v>
      </c>
      <c r="I226" s="50">
        <f>526.08695068756*Deflactores!$Y$5</f>
        <v>586.28089273450212</v>
      </c>
      <c r="J226" s="50">
        <f>649.899812294939*Deflactores!$Z$5</f>
        <v>689.10863414172661</v>
      </c>
      <c r="K226" s="50">
        <f>174.053619908949*Deflactores!$AA$5</f>
        <v>174.053619908949</v>
      </c>
    </row>
    <row r="227" spans="3:11" x14ac:dyDescent="0.2">
      <c r="C227" s="87" t="s">
        <v>125</v>
      </c>
      <c r="D227" s="42">
        <f>127.44265654972*Deflactores!$T$5</f>
        <v>198.21725790539546</v>
      </c>
      <c r="E227" s="42">
        <f>159.44373548996*Deflactores!$U$5</f>
        <v>244.06059029458464</v>
      </c>
      <c r="F227" s="42">
        <f>334.840820390469*Deflactores!$V$5</f>
        <v>485.26886856043478</v>
      </c>
      <c r="G227" s="42">
        <f>265.99201824601*Deflactores!$W$5</f>
        <v>340.7793277788939</v>
      </c>
      <c r="H227" s="42">
        <f>293.92692347326*Deflactores!$X$5</f>
        <v>344.59051548132391</v>
      </c>
      <c r="I227" s="42">
        <f>300.61243224908*Deflactores!$Y$5</f>
        <v>335.00797713332855</v>
      </c>
      <c r="J227" s="42">
        <f>234.79407262684*Deflactores!$Z$5</f>
        <v>248.95933131771281</v>
      </c>
      <c r="K227" s="42">
        <f>95.274715511*Deflactores!$AA$5</f>
        <v>95.274715510999997</v>
      </c>
    </row>
    <row r="228" spans="3:11" x14ac:dyDescent="0.2">
      <c r="C228" s="88" t="s">
        <v>126</v>
      </c>
      <c r="D228" s="50">
        <f>253.90118740172*Deflactores!$T$5</f>
        <v>394.90386114211498</v>
      </c>
      <c r="E228" s="50">
        <f>237.33553989448*Deflactores!$U$5</f>
        <v>363.28960674769291</v>
      </c>
      <c r="F228" s="50">
        <f>252.32579918136*Deflactores!$V$5</f>
        <v>365.68377456057442</v>
      </c>
      <c r="G228" s="50">
        <f>304.09910319849*Deflactores!$W$5</f>
        <v>389.60074309560764</v>
      </c>
      <c r="H228" s="50">
        <f>335.473007943*Deflactores!$X$5</f>
        <v>393.29781488243094</v>
      </c>
      <c r="I228" s="50">
        <f>166.97769397893*Deflactores!$Y$5</f>
        <v>186.08298754563739</v>
      </c>
      <c r="J228" s="50">
        <f>302.4773270746*Deflactores!$Z$5</f>
        <v>320.72595464087215</v>
      </c>
      <c r="K228" s="50">
        <f>141.738383198009*Deflactores!$AA$5</f>
        <v>141.73838319800899</v>
      </c>
    </row>
    <row r="229" spans="3:11" x14ac:dyDescent="0.2">
      <c r="C229" s="87" t="s">
        <v>127</v>
      </c>
      <c r="D229" s="42">
        <f>56.1706710994799*Deflactores!$T$5</f>
        <v>87.364754482350051</v>
      </c>
      <c r="E229" s="42">
        <f>63.9798286538699*Deflactores!$U$5</f>
        <v>97.933949554218302</v>
      </c>
      <c r="F229" s="42">
        <f>102.568897871439*Deflactores!$V$5</f>
        <v>148.64822324088644</v>
      </c>
      <c r="G229" s="42">
        <f>135.40986192558*Deflactores!$W$5</f>
        <v>173.48220456357316</v>
      </c>
      <c r="H229" s="42">
        <f>176.44283537095*Deflactores!$X$5</f>
        <v>206.85593165470385</v>
      </c>
      <c r="I229" s="42">
        <f>148.44162962711*Deflactores!$Y$5</f>
        <v>165.426059367194</v>
      </c>
      <c r="J229" s="42">
        <f>143.897824087*Deflactores!$Z$5</f>
        <v>152.57926089007307</v>
      </c>
      <c r="K229" s="42">
        <f>72.36456606705*Deflactores!$AA$5</f>
        <v>72.364566067050006</v>
      </c>
    </row>
    <row r="230" spans="3:11" x14ac:dyDescent="0.2">
      <c r="C230" s="88" t="s">
        <v>128</v>
      </c>
      <c r="D230" s="50">
        <f>132.50515653713*Deflactores!$T$5</f>
        <v>206.09119032973265</v>
      </c>
      <c r="E230" s="50">
        <f>128.3827433356*Deflactores!$U$5</f>
        <v>196.51551706211563</v>
      </c>
      <c r="F230" s="50">
        <f>275.43636481924*Deflactores!$V$5</f>
        <v>399.17681769016565</v>
      </c>
      <c r="G230" s="50">
        <f>266.14110669492*Deflactores!$W$5</f>
        <v>340.97033449305837</v>
      </c>
      <c r="H230" s="50">
        <f>330.004997479369*Deflactores!$X$5</f>
        <v>386.88729446444927</v>
      </c>
      <c r="I230" s="50">
        <f>535.81786077479*Deflactores!$Y$5</f>
        <v>597.12519641016695</v>
      </c>
      <c r="J230" s="50">
        <f>402.27827056939*Deflactores!$Z$5</f>
        <v>426.54794528723858</v>
      </c>
      <c r="K230" s="50">
        <f>196.98102231993*Deflactores!$AA$5</f>
        <v>196.98102231992999</v>
      </c>
    </row>
    <row r="231" spans="3:11" x14ac:dyDescent="0.2">
      <c r="C231" s="87" t="s">
        <v>129</v>
      </c>
      <c r="D231" s="42">
        <f>711.298442804919*Deflactores!$T$5</f>
        <v>1106.314249108287</v>
      </c>
      <c r="E231" s="42">
        <f>1024.81212119999*Deflactores!$U$5</f>
        <v>1568.6803277188933</v>
      </c>
      <c r="F231" s="42">
        <f>1479.48005353321*Deflactores!$V$5</f>
        <v>2144.1400448086711</v>
      </c>
      <c r="G231" s="42">
        <f>1335.90781256922*Deflactores!$W$5</f>
        <v>1711.516643784631</v>
      </c>
      <c r="H231" s="42">
        <f>1315.4353521251*Deflactores!$X$5</f>
        <v>1542.1742952798363</v>
      </c>
      <c r="I231" s="42">
        <f>1107.93540161164*Deflactores!$Y$5</f>
        <v>1234.7034183229573</v>
      </c>
      <c r="J231" s="42">
        <f>928.05454486514*Deflactores!$Z$5</f>
        <v>984.04459844774544</v>
      </c>
      <c r="K231" s="42">
        <f>513.25653479978*Deflactores!$AA$5</f>
        <v>513.25653479977996</v>
      </c>
    </row>
    <row r="232" spans="3:11" x14ac:dyDescent="0.2">
      <c r="C232" s="88" t="s">
        <v>130</v>
      </c>
      <c r="D232" s="50">
        <f>230.302374533769*Deflactores!$T$5</f>
        <v>358.19957308701726</v>
      </c>
      <c r="E232" s="50">
        <f>204.19736059113*Deflactores!$U$5</f>
        <v>312.56498230753942</v>
      </c>
      <c r="F232" s="50">
        <f>635.752490601649*Deflactores!$V$5</f>
        <v>921.36583418645284</v>
      </c>
      <c r="G232" s="50">
        <f>507.382871380989*Deflactores!$W$5</f>
        <v>650.04053496004508</v>
      </c>
      <c r="H232" s="50">
        <f>512.78972961935*Deflactores!$X$5</f>
        <v>601.17826286551826</v>
      </c>
      <c r="I232" s="50">
        <f>321.04538850098*Deflactores!$Y$5</f>
        <v>357.77883624114833</v>
      </c>
      <c r="J232" s="50">
        <f>258.97770164243*Deflactores!$Z$5</f>
        <v>274.60197229752038</v>
      </c>
      <c r="K232" s="50">
        <f>245.717588879*Deflactores!$AA$5</f>
        <v>245.717588879</v>
      </c>
    </row>
    <row r="233" spans="3:11" x14ac:dyDescent="0.2">
      <c r="C233" s="87" t="s">
        <v>131</v>
      </c>
      <c r="D233" s="42">
        <f>3622.8553488274*Deflactores!$T$5</f>
        <v>5634.7887942237021</v>
      </c>
      <c r="E233" s="42">
        <f>3956.23225516396*Deflactores!$U$5</f>
        <v>6055.806310424734</v>
      </c>
      <c r="F233" s="42">
        <f>4821.58926597245*Deflactores!$V$5</f>
        <v>6987.6999018014239</v>
      </c>
      <c r="G233" s="42">
        <f>5464.59927778128*Deflactores!$W$5</f>
        <v>7001.0464251638041</v>
      </c>
      <c r="H233" s="42">
        <f>6741.82893090033*Deflactores!$X$5</f>
        <v>7903.9044097544138</v>
      </c>
      <c r="I233" s="42">
        <f>5645.24354420322*Deflactores!$Y$5</f>
        <v>6291.1623648402556</v>
      </c>
      <c r="J233" s="42">
        <f>6119.14713700715*Deflactores!$Z$5</f>
        <v>6488.3187314748693</v>
      </c>
      <c r="K233" s="42">
        <f>3749.99816001303*Deflactores!$AA$5</f>
        <v>3749.99816001303</v>
      </c>
    </row>
    <row r="234" spans="3:11" x14ac:dyDescent="0.2">
      <c r="C234" s="88" t="s">
        <v>132</v>
      </c>
      <c r="D234" s="50">
        <f>261.8565787948*Deflactores!$T$5</f>
        <v>407.27723682488954</v>
      </c>
      <c r="E234" s="50">
        <f>155.32594950191*Deflactores!$U$5</f>
        <v>237.75749361999917</v>
      </c>
      <c r="F234" s="50">
        <f>197.47763613564*Deflactores!$V$5</f>
        <v>286.19494164953068</v>
      </c>
      <c r="G234" s="50">
        <f>203.8268573481*Deflactores!$W$5</f>
        <v>261.13557800869069</v>
      </c>
      <c r="H234" s="50">
        <f>237.728725246769*Deflactores!$X$5</f>
        <v>278.70554697570856</v>
      </c>
      <c r="I234" s="50">
        <f>302.42129296855*Deflactores!$Y$5</f>
        <v>337.02380450950136</v>
      </c>
      <c r="J234" s="50">
        <f>315.693776920289*Deflactores!$Z$5</f>
        <v>334.73976035225485</v>
      </c>
      <c r="K234" s="50">
        <f>102.48085417726*Deflactores!$AA$5</f>
        <v>102.48085417726</v>
      </c>
    </row>
    <row r="235" spans="3:11" x14ac:dyDescent="0.2">
      <c r="C235" s="87" t="s">
        <v>133</v>
      </c>
      <c r="D235" s="42">
        <f>102.65119464308*Deflactores!$T$5</f>
        <v>159.6579895125314</v>
      </c>
      <c r="E235" s="42">
        <f>111.8464278155*Deflactores!$U$5</f>
        <v>171.20337221847427</v>
      </c>
      <c r="F235" s="42">
        <f>172.33203368914*Deflactores!$V$5</f>
        <v>249.75261650454399</v>
      </c>
      <c r="G235" s="42">
        <f>159.5055588466*Deflactores!$W$5</f>
        <v>204.35273764669259</v>
      </c>
      <c r="H235" s="42">
        <f>175.91577541669*Deflactores!$X$5</f>
        <v>206.23802343730796</v>
      </c>
      <c r="I235" s="42">
        <f>178.55302487861*Deflactores!$Y$5</f>
        <v>198.98274741364455</v>
      </c>
      <c r="J235" s="42">
        <f>206.121331868329*Deflactores!$Z$5</f>
        <v>218.55674795424753</v>
      </c>
      <c r="K235" s="42">
        <f>22.36475907076*Deflactores!$AA$5</f>
        <v>22.364759070760002</v>
      </c>
    </row>
    <row r="236" spans="3:11" x14ac:dyDescent="0.2">
      <c r="C236" s="88" t="s">
        <v>134</v>
      </c>
      <c r="D236" s="50">
        <f>534.55895980256*Deflactores!$T$5</f>
        <v>831.42343442507877</v>
      </c>
      <c r="E236" s="50">
        <f>584.39430822141*Deflactores!$U$5</f>
        <v>894.53260356092119</v>
      </c>
      <c r="F236" s="50">
        <f>806.95337771394*Deflactores!$V$5</f>
        <v>1169.4791337795061</v>
      </c>
      <c r="G236" s="50">
        <f>1022.28960838346*Deflactores!$W$5</f>
        <v>1309.7203737070784</v>
      </c>
      <c r="H236" s="50">
        <f>1097.80541243596*Deflactores!$X$5</f>
        <v>1287.0319210615291</v>
      </c>
      <c r="I236" s="50">
        <f>1003.60990451344*Deflactores!$Y$5</f>
        <v>1118.4411816456056</v>
      </c>
      <c r="J236" s="50">
        <f>683.71826086667*Deflactores!$Z$5</f>
        <v>724.96736877001365</v>
      </c>
      <c r="K236" s="50">
        <f>1105.25014411437*Deflactores!$AA$5</f>
        <v>1105.25014411437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8806.20255992043*Deflactores!$Y$5</f>
        <v>9813.79274221388</v>
      </c>
      <c r="J237" s="42">
        <f>9374.60843165103*Deflactores!$Z$5</f>
        <v>9940.1838402390658</v>
      </c>
      <c r="K237" s="42">
        <f>4556.09221284398*Deflactores!$AA$5</f>
        <v>4556.0922128439797</v>
      </c>
    </row>
    <row r="238" spans="3:11" x14ac:dyDescent="0.2">
      <c r="C238" s="88" t="s">
        <v>136</v>
      </c>
      <c r="D238" s="50">
        <f>8798.43971438817*Deflactores!$T$5</f>
        <v>13684.606404540502</v>
      </c>
      <c r="E238" s="50">
        <f>10069.8370382365*Deflactores!$U$5</f>
        <v>15413.90362042181</v>
      </c>
      <c r="F238" s="50">
        <f>12720.2070925784*Deflactores!$V$5</f>
        <v>18434.790885029262</v>
      </c>
      <c r="G238" s="50">
        <f>20884.0907597158*Deflactores!$W$5</f>
        <v>26755.93973570715</v>
      </c>
      <c r="H238" s="50">
        <f>17482.3798851368*Deflactores!$X$5</f>
        <v>20495.782507000167</v>
      </c>
      <c r="I238" s="50">
        <f>8406.17716686667*Deflactores!$Y$5</f>
        <v>9367.9971484446032</v>
      </c>
      <c r="J238" s="50">
        <f>6844.6693317788*Deflactores!$Z$5</f>
        <v>7257.6120890358116</v>
      </c>
      <c r="K238" s="50">
        <f>4522.85263020588*Deflactores!$AA$5</f>
        <v>4522.8526302058799</v>
      </c>
    </row>
    <row r="239" spans="3:11" x14ac:dyDescent="0.2">
      <c r="C239" s="87" t="s">
        <v>137</v>
      </c>
      <c r="D239" s="42">
        <f>181.59155977753*Deflactores!$T$5</f>
        <v>282.43746648378209</v>
      </c>
      <c r="E239" s="42">
        <f>173.470425166409*Deflactores!$U$5</f>
        <v>265.53124984601408</v>
      </c>
      <c r="F239" s="42">
        <f>236.28350081734*Deflactores!$V$5</f>
        <v>342.4344348679445</v>
      </c>
      <c r="G239" s="42">
        <f>227.84447028166*Deflactores!$W$5</f>
        <v>291.90607271873267</v>
      </c>
      <c r="H239" s="42">
        <f>351.12540838812*Deflactores!$X$5</f>
        <v>411.64818807781018</v>
      </c>
      <c r="I239" s="42">
        <f>573.58152695417*Deflactores!$Y$5</f>
        <v>639.20971474242936</v>
      </c>
      <c r="J239" s="42">
        <f>474.8351184949*Deflactores!$Z$5</f>
        <v>503.48218872857422</v>
      </c>
      <c r="K239" s="42">
        <f>159.66295622541*Deflactores!$AA$5</f>
        <v>159.66295622541</v>
      </c>
    </row>
    <row r="240" spans="3:11" x14ac:dyDescent="0.2">
      <c r="C240" s="88" t="s">
        <v>138</v>
      </c>
      <c r="D240" s="50">
        <f>4.76299823841*Deflactores!$T$5</f>
        <v>7.4081039722954003</v>
      </c>
      <c r="E240" s="50">
        <f>6.86644852094*Deflactores!$U$5</f>
        <v>10.510475523533623</v>
      </c>
      <c r="F240" s="50">
        <f>7.52410469154*Deflactores!$V$5</f>
        <v>10.904326916700519</v>
      </c>
      <c r="G240" s="50">
        <f>6.92170782745*Deflactores!$W$5</f>
        <v>8.8678410580679206</v>
      </c>
      <c r="H240" s="50">
        <f>19.5820033794*Deflactores!$X$5</f>
        <v>22.957313875597897</v>
      </c>
      <c r="I240" s="50">
        <f>16.3466193832*Deflactores!$Y$5</f>
        <v>18.216970773839481</v>
      </c>
      <c r="J240" s="50">
        <f>15.28163051567*Deflactores!$Z$5</f>
        <v>16.203579894762019</v>
      </c>
      <c r="K240" s="50">
        <f>4.48856703505*Deflactores!$AA$5</f>
        <v>4.48856703505</v>
      </c>
    </row>
    <row r="241" spans="3:11" x14ac:dyDescent="0.2">
      <c r="C241" s="87" t="s">
        <v>160</v>
      </c>
      <c r="D241" s="42">
        <f>56.33923937076*Deflactores!$T$5</f>
        <v>87.626936246349601</v>
      </c>
      <c r="E241" s="42">
        <f>180.48963312414*Deflactores!$U$5</f>
        <v>276.27555430112483</v>
      </c>
      <c r="F241" s="42">
        <f>302.87816957598*Deflactores!$V$5</f>
        <v>438.94691958524101</v>
      </c>
      <c r="G241" s="42">
        <f>448.64499702241*Deflactores!$W$5</f>
        <v>574.78770041609755</v>
      </c>
      <c r="H241" s="42">
        <f>231.05889590605*Deflactores!$X$5</f>
        <v>270.88605258053138</v>
      </c>
      <c r="I241" s="42">
        <f>216.14172170666*Deflactores!$Y$5</f>
        <v>240.87227670965569</v>
      </c>
      <c r="J241" s="42">
        <f>226.52304626985*Deflactores!$Z$5</f>
        <v>240.1893092804869</v>
      </c>
      <c r="K241" s="42">
        <f>79.5272710706999*Deflactores!$AA$5</f>
        <v>79.527271070699896</v>
      </c>
    </row>
    <row r="242" spans="3:11" x14ac:dyDescent="0.2">
      <c r="C242" s="88" t="s">
        <v>161</v>
      </c>
      <c r="D242" s="50">
        <f>84.4381848406299*Deflactores!$T$5</f>
        <v>131.33048160439779</v>
      </c>
      <c r="E242" s="50">
        <f>118.35858074122*Deflactores!$U$5</f>
        <v>181.17152733134739</v>
      </c>
      <c r="F242" s="50">
        <f>105.7393870491*Deflactores!$V$5</f>
        <v>153.24306234751782</v>
      </c>
      <c r="G242" s="50">
        <f>144.3451402207*Deflactores!$W$5</f>
        <v>184.92975908422093</v>
      </c>
      <c r="H242" s="50">
        <f>242.966443412419*Deflactores!$X$5</f>
        <v>284.84608007597569</v>
      </c>
      <c r="I242" s="50">
        <f>265.5921623199*Deflactores!$Y$5</f>
        <v>295.98074961694687</v>
      </c>
      <c r="J242" s="50">
        <f>353.732365300569*Deflactores!$Z$5</f>
        <v>375.07323820148088</v>
      </c>
      <c r="K242" s="50">
        <f>131.208011201019*Deflactores!$AA$5</f>
        <v>131.20801120101899</v>
      </c>
    </row>
    <row r="243" spans="3:11" x14ac:dyDescent="0.2">
      <c r="C243" s="87" t="s">
        <v>140</v>
      </c>
      <c r="D243" s="42">
        <f>2730.44416751863*Deflactores!$T$5</f>
        <v>4246.7818107524545</v>
      </c>
      <c r="E243" s="42">
        <f>2729.89591549877*Deflactores!$U$5</f>
        <v>4178.6527801298225</v>
      </c>
      <c r="F243" s="42">
        <f>4369.80094889342*Deflactores!$V$5</f>
        <v>6332.9445908984635</v>
      </c>
      <c r="G243" s="42">
        <f>3919.59224262997*Deflactores!$W$5</f>
        <v>5021.6394402310034</v>
      </c>
      <c r="H243" s="42">
        <f>6149.8801567618*Deflactores!$X$5</f>
        <v>7209.9226172443759</v>
      </c>
      <c r="I243" s="42">
        <f>4374.33372210827*Deflactores!$Y$5</f>
        <v>4874.8372799677527</v>
      </c>
      <c r="J243" s="42">
        <f>4754.46406209129*Deflactores!$Z$5</f>
        <v>5041.303557750186</v>
      </c>
      <c r="K243" s="42">
        <f>4711.68490297076*Deflactores!$AA$5</f>
        <v>4711.68490297076</v>
      </c>
    </row>
    <row r="244" spans="3:11" x14ac:dyDescent="0.2">
      <c r="C244" s="88" t="s">
        <v>141</v>
      </c>
      <c r="D244" s="50">
        <f>88.0391492213199*Deflactores!$T$5</f>
        <v>136.93122239778282</v>
      </c>
      <c r="E244" s="50">
        <f>138.70427380604*Deflactores!$U$5</f>
        <v>212.31468792083999</v>
      </c>
      <c r="F244" s="50">
        <f>146.82482003572*Deflactores!$V$5</f>
        <v>212.78622544359101</v>
      </c>
      <c r="G244" s="50">
        <f>174.92951562245*Deflactores!$W$5</f>
        <v>224.11335172986998</v>
      </c>
      <c r="H244" s="50">
        <f>297.228480203929*Deflactores!$X$5</f>
        <v>348.46115489832027</v>
      </c>
      <c r="I244" s="50">
        <f>344.725257502229*Deflactores!$Y$5</f>
        <v>384.16811413474392</v>
      </c>
      <c r="J244" s="50">
        <f>230.666522926599*Deflactores!$Z$5</f>
        <v>244.58276421848373</v>
      </c>
      <c r="K244" s="50">
        <f>116.49521235403*Deflactores!$AA$5</f>
        <v>116.49521235403</v>
      </c>
    </row>
    <row r="245" spans="3:11" x14ac:dyDescent="0.2">
      <c r="C245" s="87" t="s">
        <v>142</v>
      </c>
      <c r="D245" s="42">
        <f>160.54512041897*Deflactores!$T$5</f>
        <v>249.70299898860401</v>
      </c>
      <c r="E245" s="42">
        <f>136.69293097257*Deflactores!$U$5</f>
        <v>209.23592463350857</v>
      </c>
      <c r="F245" s="42">
        <f>385.89593333116*Deflactores!$V$5</f>
        <v>559.26061443557285</v>
      </c>
      <c r="G245" s="42">
        <f>259.33202205762*Deflactores!$W$5</f>
        <v>332.24678218201649</v>
      </c>
      <c r="H245" s="42">
        <f>370.8819956665*Deflactores!$X$5</f>
        <v>434.81017852754894</v>
      </c>
      <c r="I245" s="42">
        <f>384.485154251849*Deflactores!$Y$5</f>
        <v>428.4772682221693</v>
      </c>
      <c r="J245" s="42">
        <f>254.19793248682*Deflactores!$Z$5</f>
        <v>269.53383697570194</v>
      </c>
      <c r="K245" s="42">
        <f>92.9603997056499*Deflactores!$AA$5</f>
        <v>92.960399705649905</v>
      </c>
    </row>
    <row r="246" spans="3:11" x14ac:dyDescent="0.2">
      <c r="C246" s="88" t="s">
        <v>143</v>
      </c>
      <c r="D246" s="50">
        <f>112.15803622659*Deflactores!$T$5</f>
        <v>174.44440499571115</v>
      </c>
      <c r="E246" s="50">
        <f>105.81953022551*Deflactores!$U$5</f>
        <v>161.97799764393923</v>
      </c>
      <c r="F246" s="50">
        <f>378.39641547953*Deflactores!$V$5</f>
        <v>548.39192005606026</v>
      </c>
      <c r="G246" s="50">
        <f>284.808375562789*Deflactores!$W$5</f>
        <v>364.88616241228846</v>
      </c>
      <c r="H246" s="50">
        <f>140.362077430749*Deflactores!$X$5</f>
        <v>164.55600611317095</v>
      </c>
      <c r="I246" s="50">
        <f>99.66116934525*Deflactores!$Y$5</f>
        <v>111.06422476043979</v>
      </c>
      <c r="J246" s="50">
        <f>337.93775238791*Deflactores!$Z$5</f>
        <v>358.32572739269148</v>
      </c>
      <c r="K246" s="50">
        <f>37.35051646292*Deflactores!$AA$5</f>
        <v>37.350516462919998</v>
      </c>
    </row>
    <row r="247" spans="3:11" x14ac:dyDescent="0.2">
      <c r="C247" s="87" t="s">
        <v>144</v>
      </c>
      <c r="D247" s="42">
        <f>85.39372257432*Deflactores!$T$5</f>
        <v>132.81667213529977</v>
      </c>
      <c r="E247" s="42">
        <f>117.47647423659*Deflactores!$U$5</f>
        <v>179.82128654853375</v>
      </c>
      <c r="F247" s="42">
        <f>134.42534392621*Deflactores!$V$5</f>
        <v>194.81625471126708</v>
      </c>
      <c r="G247" s="42">
        <f>197.41762997504*Deflactores!$W$5</f>
        <v>252.92430832407399</v>
      </c>
      <c r="H247" s="42">
        <f>316.03648607077*Deflactores!$X$5</f>
        <v>370.51105886848217</v>
      </c>
      <c r="I247" s="42">
        <f>273.69532425554*Deflactores!$Y$5</f>
        <v>305.01106106525475</v>
      </c>
      <c r="J247" s="42">
        <f>413.75541038021*Deflactores!$Z$5</f>
        <v>438.7175074093746</v>
      </c>
      <c r="K247" s="42">
        <f>80.21307416303*Deflactores!$AA$5</f>
        <v>80.213074163030001</v>
      </c>
    </row>
    <row r="248" spans="3:11" x14ac:dyDescent="0.2">
      <c r="C248" s="88" t="s">
        <v>145</v>
      </c>
      <c r="D248" s="50">
        <f>86.7914911759899*Deflactores!$T$5</f>
        <v>134.99068409416989</v>
      </c>
      <c r="E248" s="50">
        <f>106.19156752508*Deflactores!$U$5</f>
        <v>162.54747528861205</v>
      </c>
      <c r="F248" s="50">
        <f>76.70464296508*Deflactores!$V$5</f>
        <v>111.16438928082377</v>
      </c>
      <c r="G248" s="50">
        <f>152.18519158899*Deflactores!$W$5</f>
        <v>194.9741485837842</v>
      </c>
      <c r="H248" s="50">
        <f>190.8538692442*Deflactores!$X$5</f>
        <v>223.75096642158124</v>
      </c>
      <c r="I248" s="50">
        <f>138.22035972623*Deflactores!$Y$5</f>
        <v>154.03528977190868</v>
      </c>
      <c r="J248" s="50">
        <f>248.61933629653*Deflactores!$Z$5</f>
        <v>263.61868093412062</v>
      </c>
      <c r="K248" s="50">
        <f>111.451919071*Deflactores!$AA$5</f>
        <v>111.45191907100001</v>
      </c>
    </row>
    <row r="249" spans="3:11" x14ac:dyDescent="0.2">
      <c r="C249" s="87" t="s">
        <v>146</v>
      </c>
      <c r="D249" s="42">
        <f>42.54174689761*Deflactores!$T$5</f>
        <v>66.167079727028366</v>
      </c>
      <c r="E249" s="42">
        <f>40.68287753257*Deflactores!$U$5</f>
        <v>62.273297066014564</v>
      </c>
      <c r="F249" s="42">
        <f>54.25965995313*Deflactores!$V$5</f>
        <v>78.635943381169696</v>
      </c>
      <c r="G249" s="42">
        <f>49.53013560463*Deflactores!$W$5</f>
        <v>63.45621356401908</v>
      </c>
      <c r="H249" s="42">
        <f>83.99308787253*Deflactores!$X$5</f>
        <v>98.470807317848042</v>
      </c>
      <c r="I249" s="42">
        <f>79.38945510604*Deflactores!$Y$5</f>
        <v>88.473056692328669</v>
      </c>
      <c r="J249" s="42">
        <f>143.93915537752*Deflactores!$Z$5</f>
        <v>152.62308572063731</v>
      </c>
      <c r="K249" s="42">
        <f>36.62097902875*Deflactores!$AA$5</f>
        <v>36.62097902875</v>
      </c>
    </row>
    <row r="250" spans="3:11" x14ac:dyDescent="0.2">
      <c r="C250" s="88" t="s">
        <v>162</v>
      </c>
      <c r="D250" s="50">
        <f>586.84908370685*Deflactores!$T$5</f>
        <v>912.7526004708136</v>
      </c>
      <c r="E250" s="50">
        <f>636.67548029874*Deflactores!$U$5</f>
        <v>974.55941476975283</v>
      </c>
      <c r="F250" s="50">
        <f>788.56022172829*Deflactores!$V$5</f>
        <v>1142.8228079946048</v>
      </c>
      <c r="G250" s="50">
        <f>1043.99331411954*Deflactores!$W$5</f>
        <v>1337.5263744277906</v>
      </c>
      <c r="H250" s="50">
        <f>1384.44605197206*Deflactores!$X$5</f>
        <v>1623.0802305136133</v>
      </c>
      <c r="I250" s="50">
        <f>919.54622167962*Deflactores!$Y$5</f>
        <v>1024.7590803238563</v>
      </c>
      <c r="J250" s="50">
        <f>901.09647763355*Deflactores!$Z$5</f>
        <v>955.46013583117349</v>
      </c>
      <c r="K250" s="50">
        <f>328.09401658569*Deflactores!$AA$5</f>
        <v>328.09401658568999</v>
      </c>
    </row>
    <row r="251" spans="3:11" x14ac:dyDescent="0.2">
      <c r="C251" s="87" t="s">
        <v>148</v>
      </c>
      <c r="D251" s="42">
        <f>92.6315586623199*Deflactores!$T$5</f>
        <v>144.07400199151115</v>
      </c>
      <c r="E251" s="42">
        <f>138.628278518*Deflactores!$U$5</f>
        <v>212.19836190275183</v>
      </c>
      <c r="F251" s="42">
        <f>178.78469355741*Deflactores!$V$5</f>
        <v>259.10414942048067</v>
      </c>
      <c r="G251" s="42">
        <f>218.56945861701*Deflactores!$W$5</f>
        <v>280.02326412521495</v>
      </c>
      <c r="H251" s="42">
        <f>206.08951802692*Deflactores!$X$5</f>
        <v>241.61275330959836</v>
      </c>
      <c r="I251" s="42">
        <f>193.75256609657*Deflactores!$Y$5</f>
        <v>215.92139335947942</v>
      </c>
      <c r="J251" s="42">
        <f>207.06352164687*Deflactores!$Z$5</f>
        <v>219.55578057298294</v>
      </c>
      <c r="K251" s="42">
        <f>105.436115421369*Deflactores!$AA$5</f>
        <v>105.436115421369</v>
      </c>
    </row>
    <row r="252" spans="3:11" x14ac:dyDescent="0.2">
      <c r="C252" s="88" t="s">
        <v>149</v>
      </c>
      <c r="D252" s="50">
        <f>900.88784004888*Deflactores!$T$5</f>
        <v>1401.1911095492289</v>
      </c>
      <c r="E252" s="50">
        <f>938.82415410774*Deflactores!$U$5</f>
        <v>1437.0585117706125</v>
      </c>
      <c r="F252" s="50">
        <f>1186.41208293331*Deflactores!$V$5</f>
        <v>1719.4105798095334</v>
      </c>
      <c r="G252" s="50">
        <f>1119.63767808898*Deflactores!$W$5</f>
        <v>1434.4391903602079</v>
      </c>
      <c r="H252" s="50">
        <f>1214.31160980754*Deflactores!$X$5</f>
        <v>1423.6200571010436</v>
      </c>
      <c r="I252" s="50">
        <f>1849.00688100822*Deflactores!$Y$5</f>
        <v>2060.5669907854076</v>
      </c>
      <c r="J252" s="50">
        <f>1247.02382272671*Deflactores!$Z$5</f>
        <v>1322.2574725585741</v>
      </c>
      <c r="K252" s="50">
        <f>552.50504883202*Deflactores!$AA$5</f>
        <v>552.50504883201995</v>
      </c>
    </row>
    <row r="253" spans="3:11" x14ac:dyDescent="0.2">
      <c r="C253" s="87" t="s">
        <v>163</v>
      </c>
      <c r="D253" s="42">
        <f>4719.83288206851*Deflactores!$T$5</f>
        <v>7340.9669649372609</v>
      </c>
      <c r="E253" s="42">
        <f>5074.60431216971*Deflactores!$U$5</f>
        <v>7767.6988696590834</v>
      </c>
      <c r="F253" s="42">
        <f>3647.97199372783*Deflactores!$V$5</f>
        <v>5286.8322323189677</v>
      </c>
      <c r="G253" s="42">
        <f>4022.08978073502*Deflactores!$W$5</f>
        <v>5152.9555690560628</v>
      </c>
      <c r="H253" s="42">
        <f>4540.49256556645*Deflactores!$X$5</f>
        <v>5323.1281272877422</v>
      </c>
      <c r="I253" s="42">
        <f>4707.59633447779*Deflactores!$Y$5</f>
        <v>5246.2312133083897</v>
      </c>
      <c r="J253" s="42">
        <f>5348.67346517219*Deflactores!$Z$5</f>
        <v>5671.3619489125167</v>
      </c>
      <c r="K253" s="42">
        <f>1977.16965655501*Deflactores!$AA$5</f>
        <v>1977.1696565550101</v>
      </c>
    </row>
    <row r="254" spans="3:11" x14ac:dyDescent="0.2">
      <c r="C254" s="88" t="s">
        <v>150</v>
      </c>
      <c r="D254" s="50">
        <f>4872.89781717344*Deflactores!$T$5</f>
        <v>7579.0356974901615</v>
      </c>
      <c r="E254" s="50">
        <f>5261.84166035491*Deflactores!$U$5</f>
        <v>8054.3031541287619</v>
      </c>
      <c r="F254" s="50">
        <f>7858.11143029916*Deflactores!$V$5</f>
        <v>11388.386990440058</v>
      </c>
      <c r="G254" s="50">
        <f>7876.36269158671*Deflactores!$W$5</f>
        <v>10090.910250168536</v>
      </c>
      <c r="H254" s="50">
        <f>8519.63831453348*Deflactores!$X$5</f>
        <v>9988.1512174117415</v>
      </c>
      <c r="I254" s="50">
        <f>4735.22572993308*Deflactores!$Y$5</f>
        <v>5277.0219155146915</v>
      </c>
      <c r="J254" s="50">
        <f>4359.55658780405*Deflactores!$Z$5</f>
        <v>4622.5710930377045</v>
      </c>
      <c r="K254" s="50">
        <f>1608.0423757509*Deflactores!$AA$5</f>
        <v>1608.0423757509</v>
      </c>
    </row>
    <row r="255" spans="3:11" x14ac:dyDescent="0.2">
      <c r="C255" s="87" t="s">
        <v>151</v>
      </c>
      <c r="D255" s="42">
        <f>685.72883814402*Deflactores!$T$5</f>
        <v>1066.5447005220876</v>
      </c>
      <c r="E255" s="42">
        <f>985.788235944099*Deflactores!$U$5</f>
        <v>1508.9464508006583</v>
      </c>
      <c r="F255" s="42">
        <f>1911.31594845107*Deflactores!$V$5</f>
        <v>2769.9792596517177</v>
      </c>
      <c r="G255" s="42">
        <f>2029.19921821926*Deflactores!$W$5</f>
        <v>2599.7364510188249</v>
      </c>
      <c r="H255" s="42">
        <f>2048.35031908934*Deflactores!$X$5</f>
        <v>2401.4203394523129</v>
      </c>
      <c r="I255" s="42">
        <f>1612.91081893585*Deflactores!$Y$5</f>
        <v>1797.457233240603</v>
      </c>
      <c r="J255" s="42">
        <f>1474.55170074259*Deflactores!$Z$5</f>
        <v>1563.512235650478</v>
      </c>
      <c r="K255" s="42">
        <f>418.44444759018*Deflactores!$AA$5</f>
        <v>418.44444759018</v>
      </c>
    </row>
    <row r="256" spans="3:11" x14ac:dyDescent="0.2">
      <c r="C256" s="79" t="s">
        <v>202</v>
      </c>
      <c r="D256" s="44">
        <f t="shared" ref="D256:K256" si="10">+SUM(D225:D255)</f>
        <v>48900.401538984763</v>
      </c>
      <c r="E256" s="44">
        <f t="shared" si="10"/>
        <v>53104.136466968295</v>
      </c>
      <c r="F256" s="44">
        <f t="shared" si="10"/>
        <v>65632.198398587265</v>
      </c>
      <c r="G256" s="44">
        <f t="shared" si="10"/>
        <v>69678.217735269733</v>
      </c>
      <c r="H256" s="44">
        <f t="shared" si="10"/>
        <v>68900.113879946948</v>
      </c>
      <c r="I256" s="44">
        <f t="shared" si="10"/>
        <v>56210.574407882013</v>
      </c>
      <c r="J256" s="44">
        <f t="shared" si="10"/>
        <v>52665.075127963559</v>
      </c>
      <c r="K256" s="44">
        <f t="shared" si="10"/>
        <v>26802.946404217735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Junio</v>
      </c>
      <c r="D257" s="121">
        <f>+D256-'C5 Ejecución PGN 2019-2026'!D130</f>
        <v>0</v>
      </c>
      <c r="E257" s="121">
        <f>+E256-'C5 Ejecución PGN 2019-2026'!E130</f>
        <v>0</v>
      </c>
      <c r="F257" s="121">
        <f>+F256-'C5 Ejecución PGN 2019-2026'!F130</f>
        <v>1.1641532182693481E-10</v>
      </c>
      <c r="G257" s="121">
        <f>+G256-'C5 Ejecución PGN 2019-2026'!G130</f>
        <v>0</v>
      </c>
      <c r="H257" s="121">
        <f>+H256-'C5 Ejecución PGN 2019-2026'!H130</f>
        <v>0</v>
      </c>
      <c r="I257" s="121">
        <f>+I256-'C5 Ejecución PGN 2019-2026'!I130</f>
        <v>0</v>
      </c>
      <c r="J257" s="121">
        <f>+J256-'C5 Ejecución PGN 2019-2026'!J130</f>
        <v>8.0035533756017685E-11</v>
      </c>
      <c r="K257" s="121">
        <f>+K256-'C5 Ejecución PGN 2019-2026'!K130</f>
        <v>3.637978807091713E-11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C262" s="9"/>
      <c r="D262" s="131" t="s">
        <v>208</v>
      </c>
      <c r="E262" s="131"/>
      <c r="F262" s="131"/>
      <c r="G262" s="131"/>
      <c r="H262" s="131"/>
      <c r="I262" s="131"/>
      <c r="J262" s="131"/>
      <c r="K262" s="131"/>
    </row>
    <row r="263" spans="1:11" ht="5.25" customHeight="1" x14ac:dyDescent="0.2">
      <c r="D263" s="28"/>
      <c r="E263" s="28"/>
      <c r="F263" s="28"/>
    </row>
    <row r="264" spans="1:11" x14ac:dyDescent="0.2">
      <c r="E264" s="29"/>
      <c r="F264" s="29"/>
    </row>
    <row r="265" spans="1:11" ht="13.5" customHeight="1" x14ac:dyDescent="0.2">
      <c r="C265" s="181" t="s">
        <v>120</v>
      </c>
      <c r="D265" s="155">
        <v>2019</v>
      </c>
      <c r="E265" s="155">
        <v>2020</v>
      </c>
      <c r="F265" s="155">
        <v>2021</v>
      </c>
      <c r="G265" s="155">
        <v>2022</v>
      </c>
      <c r="H265" s="155">
        <v>2023</v>
      </c>
      <c r="I265" s="155">
        <v>2024</v>
      </c>
      <c r="J265" s="155">
        <v>2025</v>
      </c>
      <c r="K265" s="155" t="s">
        <v>36</v>
      </c>
    </row>
    <row r="266" spans="1:11" ht="12" customHeight="1" thickBot="1" x14ac:dyDescent="0.25">
      <c r="C266" s="162"/>
      <c r="D266" s="156"/>
      <c r="E266" s="156"/>
      <c r="F266" s="156"/>
      <c r="G266" s="156"/>
      <c r="H266" s="156"/>
      <c r="I266" s="156"/>
      <c r="J266" s="156"/>
      <c r="K266" s="156"/>
    </row>
    <row r="267" spans="1:11" x14ac:dyDescent="0.2">
      <c r="C267" s="87" t="s">
        <v>123</v>
      </c>
      <c r="D267" s="47">
        <f t="shared" ref="D267:K276" si="11">+IFERROR(IF(D225&gt;0,+((D225/D15)*100)," "),"")</f>
        <v>57.068270782821848</v>
      </c>
      <c r="E267" s="47">
        <f t="shared" si="11"/>
        <v>76.167185864158185</v>
      </c>
      <c r="F267" s="47">
        <f t="shared" si="11"/>
        <v>75.044360218293619</v>
      </c>
      <c r="G267" s="47">
        <f t="shared" si="11"/>
        <v>66.698006367901158</v>
      </c>
      <c r="H267" s="47">
        <f t="shared" si="11"/>
        <v>73.413318388007482</v>
      </c>
      <c r="I267" s="47">
        <f t="shared" si="11"/>
        <v>32.341777558227662</v>
      </c>
      <c r="J267" s="47">
        <f t="shared" si="11"/>
        <v>52.765922958204371</v>
      </c>
      <c r="K267" s="47">
        <f t="shared" si="11"/>
        <v>23.437105672631318</v>
      </c>
    </row>
    <row r="268" spans="1:11" x14ac:dyDescent="0.2">
      <c r="C268" s="88" t="s">
        <v>124</v>
      </c>
      <c r="D268" s="116">
        <f t="shared" si="11"/>
        <v>80.970618341942924</v>
      </c>
      <c r="E268" s="116">
        <f t="shared" si="11"/>
        <v>66.608315979399691</v>
      </c>
      <c r="F268" s="116">
        <f t="shared" si="11"/>
        <v>52.54447708699459</v>
      </c>
      <c r="G268" s="116">
        <f t="shared" si="11"/>
        <v>48.591085689677541</v>
      </c>
      <c r="H268" s="116">
        <f t="shared" si="11"/>
        <v>33.499845231388683</v>
      </c>
      <c r="I268" s="116">
        <f t="shared" si="11"/>
        <v>36.555023511496529</v>
      </c>
      <c r="J268" s="116">
        <f t="shared" si="11"/>
        <v>66.562770983543061</v>
      </c>
      <c r="K268" s="116">
        <f t="shared" si="11"/>
        <v>15.620083355573399</v>
      </c>
    </row>
    <row r="269" spans="1:11" x14ac:dyDescent="0.2">
      <c r="C269" s="87" t="s">
        <v>125</v>
      </c>
      <c r="D269" s="47">
        <f t="shared" si="11"/>
        <v>38.913776933468036</v>
      </c>
      <c r="E269" s="47">
        <f t="shared" si="11"/>
        <v>64.847987038389832</v>
      </c>
      <c r="F269" s="47">
        <f t="shared" si="11"/>
        <v>86.641915716549406</v>
      </c>
      <c r="G269" s="47">
        <f t="shared" si="11"/>
        <v>87.814711001104428</v>
      </c>
      <c r="H269" s="47">
        <f t="shared" si="11"/>
        <v>64.230697522473022</v>
      </c>
      <c r="I269" s="47">
        <f t="shared" si="11"/>
        <v>86.419740850164658</v>
      </c>
      <c r="J269" s="47">
        <f t="shared" si="11"/>
        <v>92.284332065112281</v>
      </c>
      <c r="K269" s="47">
        <f t="shared" si="11"/>
        <v>27.333249954116834</v>
      </c>
    </row>
    <row r="270" spans="1:11" x14ac:dyDescent="0.2">
      <c r="C270" s="88" t="s">
        <v>126</v>
      </c>
      <c r="D270" s="116">
        <f t="shared" si="11"/>
        <v>73.405528594504176</v>
      </c>
      <c r="E270" s="116">
        <f t="shared" si="11"/>
        <v>60.94940428712794</v>
      </c>
      <c r="F270" s="116">
        <f t="shared" si="11"/>
        <v>50.69654828014032</v>
      </c>
      <c r="G270" s="116">
        <f t="shared" si="11"/>
        <v>61.412109983893657</v>
      </c>
      <c r="H270" s="116">
        <f t="shared" si="11"/>
        <v>51.641892073258802</v>
      </c>
      <c r="I270" s="116">
        <f t="shared" si="11"/>
        <v>48.582374630856073</v>
      </c>
      <c r="J270" s="116">
        <f t="shared" si="11"/>
        <v>75.824189108301255</v>
      </c>
      <c r="K270" s="116">
        <f t="shared" si="11"/>
        <v>42.288687231209245</v>
      </c>
    </row>
    <row r="271" spans="1:11" x14ac:dyDescent="0.2">
      <c r="C271" s="87" t="s">
        <v>127</v>
      </c>
      <c r="D271" s="47">
        <f t="shared" si="11"/>
        <v>62.41185677719988</v>
      </c>
      <c r="E271" s="47">
        <f t="shared" si="11"/>
        <v>76.953282922668237</v>
      </c>
      <c r="F271" s="47">
        <f t="shared" si="11"/>
        <v>88.640414545997615</v>
      </c>
      <c r="G271" s="47">
        <f t="shared" si="11"/>
        <v>64.779039574677867</v>
      </c>
      <c r="H271" s="47">
        <f t="shared" si="11"/>
        <v>63.809100539127265</v>
      </c>
      <c r="I271" s="47">
        <f t="shared" si="11"/>
        <v>56.441684268863114</v>
      </c>
      <c r="J271" s="47">
        <f t="shared" si="11"/>
        <v>71.948912043499988</v>
      </c>
      <c r="K271" s="47">
        <f t="shared" si="11"/>
        <v>36.182283033525003</v>
      </c>
    </row>
    <row r="272" spans="1:11" x14ac:dyDescent="0.2">
      <c r="C272" s="88" t="s">
        <v>128</v>
      </c>
      <c r="D272" s="116">
        <f t="shared" si="11"/>
        <v>90.419993031227435</v>
      </c>
      <c r="E272" s="116">
        <f t="shared" si="11"/>
        <v>90.434490495417378</v>
      </c>
      <c r="F272" s="116">
        <f t="shared" si="11"/>
        <v>74.00214483449642</v>
      </c>
      <c r="G272" s="116">
        <f t="shared" si="11"/>
        <v>70.62167990625187</v>
      </c>
      <c r="H272" s="116">
        <f t="shared" si="11"/>
        <v>65.393567558527252</v>
      </c>
      <c r="I272" s="116">
        <f t="shared" si="11"/>
        <v>54.370843913055467</v>
      </c>
      <c r="J272" s="116">
        <f t="shared" si="11"/>
        <v>54.789796463811868</v>
      </c>
      <c r="K272" s="116">
        <f t="shared" si="11"/>
        <v>25.900687528925165</v>
      </c>
    </row>
    <row r="273" spans="3:11" x14ac:dyDescent="0.2">
      <c r="C273" s="87" t="s">
        <v>129</v>
      </c>
      <c r="D273" s="47">
        <f t="shared" si="11"/>
        <v>62.769159498582482</v>
      </c>
      <c r="E273" s="47">
        <f t="shared" si="11"/>
        <v>73.66561747382967</v>
      </c>
      <c r="F273" s="47">
        <f t="shared" si="11"/>
        <v>70.263117700909618</v>
      </c>
      <c r="G273" s="47">
        <f t="shared" si="11"/>
        <v>64.133581373752534</v>
      </c>
      <c r="H273" s="47">
        <f t="shared" si="11"/>
        <v>66.386083008907661</v>
      </c>
      <c r="I273" s="47">
        <f t="shared" si="11"/>
        <v>35.703648747445797</v>
      </c>
      <c r="J273" s="47">
        <f t="shared" si="11"/>
        <v>40.158217487483391</v>
      </c>
      <c r="K273" s="47">
        <f t="shared" si="11"/>
        <v>13.962962871897833</v>
      </c>
    </row>
    <row r="274" spans="3:11" x14ac:dyDescent="0.2">
      <c r="C274" s="88" t="s">
        <v>130</v>
      </c>
      <c r="D274" s="116">
        <f t="shared" si="11"/>
        <v>49.848998816833117</v>
      </c>
      <c r="E274" s="116">
        <f t="shared" si="11"/>
        <v>48.343622959020358</v>
      </c>
      <c r="F274" s="116">
        <f t="shared" si="11"/>
        <v>87.347860989701559</v>
      </c>
      <c r="G274" s="116">
        <f t="shared" si="11"/>
        <v>60.024088483070969</v>
      </c>
      <c r="H274" s="116">
        <f t="shared" si="11"/>
        <v>57.506390153402975</v>
      </c>
      <c r="I274" s="116">
        <f t="shared" si="11"/>
        <v>32.297065731908866</v>
      </c>
      <c r="J274" s="116">
        <f t="shared" si="11"/>
        <v>64.744425410607505</v>
      </c>
      <c r="K274" s="116">
        <f t="shared" si="11"/>
        <v>55.605740271105155</v>
      </c>
    </row>
    <row r="275" spans="3:11" x14ac:dyDescent="0.2">
      <c r="C275" s="87" t="s">
        <v>131</v>
      </c>
      <c r="D275" s="47">
        <f t="shared" si="11"/>
        <v>89.181574614621567</v>
      </c>
      <c r="E275" s="47">
        <f t="shared" si="11"/>
        <v>99.034787268277682</v>
      </c>
      <c r="F275" s="47">
        <f t="shared" si="11"/>
        <v>99.18427930844112</v>
      </c>
      <c r="G275" s="47">
        <f t="shared" si="11"/>
        <v>98.727487208611777</v>
      </c>
      <c r="H275" s="47">
        <f t="shared" si="11"/>
        <v>91.061327190283549</v>
      </c>
      <c r="I275" s="47">
        <f t="shared" si="11"/>
        <v>69.857548965366604</v>
      </c>
      <c r="J275" s="47">
        <f t="shared" si="11"/>
        <v>90.293636214165247</v>
      </c>
      <c r="K275" s="47">
        <f t="shared" si="11"/>
        <v>54.98288802052874</v>
      </c>
    </row>
    <row r="276" spans="3:11" x14ac:dyDescent="0.2">
      <c r="C276" s="88" t="s">
        <v>132</v>
      </c>
      <c r="D276" s="116">
        <f t="shared" si="11"/>
        <v>80.661001464209775</v>
      </c>
      <c r="E276" s="116">
        <f t="shared" si="11"/>
        <v>59.568678606948374</v>
      </c>
      <c r="F276" s="116">
        <f t="shared" si="11"/>
        <v>59.012061754037795</v>
      </c>
      <c r="G276" s="116">
        <f t="shared" si="11"/>
        <v>60.589428616529716</v>
      </c>
      <c r="H276" s="116">
        <f t="shared" si="11"/>
        <v>60.493804166733071</v>
      </c>
      <c r="I276" s="116">
        <f t="shared" si="11"/>
        <v>80.611226722861574</v>
      </c>
      <c r="J276" s="116">
        <f t="shared" si="11"/>
        <v>79.410126992330603</v>
      </c>
      <c r="K276" s="116">
        <f t="shared" si="11"/>
        <v>24.879366244285997</v>
      </c>
    </row>
    <row r="277" spans="3:11" x14ac:dyDescent="0.2">
      <c r="C277" s="87" t="s">
        <v>133</v>
      </c>
      <c r="D277" s="47">
        <f t="shared" ref="D277:K286" si="12">+IFERROR(IF(D235&gt;0,+((D235/D25)*100)," "),"")</f>
        <v>59.84775238057447</v>
      </c>
      <c r="E277" s="47">
        <f t="shared" si="12"/>
        <v>64.287515997135358</v>
      </c>
      <c r="F277" s="47">
        <f t="shared" si="12"/>
        <v>84.6678685105597</v>
      </c>
      <c r="G277" s="47">
        <f t="shared" si="12"/>
        <v>79.532121628657848</v>
      </c>
      <c r="H277" s="47">
        <f t="shared" si="12"/>
        <v>72.179226118818363</v>
      </c>
      <c r="I277" s="47">
        <f t="shared" si="12"/>
        <v>69.279119467273958</v>
      </c>
      <c r="J277" s="47">
        <f t="shared" si="12"/>
        <v>60.912040885299611</v>
      </c>
      <c r="K277" s="47">
        <f t="shared" si="12"/>
        <v>5.4943444991059698</v>
      </c>
    </row>
    <row r="278" spans="3:11" x14ac:dyDescent="0.2">
      <c r="C278" s="88" t="s">
        <v>134</v>
      </c>
      <c r="D278" s="116">
        <f t="shared" si="12"/>
        <v>29.256737341891071</v>
      </c>
      <c r="E278" s="116">
        <f t="shared" si="12"/>
        <v>30.291277348377044</v>
      </c>
      <c r="F278" s="116">
        <f t="shared" si="12"/>
        <v>35.483198909538011</v>
      </c>
      <c r="G278" s="116">
        <f t="shared" si="12"/>
        <v>39.114821166899794</v>
      </c>
      <c r="H278" s="116">
        <f t="shared" si="12"/>
        <v>22.72452598468228</v>
      </c>
      <c r="I278" s="116">
        <f t="shared" si="12"/>
        <v>30.270694419861009</v>
      </c>
      <c r="J278" s="116">
        <f t="shared" si="12"/>
        <v>24.546466495026149</v>
      </c>
      <c r="K278" s="116">
        <f t="shared" si="12"/>
        <v>23.190840060591711</v>
      </c>
    </row>
    <row r="279" spans="3:11" x14ac:dyDescent="0.2">
      <c r="C279" s="87" t="s">
        <v>135</v>
      </c>
      <c r="D279" s="47" t="str">
        <f t="shared" si="12"/>
        <v xml:space="preserve"> </v>
      </c>
      <c r="E279" s="47" t="str">
        <f t="shared" si="12"/>
        <v xml:space="preserve"> </v>
      </c>
      <c r="F279" s="47" t="str">
        <f t="shared" si="12"/>
        <v xml:space="preserve"> </v>
      </c>
      <c r="G279" s="47" t="str">
        <f t="shared" si="12"/>
        <v xml:space="preserve"> </v>
      </c>
      <c r="H279" s="47" t="str">
        <f t="shared" si="12"/>
        <v xml:space="preserve"> </v>
      </c>
      <c r="I279" s="47">
        <f t="shared" si="12"/>
        <v>88.348636504156559</v>
      </c>
      <c r="J279" s="47">
        <f t="shared" si="12"/>
        <v>93.833230052895374</v>
      </c>
      <c r="K279" s="47">
        <f t="shared" si="12"/>
        <v>46.971667726828095</v>
      </c>
    </row>
    <row r="280" spans="3:11" x14ac:dyDescent="0.2">
      <c r="C280" s="88" t="s">
        <v>136</v>
      </c>
      <c r="D280" s="116">
        <f t="shared" si="12"/>
        <v>87.908532943968865</v>
      </c>
      <c r="E280" s="116">
        <f t="shared" si="12"/>
        <v>95.171943661756202</v>
      </c>
      <c r="F280" s="116">
        <f t="shared" si="12"/>
        <v>88.122953016883713</v>
      </c>
      <c r="G280" s="116">
        <f t="shared" si="12"/>
        <v>96.118037031503206</v>
      </c>
      <c r="H280" s="116">
        <f t="shared" si="12"/>
        <v>88.204110594746069</v>
      </c>
      <c r="I280" s="116">
        <f t="shared" si="12"/>
        <v>75.376124026061547</v>
      </c>
      <c r="J280" s="116">
        <f t="shared" si="12"/>
        <v>77.110985832072913</v>
      </c>
      <c r="K280" s="116">
        <f t="shared" si="12"/>
        <v>40.243194404076092</v>
      </c>
    </row>
    <row r="281" spans="3:11" x14ac:dyDescent="0.2">
      <c r="C281" s="87" t="s">
        <v>137</v>
      </c>
      <c r="D281" s="47">
        <f t="shared" si="12"/>
        <v>80.283631242071891</v>
      </c>
      <c r="E281" s="47">
        <f t="shared" si="12"/>
        <v>81.805078618906833</v>
      </c>
      <c r="F281" s="47">
        <f t="shared" si="12"/>
        <v>56.142467660775097</v>
      </c>
      <c r="G281" s="47">
        <f t="shared" si="12"/>
        <v>47.09190128930377</v>
      </c>
      <c r="H281" s="47">
        <f t="shared" si="12"/>
        <v>43.806805610609587</v>
      </c>
      <c r="I281" s="47">
        <f t="shared" si="12"/>
        <v>54.876695428642449</v>
      </c>
      <c r="J281" s="47">
        <f t="shared" si="12"/>
        <v>62.904532199154374</v>
      </c>
      <c r="K281" s="47">
        <f t="shared" si="12"/>
        <v>30.563145098590113</v>
      </c>
    </row>
    <row r="282" spans="3:11" x14ac:dyDescent="0.2">
      <c r="C282" s="88" t="s">
        <v>138</v>
      </c>
      <c r="D282" s="116">
        <f t="shared" si="12"/>
        <v>65.780091142444846</v>
      </c>
      <c r="E282" s="116">
        <f t="shared" si="12"/>
        <v>96.78751852074906</v>
      </c>
      <c r="F282" s="116">
        <f t="shared" si="12"/>
        <v>95.896709671133408</v>
      </c>
      <c r="G282" s="116">
        <f t="shared" si="12"/>
        <v>86.521347843124985</v>
      </c>
      <c r="H282" s="116">
        <f t="shared" si="12"/>
        <v>67.52414958413793</v>
      </c>
      <c r="I282" s="116">
        <f t="shared" si="12"/>
        <v>40.323998133990543</v>
      </c>
      <c r="J282" s="116">
        <f t="shared" si="12"/>
        <v>43.415105868937658</v>
      </c>
      <c r="K282" s="116">
        <f t="shared" si="12"/>
        <v>19.384990138439626</v>
      </c>
    </row>
    <row r="283" spans="3:11" x14ac:dyDescent="0.2">
      <c r="C283" s="87" t="s">
        <v>160</v>
      </c>
      <c r="D283" s="47">
        <f t="shared" si="12"/>
        <v>56.835505153051557</v>
      </c>
      <c r="E283" s="47">
        <f t="shared" si="12"/>
        <v>83.776088006147674</v>
      </c>
      <c r="F283" s="47">
        <f t="shared" si="12"/>
        <v>84.94506324597188</v>
      </c>
      <c r="G283" s="47">
        <f t="shared" si="12"/>
        <v>67.238967150732591</v>
      </c>
      <c r="H283" s="47">
        <f t="shared" si="12"/>
        <v>46.549927422718604</v>
      </c>
      <c r="I283" s="47">
        <f t="shared" si="12"/>
        <v>38.510090335302401</v>
      </c>
      <c r="J283" s="47">
        <f t="shared" si="12"/>
        <v>48.494477660270455</v>
      </c>
      <c r="K283" s="47">
        <f t="shared" si="12"/>
        <v>17.523081566073326</v>
      </c>
    </row>
    <row r="284" spans="3:11" x14ac:dyDescent="0.2">
      <c r="C284" s="88" t="s">
        <v>161</v>
      </c>
      <c r="D284" s="116">
        <f t="shared" si="12"/>
        <v>22.104833053345583</v>
      </c>
      <c r="E284" s="116">
        <f t="shared" si="12"/>
        <v>26.806640846106898</v>
      </c>
      <c r="F284" s="116">
        <f t="shared" si="12"/>
        <v>20.479206145916976</v>
      </c>
      <c r="G284" s="116">
        <f t="shared" si="12"/>
        <v>20.244716021481544</v>
      </c>
      <c r="H284" s="116">
        <f t="shared" si="12"/>
        <v>44.819345247568826</v>
      </c>
      <c r="I284" s="116">
        <f t="shared" si="12"/>
        <v>36.335183148831923</v>
      </c>
      <c r="J284" s="116">
        <f t="shared" si="12"/>
        <v>44.861751576277882</v>
      </c>
      <c r="K284" s="116">
        <f t="shared" si="12"/>
        <v>18.603053460559838</v>
      </c>
    </row>
    <row r="285" spans="3:11" x14ac:dyDescent="0.2">
      <c r="C285" s="87" t="s">
        <v>140</v>
      </c>
      <c r="D285" s="47">
        <f t="shared" si="12"/>
        <v>82.122234762349251</v>
      </c>
      <c r="E285" s="47">
        <f t="shared" si="12"/>
        <v>86.414987541947312</v>
      </c>
      <c r="F285" s="47">
        <f t="shared" si="12"/>
        <v>89.225976924008577</v>
      </c>
      <c r="G285" s="47">
        <f t="shared" si="12"/>
        <v>81.877282771058162</v>
      </c>
      <c r="H285" s="47">
        <f t="shared" si="12"/>
        <v>84.392002104530974</v>
      </c>
      <c r="I285" s="47">
        <f t="shared" si="12"/>
        <v>58.12524800735801</v>
      </c>
      <c r="J285" s="47">
        <f t="shared" si="12"/>
        <v>67.188950272871523</v>
      </c>
      <c r="K285" s="47">
        <f t="shared" si="12"/>
        <v>46.45798120784962</v>
      </c>
    </row>
    <row r="286" spans="3:11" x14ac:dyDescent="0.2">
      <c r="C286" s="88" t="s">
        <v>141</v>
      </c>
      <c r="D286" s="116">
        <f t="shared" si="12"/>
        <v>54.90394046317293</v>
      </c>
      <c r="E286" s="116">
        <f t="shared" si="12"/>
        <v>62.13527720944095</v>
      </c>
      <c r="F286" s="116">
        <f t="shared" si="12"/>
        <v>41.482779756104478</v>
      </c>
      <c r="G286" s="116">
        <f t="shared" si="12"/>
        <v>39.365620770265444</v>
      </c>
      <c r="H286" s="116">
        <f t="shared" si="12"/>
        <v>51.103650345418139</v>
      </c>
      <c r="I286" s="116">
        <f t="shared" si="12"/>
        <v>66.91512524811489</v>
      </c>
      <c r="J286" s="116">
        <f t="shared" si="12"/>
        <v>60.114302083214099</v>
      </c>
      <c r="K286" s="116">
        <f t="shared" si="12"/>
        <v>13.088931742872548</v>
      </c>
    </row>
    <row r="287" spans="3:11" x14ac:dyDescent="0.2">
      <c r="C287" s="87" t="s">
        <v>142</v>
      </c>
      <c r="D287" s="47">
        <f t="shared" ref="D287:K296" si="13">+IFERROR(IF(D245&gt;0,+((D245/D35)*100)," "),"")</f>
        <v>53.186179743453501</v>
      </c>
      <c r="E287" s="47">
        <f t="shared" si="13"/>
        <v>63.744084487387283</v>
      </c>
      <c r="F287" s="47">
        <f t="shared" si="13"/>
        <v>65.947653620592789</v>
      </c>
      <c r="G287" s="47">
        <f t="shared" si="13"/>
        <v>22.802324351558099</v>
      </c>
      <c r="H287" s="47">
        <f t="shared" si="13"/>
        <v>26.34545063595662</v>
      </c>
      <c r="I287" s="47">
        <f t="shared" si="13"/>
        <v>39.134971856707864</v>
      </c>
      <c r="J287" s="47">
        <f t="shared" si="13"/>
        <v>39.388892538107676</v>
      </c>
      <c r="K287" s="47">
        <f t="shared" si="13"/>
        <v>9.4476924221575853</v>
      </c>
    </row>
    <row r="288" spans="3:11" x14ac:dyDescent="0.2">
      <c r="C288" s="88" t="s">
        <v>143</v>
      </c>
      <c r="D288" s="116">
        <f t="shared" si="13"/>
        <v>34.246467774806845</v>
      </c>
      <c r="E288" s="116">
        <f t="shared" si="13"/>
        <v>14.518119334915133</v>
      </c>
      <c r="F288" s="116">
        <f t="shared" si="13"/>
        <v>15.17960725059306</v>
      </c>
      <c r="G288" s="116">
        <f t="shared" si="13"/>
        <v>20.853073764880754</v>
      </c>
      <c r="H288" s="116">
        <f t="shared" si="13"/>
        <v>6.0543642672007163</v>
      </c>
      <c r="I288" s="116">
        <f t="shared" si="13"/>
        <v>12.092961400349242</v>
      </c>
      <c r="J288" s="116">
        <f t="shared" si="13"/>
        <v>68.631254148051909</v>
      </c>
      <c r="K288" s="116">
        <f t="shared" si="13"/>
        <v>12.817161002431362</v>
      </c>
    </row>
    <row r="289" spans="1:11" x14ac:dyDescent="0.2">
      <c r="C289" s="87" t="s">
        <v>144</v>
      </c>
      <c r="D289" s="47">
        <f t="shared" si="13"/>
        <v>24.927490100548251</v>
      </c>
      <c r="E289" s="47">
        <f t="shared" si="13"/>
        <v>42.510077648409563</v>
      </c>
      <c r="F289" s="47">
        <f t="shared" si="13"/>
        <v>27.990080037847402</v>
      </c>
      <c r="G289" s="47">
        <f t="shared" si="13"/>
        <v>33.989349671051443</v>
      </c>
      <c r="H289" s="47">
        <f t="shared" si="13"/>
        <v>43.476709810820417</v>
      </c>
      <c r="I289" s="47">
        <f t="shared" si="13"/>
        <v>24.07086541293479</v>
      </c>
      <c r="J289" s="47">
        <f t="shared" si="13"/>
        <v>33.115923985172095</v>
      </c>
      <c r="K289" s="47">
        <f t="shared" si="13"/>
        <v>5.5334222496112435</v>
      </c>
    </row>
    <row r="290" spans="1:11" x14ac:dyDescent="0.2">
      <c r="C290" s="88" t="s">
        <v>145</v>
      </c>
      <c r="D290" s="116">
        <f t="shared" si="13"/>
        <v>79.76291014854597</v>
      </c>
      <c r="E290" s="116">
        <f t="shared" si="13"/>
        <v>71.494099793168715</v>
      </c>
      <c r="F290" s="116">
        <f t="shared" si="13"/>
        <v>63.809565465781567</v>
      </c>
      <c r="G290" s="116">
        <f t="shared" si="13"/>
        <v>70.607383806611651</v>
      </c>
      <c r="H290" s="116">
        <f t="shared" si="13"/>
        <v>56.71982613486837</v>
      </c>
      <c r="I290" s="116">
        <f t="shared" si="13"/>
        <v>44.528548347370425</v>
      </c>
      <c r="J290" s="116">
        <f t="shared" si="13"/>
        <v>73.052219062504193</v>
      </c>
      <c r="K290" s="116">
        <f t="shared" si="13"/>
        <v>28.104493655439938</v>
      </c>
    </row>
    <row r="291" spans="1:11" x14ac:dyDescent="0.2">
      <c r="C291" s="87" t="s">
        <v>146</v>
      </c>
      <c r="D291" s="47">
        <f t="shared" si="13"/>
        <v>85.897593161493987</v>
      </c>
      <c r="E291" s="47">
        <f t="shared" si="13"/>
        <v>88.405056887134506</v>
      </c>
      <c r="F291" s="47">
        <f t="shared" si="13"/>
        <v>75.400129826099516</v>
      </c>
      <c r="G291" s="47">
        <f t="shared" si="13"/>
        <v>62.555059991185978</v>
      </c>
      <c r="H291" s="47">
        <f t="shared" si="13"/>
        <v>70.94532509735194</v>
      </c>
      <c r="I291" s="47">
        <f t="shared" si="13"/>
        <v>75.599834910359945</v>
      </c>
      <c r="J291" s="47">
        <f t="shared" si="13"/>
        <v>76.587639587986445</v>
      </c>
      <c r="K291" s="47">
        <f t="shared" si="13"/>
        <v>18.210970060683334</v>
      </c>
    </row>
    <row r="292" spans="1:11" x14ac:dyDescent="0.2">
      <c r="C292" s="88" t="s">
        <v>162</v>
      </c>
      <c r="D292" s="116">
        <f t="shared" si="13"/>
        <v>89.525433821184592</v>
      </c>
      <c r="E292" s="116">
        <f t="shared" si="13"/>
        <v>90.032152208552716</v>
      </c>
      <c r="F292" s="116">
        <f t="shared" si="13"/>
        <v>89.634911693336477</v>
      </c>
      <c r="G292" s="116">
        <f t="shared" si="13"/>
        <v>88.256201914529768</v>
      </c>
      <c r="H292" s="116">
        <f t="shared" si="13"/>
        <v>65.140899490937528</v>
      </c>
      <c r="I292" s="116">
        <f t="shared" si="13"/>
        <v>44.71087753666842</v>
      </c>
      <c r="J292" s="116">
        <f t="shared" si="13"/>
        <v>42.377089405310841</v>
      </c>
      <c r="K292" s="116">
        <f t="shared" si="13"/>
        <v>10.812411559699482</v>
      </c>
    </row>
    <row r="293" spans="1:11" x14ac:dyDescent="0.2">
      <c r="C293" s="87" t="s">
        <v>148</v>
      </c>
      <c r="D293" s="47">
        <f t="shared" si="13"/>
        <v>61.503990634633929</v>
      </c>
      <c r="E293" s="47">
        <f t="shared" si="13"/>
        <v>77.892443986985612</v>
      </c>
      <c r="F293" s="47">
        <f t="shared" si="13"/>
        <v>83.457287076111314</v>
      </c>
      <c r="G293" s="47">
        <f t="shared" si="13"/>
        <v>85.684745548631653</v>
      </c>
      <c r="H293" s="47">
        <f t="shared" si="13"/>
        <v>82.745670948322044</v>
      </c>
      <c r="I293" s="47">
        <f t="shared" si="13"/>
        <v>76.199741432760277</v>
      </c>
      <c r="J293" s="47">
        <f t="shared" si="13"/>
        <v>78.260160187165113</v>
      </c>
      <c r="K293" s="47">
        <f t="shared" si="13"/>
        <v>39.418090266310671</v>
      </c>
    </row>
    <row r="294" spans="1:11" x14ac:dyDescent="0.2">
      <c r="C294" s="88" t="s">
        <v>149</v>
      </c>
      <c r="D294" s="116">
        <f t="shared" si="13"/>
        <v>78.930544045734564</v>
      </c>
      <c r="E294" s="116">
        <f t="shared" si="13"/>
        <v>73.994049578465379</v>
      </c>
      <c r="F294" s="116">
        <f t="shared" si="13"/>
        <v>73.842728953728013</v>
      </c>
      <c r="G294" s="116">
        <f t="shared" si="13"/>
        <v>71.51534158849914</v>
      </c>
      <c r="H294" s="116">
        <f t="shared" si="13"/>
        <v>81.208583995977904</v>
      </c>
      <c r="I294" s="116">
        <f t="shared" si="13"/>
        <v>56.717434111417433</v>
      </c>
      <c r="J294" s="116">
        <f t="shared" si="13"/>
        <v>65.653460414082758</v>
      </c>
      <c r="K294" s="116">
        <f t="shared" si="13"/>
        <v>32.350884002637748</v>
      </c>
    </row>
    <row r="295" spans="1:11" x14ac:dyDescent="0.2">
      <c r="C295" s="87" t="s">
        <v>163</v>
      </c>
      <c r="D295" s="47">
        <f t="shared" si="13"/>
        <v>91.139287592412828</v>
      </c>
      <c r="E295" s="47">
        <f t="shared" si="13"/>
        <v>87.337698774189846</v>
      </c>
      <c r="F295" s="47">
        <f t="shared" si="13"/>
        <v>87.980758203429147</v>
      </c>
      <c r="G295" s="47">
        <f t="shared" si="13"/>
        <v>92.833935074375944</v>
      </c>
      <c r="H295" s="47">
        <f t="shared" si="13"/>
        <v>88.672782082078612</v>
      </c>
      <c r="I295" s="47">
        <f t="shared" si="13"/>
        <v>83.123248409885804</v>
      </c>
      <c r="J295" s="47">
        <f t="shared" si="13"/>
        <v>80.527802504961485</v>
      </c>
      <c r="K295" s="47">
        <f t="shared" si="13"/>
        <v>29.15248063572864</v>
      </c>
    </row>
    <row r="296" spans="1:11" x14ac:dyDescent="0.2">
      <c r="C296" s="88" t="s">
        <v>150</v>
      </c>
      <c r="D296" s="116">
        <f t="shared" si="13"/>
        <v>73.208533133686387</v>
      </c>
      <c r="E296" s="116">
        <f t="shared" si="13"/>
        <v>74.969936044678605</v>
      </c>
      <c r="F296" s="116">
        <f t="shared" si="13"/>
        <v>75.866708616309026</v>
      </c>
      <c r="G296" s="116">
        <f t="shared" si="13"/>
        <v>70.121038356500094</v>
      </c>
      <c r="H296" s="116">
        <f t="shared" si="13"/>
        <v>75.369419267563103</v>
      </c>
      <c r="I296" s="116">
        <f t="shared" si="13"/>
        <v>37.061912814278777</v>
      </c>
      <c r="J296" s="116">
        <f t="shared" si="13"/>
        <v>35.935464464040336</v>
      </c>
      <c r="K296" s="116">
        <f t="shared" si="13"/>
        <v>10.33752109285799</v>
      </c>
    </row>
    <row r="297" spans="1:11" x14ac:dyDescent="0.2">
      <c r="C297" s="87" t="s">
        <v>151</v>
      </c>
      <c r="D297" s="47">
        <f t="shared" ref="D297:K298" si="14">+IFERROR(IF(D255&gt;0,+((D255/D45)*100)," "),"")</f>
        <v>35.043130369733944</v>
      </c>
      <c r="E297" s="47">
        <f t="shared" si="14"/>
        <v>49.38886877962959</v>
      </c>
      <c r="F297" s="47">
        <f t="shared" si="14"/>
        <v>59.113463610007642</v>
      </c>
      <c r="G297" s="47">
        <f t="shared" si="14"/>
        <v>64.106687541363414</v>
      </c>
      <c r="H297" s="47">
        <f t="shared" si="14"/>
        <v>40.898056392847586</v>
      </c>
      <c r="I297" s="47">
        <f t="shared" si="14"/>
        <v>30.052897510864902</v>
      </c>
      <c r="J297" s="47">
        <f t="shared" si="14"/>
        <v>36.849709534697602</v>
      </c>
      <c r="K297" s="47">
        <f t="shared" si="14"/>
        <v>15.89755646921078</v>
      </c>
    </row>
    <row r="298" spans="1:11" x14ac:dyDescent="0.2">
      <c r="C298" s="91" t="s">
        <v>202</v>
      </c>
      <c r="D298" s="64">
        <f t="shared" si="14"/>
        <v>75.219775103782737</v>
      </c>
      <c r="E298" s="64">
        <f t="shared" si="14"/>
        <v>79.272171533345229</v>
      </c>
      <c r="F298" s="64">
        <f t="shared" si="14"/>
        <v>76.020777911977817</v>
      </c>
      <c r="G298" s="64">
        <f t="shared" si="14"/>
        <v>78.049495433137722</v>
      </c>
      <c r="H298" s="64">
        <f t="shared" si="14"/>
        <v>70.519380164221403</v>
      </c>
      <c r="I298" s="64">
        <f t="shared" si="14"/>
        <v>55.671141066818173</v>
      </c>
      <c r="J298" s="64">
        <f t="shared" si="14"/>
        <v>63.580157782853618</v>
      </c>
      <c r="K298" s="64">
        <f t="shared" si="14"/>
        <v>29.956768279227841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Junio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5">
    <mergeCell ref="G223:G224"/>
    <mergeCell ref="J13:J14"/>
    <mergeCell ref="C265:C266"/>
    <mergeCell ref="D140:D141"/>
    <mergeCell ref="E8:E9"/>
    <mergeCell ref="I223:I224"/>
    <mergeCell ref="G265:G266"/>
    <mergeCell ref="I265:I266"/>
    <mergeCell ref="J265:J266"/>
    <mergeCell ref="D182:D183"/>
    <mergeCell ref="F182:F183"/>
    <mergeCell ref="D265:D266"/>
    <mergeCell ref="D223:D224"/>
    <mergeCell ref="J223:J224"/>
    <mergeCell ref="C98:C99"/>
    <mergeCell ref="D6:K6"/>
    <mergeCell ref="F8:F9"/>
    <mergeCell ref="K56:K57"/>
    <mergeCell ref="C56:C57"/>
    <mergeCell ref="D13:D14"/>
    <mergeCell ref="D8:D9"/>
    <mergeCell ref="K13:K14"/>
    <mergeCell ref="A9:C9"/>
    <mergeCell ref="C13:C14"/>
    <mergeCell ref="H8:H9"/>
    <mergeCell ref="J8:J9"/>
    <mergeCell ref="G8:G9"/>
    <mergeCell ref="E13:E14"/>
    <mergeCell ref="G13:G14"/>
    <mergeCell ref="H56:H57"/>
    <mergeCell ref="I56:I57"/>
    <mergeCell ref="D56:D57"/>
    <mergeCell ref="H98:H99"/>
    <mergeCell ref="F56:F57"/>
    <mergeCell ref="F140:F141"/>
    <mergeCell ref="I98:I99"/>
    <mergeCell ref="E56:E57"/>
    <mergeCell ref="G56:G57"/>
    <mergeCell ref="G140:G141"/>
    <mergeCell ref="I140:I141"/>
    <mergeCell ref="E98:E99"/>
    <mergeCell ref="E140:E141"/>
    <mergeCell ref="G98:G99"/>
    <mergeCell ref="D2:K4"/>
    <mergeCell ref="C182:C183"/>
    <mergeCell ref="E182:E183"/>
    <mergeCell ref="A7:C8"/>
    <mergeCell ref="C223:C224"/>
    <mergeCell ref="F13:F14"/>
    <mergeCell ref="H13:H14"/>
    <mergeCell ref="K98:K99"/>
    <mergeCell ref="H140:H141"/>
    <mergeCell ref="I8:I9"/>
    <mergeCell ref="J56:J57"/>
    <mergeCell ref="K8:K9"/>
    <mergeCell ref="G182:G183"/>
    <mergeCell ref="I13:I14"/>
    <mergeCell ref="I182:I183"/>
    <mergeCell ref="C140:C141"/>
    <mergeCell ref="K265:K266"/>
    <mergeCell ref="D98:D99"/>
    <mergeCell ref="F98:F99"/>
    <mergeCell ref="J140:J141"/>
    <mergeCell ref="H265:H266"/>
    <mergeCell ref="K182:K183"/>
    <mergeCell ref="E223:E224"/>
    <mergeCell ref="K140:K141"/>
    <mergeCell ref="K223:K224"/>
    <mergeCell ref="E265:E266"/>
    <mergeCell ref="F265:F266"/>
    <mergeCell ref="H182:H183"/>
    <mergeCell ref="J182:J183"/>
    <mergeCell ref="J98:J99"/>
    <mergeCell ref="F223:F224"/>
    <mergeCell ref="H223:H224"/>
  </mergeCells>
  <pageMargins left="0.7" right="0.7" top="0.75" bottom="0.75" header="0.3" footer="0.3"/>
  <pageSetup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V277"/>
  <sheetViews>
    <sheetView showGridLines="0" zoomScaleNormal="100" workbookViewId="0">
      <pane xSplit="3" ySplit="7" topLeftCell="D256" activePane="bottomRight" state="frozen"/>
      <selection activeCell="O5" sqref="O5:O6"/>
      <selection pane="topRight" activeCell="O5" sqref="O5:O6"/>
      <selection pane="bottomLeft" activeCell="O5" sqref="O5:O6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5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ht="21" customHeight="1" x14ac:dyDescent="0.2">
      <c r="A5" s="169" t="s">
        <v>22</v>
      </c>
      <c r="B5" s="160"/>
      <c r="C5" s="16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21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9" spans="1:22" ht="18" customHeight="1" x14ac:dyDescent="0.2">
      <c r="D9" s="164" t="s">
        <v>210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81" t="s">
        <v>120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56">
        <f>229.59071*Deflactores!$A$5</f>
        <v>856.81314602793861</v>
      </c>
      <c r="E13" s="56">
        <f>459.331971*Deflactores!$B$5</f>
        <v>1592.3967882688282</v>
      </c>
      <c r="F13" s="56">
        <f>487.711700528*Deflactores!$C$5</f>
        <v>1580.2912479629006</v>
      </c>
      <c r="G13" s="56">
        <f>230.740085283*Deflactores!$D$5</f>
        <v>702.07357670533304</v>
      </c>
      <c r="H13" s="56">
        <f>328.22322*Deflactores!$E$5</f>
        <v>946.64869820203205</v>
      </c>
      <c r="I13" s="56">
        <f>354.447373817*Deflactores!$F$5</f>
        <v>974.94804652781647</v>
      </c>
      <c r="J13" s="56">
        <f>569.476647364*Deflactores!$G$5</f>
        <v>1499.2739473142356</v>
      </c>
      <c r="K13" s="56">
        <f>926.0728*Deflactores!$H$5</f>
        <v>2306.7364280845995</v>
      </c>
      <c r="L13" s="56">
        <f>1084.672855*Deflactores!$I$5</f>
        <v>2509.2230720580546</v>
      </c>
      <c r="M13" s="56">
        <f>1231.5633562*Deflactores!$J$5</f>
        <v>2793.1186793666207</v>
      </c>
      <c r="N13" s="56">
        <f>1203.420920914*Deflactores!$K$5</f>
        <v>2645.4016039687058</v>
      </c>
      <c r="O13" s="56">
        <f>1403.200092593*Deflactores!$L$5</f>
        <v>2973.7411373244636</v>
      </c>
      <c r="P13" s="56">
        <f>1771.965427896*Deflactores!$M$5</f>
        <v>3665.8039135440622</v>
      </c>
      <c r="Q13" s="56">
        <f>2274.689352841*Deflactores!$N$5</f>
        <v>4616.2726525985017</v>
      </c>
      <c r="R13" s="56">
        <f>2955.571862701*Deflactores!$O$5</f>
        <v>5786.2830696273359</v>
      </c>
      <c r="S13" s="56">
        <f>3221.328635005*Deflactores!$P$5</f>
        <v>5906.6867964587909</v>
      </c>
      <c r="T13" s="56">
        <f>2022.923061735*Deflactores!$Q$5</f>
        <v>3507.5825367419202</v>
      </c>
      <c r="U13" s="56">
        <f>2204.269531189*Deflactores!$R$5</f>
        <v>3671.8440089253672</v>
      </c>
      <c r="V13" s="56">
        <f>1688.096824764*Deflactores!$S$5</f>
        <v>2725.3441680101414</v>
      </c>
    </row>
    <row r="14" spans="1:22" x14ac:dyDescent="0.2">
      <c r="C14" s="88" t="s">
        <v>124</v>
      </c>
      <c r="D14" s="57">
        <f>47.978288797*Deflactores!$A$5</f>
        <v>179.05092311964441</v>
      </c>
      <c r="E14" s="57">
        <f>61.531096275*Deflactores!$B$5</f>
        <v>213.31395651309904</v>
      </c>
      <c r="F14" s="57">
        <f>65.804059586*Deflactores!$C$5</f>
        <v>213.21936572693497</v>
      </c>
      <c r="G14" s="57">
        <f>91.710622727*Deflactores!$D$5</f>
        <v>279.04819763262049</v>
      </c>
      <c r="H14" s="57">
        <f>217.596500478*Deflactores!$E$5</f>
        <v>627.58339861151967</v>
      </c>
      <c r="I14" s="57">
        <f>185.568144775*Deflactores!$F$5</f>
        <v>510.42640913904836</v>
      </c>
      <c r="J14" s="57">
        <f>303.409095*Deflactores!$G$5</f>
        <v>798.79193223691516</v>
      </c>
      <c r="K14" s="57">
        <f>373.502738097*Deflactores!$H$5</f>
        <v>930.35058578298742</v>
      </c>
      <c r="L14" s="57">
        <f>399.58485*Deflactores!$I$5</f>
        <v>924.37781607880004</v>
      </c>
      <c r="M14" s="57">
        <f>432.790001344*Deflactores!$J$5</f>
        <v>981.54417384331668</v>
      </c>
      <c r="N14" s="57">
        <f>490.95898*Deflactores!$K$5</f>
        <v>1079.2430566924263</v>
      </c>
      <c r="O14" s="57">
        <f>259.985760927*Deflactores!$L$5</f>
        <v>550.97655456859388</v>
      </c>
      <c r="P14" s="57">
        <f>140.855635091*Deflactores!$M$5</f>
        <v>291.39910419946847</v>
      </c>
      <c r="Q14" s="57">
        <f>250.271*Deflactores!$N$5</f>
        <v>507.90195663224529</v>
      </c>
      <c r="R14" s="57">
        <f>267.629175799*Deflactores!$O$5</f>
        <v>523.95212865806513</v>
      </c>
      <c r="S14" s="57">
        <f>389.363420612*Deflactores!$P$5</f>
        <v>713.94385240963209</v>
      </c>
      <c r="T14" s="57">
        <f>350.08898539*Deflactores!$Q$5</f>
        <v>607.02556349645454</v>
      </c>
      <c r="U14" s="57">
        <f>360.121033791*Deflactores!$R$5</f>
        <v>599.88501483311325</v>
      </c>
      <c r="V14" s="57">
        <f>299.448237621*Deflactores!$S$5</f>
        <v>483.44354189245041</v>
      </c>
    </row>
    <row r="15" spans="1:22" x14ac:dyDescent="0.2">
      <c r="C15" s="87" t="s">
        <v>125</v>
      </c>
      <c r="D15" s="56">
        <f>32.050006*Deflactores!$A$5</f>
        <v>119.60791650095211</v>
      </c>
      <c r="E15" s="56">
        <f>63.89527*Deflactores!$B$5</f>
        <v>221.50999529177037</v>
      </c>
      <c r="F15" s="56">
        <f>61.663702*Deflactores!$C$5</f>
        <v>199.80371289451546</v>
      </c>
      <c r="G15" s="56">
        <f>40.978811588*Deflactores!$D$5</f>
        <v>124.68635774939091</v>
      </c>
      <c r="H15" s="56">
        <f>60.86346663*Deflactores!$E$5</f>
        <v>175.54005305703939</v>
      </c>
      <c r="I15" s="56">
        <f>52.564930851*Deflactores!$F$5</f>
        <v>144.58585515013974</v>
      </c>
      <c r="J15" s="56">
        <f>77.775174253*Deflactores!$G$5</f>
        <v>204.76044635912001</v>
      </c>
      <c r="K15" s="56">
        <f>74.414494159*Deflactores!$H$5</f>
        <v>185.35759224766556</v>
      </c>
      <c r="L15" s="56">
        <f>129.433*Deflactores!$I$5</f>
        <v>299.42324857543349</v>
      </c>
      <c r="M15" s="56">
        <f>161.168313684*Deflactores!$J$5</f>
        <v>365.52096585739525</v>
      </c>
      <c r="N15" s="56">
        <f>330.373713918*Deflactores!$K$5</f>
        <v>726.23895556343939</v>
      </c>
      <c r="O15" s="56">
        <f>369.096924049*Deflactores!$L$5</f>
        <v>782.21111336741797</v>
      </c>
      <c r="P15" s="56">
        <f>408.25358631*Deflactores!$M$5</f>
        <v>844.58622660071092</v>
      </c>
      <c r="Q15" s="56">
        <f>412.522279571*Deflactores!$N$5</f>
        <v>837.17599301758901</v>
      </c>
      <c r="R15" s="56">
        <f>353.983072066*Deflactores!$O$5</f>
        <v>693.01182714547292</v>
      </c>
      <c r="S15" s="56">
        <f>333.381822119*Deflactores!$P$5</f>
        <v>611.29497484090575</v>
      </c>
      <c r="T15" s="56">
        <f>284.643625037*Deflactores!$Q$5</f>
        <v>493.54868074833729</v>
      </c>
      <c r="U15" s="56">
        <f>356.899597891*Deflactores!$R$5</f>
        <v>594.51878808897652</v>
      </c>
      <c r="V15" s="56">
        <f>311.078*Deflactores!$S$5</f>
        <v>502.21918592541778</v>
      </c>
    </row>
    <row r="16" spans="1:22" x14ac:dyDescent="0.2">
      <c r="C16" s="88" t="s">
        <v>126</v>
      </c>
      <c r="D16" s="57">
        <f>95.333257*Deflactores!$A$5</f>
        <v>355.77566640766958</v>
      </c>
      <c r="E16" s="57">
        <f>138.101733277*Deflactores!$B$5</f>
        <v>478.76649222976283</v>
      </c>
      <c r="F16" s="57">
        <f>128.942898647*Deflactores!$C$5</f>
        <v>417.80284130608624</v>
      </c>
      <c r="G16" s="57">
        <f>51.137240104*Deflactores!$D$5</f>
        <v>155.59543985875348</v>
      </c>
      <c r="H16" s="57">
        <f>38.726016188*Deflactores!$E$5</f>
        <v>111.6920759321081</v>
      </c>
      <c r="I16" s="57">
        <f>42.792052*Deflactores!$F$5</f>
        <v>117.70443396163134</v>
      </c>
      <c r="J16" s="57">
        <f>53.2814*Deflactores!$G$5</f>
        <v>140.27513729701468</v>
      </c>
      <c r="K16" s="57">
        <f>84.75470447*Deflactores!$H$5</f>
        <v>211.1138176744783</v>
      </c>
      <c r="L16" s="57">
        <f>62.263170329*Deflactores!$I$5</f>
        <v>144.03622512430928</v>
      </c>
      <c r="M16" s="57">
        <f>167.918695247*Deflactores!$J$5</f>
        <v>380.83046393684725</v>
      </c>
      <c r="N16" s="57">
        <f>202.692101417*Deflactores!$K$5</f>
        <v>445.56480686165338</v>
      </c>
      <c r="O16" s="57">
        <f>190.375558736*Deflactores!$L$5</f>
        <v>403.4546701805121</v>
      </c>
      <c r="P16" s="57">
        <f>267.966216727*Deflactores!$M$5</f>
        <v>554.36273784518039</v>
      </c>
      <c r="Q16" s="57">
        <f>324.059911486*Deflactores!$N$5</f>
        <v>657.64976009929876</v>
      </c>
      <c r="R16" s="57">
        <f>226.149835266*Deflactores!$O$5</f>
        <v>442.74577773345374</v>
      </c>
      <c r="S16" s="57">
        <f>227.031080113*Deflactores!$P$5</f>
        <v>416.28831927207381</v>
      </c>
      <c r="T16" s="57">
        <f>208.389456536*Deflactores!$Q$5</f>
        <v>361.33021191616905</v>
      </c>
      <c r="U16" s="57">
        <f>242.24551449*Deflactores!$R$5</f>
        <v>403.52948152821995</v>
      </c>
      <c r="V16" s="57">
        <f>133.054675674*Deflactores!$S$5</f>
        <v>214.80982551182268</v>
      </c>
    </row>
    <row r="17" spans="3:22" x14ac:dyDescent="0.2">
      <c r="C17" s="87" t="s">
        <v>127</v>
      </c>
      <c r="D17" s="56">
        <f>0*Deflactores!$A$5</f>
        <v>0</v>
      </c>
      <c r="E17" s="56">
        <f>24.3405*Deflactores!$B$5</f>
        <v>84.382835230203057</v>
      </c>
      <c r="F17" s="56">
        <f>2*Deflactores!$C$5</f>
        <v>6.4804319693460979</v>
      </c>
      <c r="G17" s="56">
        <f>17*Deflactores!$D$5</f>
        <v>51.725952988845506</v>
      </c>
      <c r="H17" s="56">
        <f>0*Deflactores!$E$5</f>
        <v>0</v>
      </c>
      <c r="I17" s="56">
        <f>8.75*Deflactores!$F$5</f>
        <v>24.067875902849302</v>
      </c>
      <c r="J17" s="56">
        <f>42.5*Deflactores!$G$5</f>
        <v>111.89070360619512</v>
      </c>
      <c r="K17" s="56">
        <f>13.9*Deflactores!$H$5</f>
        <v>34.623235182348438</v>
      </c>
      <c r="L17" s="56">
        <f>19.1*Deflactores!$I$5</f>
        <v>44.184899119936809</v>
      </c>
      <c r="M17" s="56">
        <f>21.35*Deflactores!$J$5</f>
        <v>48.420638292191299</v>
      </c>
      <c r="N17" s="56">
        <f>40*Deflactores!$K$5</f>
        <v>87.929387232507793</v>
      </c>
      <c r="O17" s="56">
        <f>50*Deflactores!$L$5</f>
        <v>105.96283284977666</v>
      </c>
      <c r="P17" s="56">
        <f>44.306053303*Deflactores!$M$5</f>
        <v>91.659408832078981</v>
      </c>
      <c r="Q17" s="56">
        <f>62.49231726*Deflactores!$N$5</f>
        <v>126.82240535594229</v>
      </c>
      <c r="R17" s="56">
        <f>60.205094278*Deflactores!$O$5</f>
        <v>117.86677296614633</v>
      </c>
      <c r="S17" s="56">
        <f>55.263618437*Deflactores!$P$5</f>
        <v>101.33237627456717</v>
      </c>
      <c r="T17" s="56">
        <f>65.953428391*Deflactores!$Q$5</f>
        <v>114.35783102107678</v>
      </c>
      <c r="U17" s="56">
        <f>69.270503705*Deflactores!$R$5</f>
        <v>115.38991961987881</v>
      </c>
      <c r="V17" s="56">
        <f>71.915*Deflactores!$S$5</f>
        <v>116.10301196428685</v>
      </c>
    </row>
    <row r="18" spans="3:22" x14ac:dyDescent="0.2">
      <c r="C18" s="88" t="s">
        <v>128</v>
      </c>
      <c r="D18" s="57">
        <f>24.545407*Deflactores!$A$5</f>
        <v>91.601386624947452</v>
      </c>
      <c r="E18" s="57">
        <f>24.88674*Deflactores!$B$5</f>
        <v>86.276521880688719</v>
      </c>
      <c r="F18" s="57">
        <f>17.027*Deflactores!$C$5</f>
        <v>55.171157571028004</v>
      </c>
      <c r="G18" s="57">
        <f>12.167795508*Deflactores!$D$5</f>
        <v>37.022989319099615</v>
      </c>
      <c r="H18" s="57">
        <f>36.078619019*Deflactores!$E$5</f>
        <v>104.05655555771899</v>
      </c>
      <c r="I18" s="57">
        <f>33.4189275*Deflactores!$F$5</f>
        <v>91.92258284300776</v>
      </c>
      <c r="J18" s="57">
        <f>48.3094278*Deflactores!$G$5</f>
        <v>127.18531452599254</v>
      </c>
      <c r="K18" s="57">
        <f>57.973823482*Deflactores!$H$5</f>
        <v>144.40585070771513</v>
      </c>
      <c r="L18" s="57">
        <f>72.195176238*Deflactores!$I$5</f>
        <v>167.01238633623501</v>
      </c>
      <c r="M18" s="57">
        <f>85.353958947*Deflactores!$J$5</f>
        <v>193.57813456577199</v>
      </c>
      <c r="N18" s="57">
        <f>96.130306905*Deflactores!$K$5</f>
        <v>211.31697451573908</v>
      </c>
      <c r="O18" s="57">
        <f>111.256*Deflactores!$L$5</f>
        <v>235.78001863069503</v>
      </c>
      <c r="P18" s="57">
        <f>185.083860208*Deflactores!$M$5</f>
        <v>382.89750375657439</v>
      </c>
      <c r="Q18" s="57">
        <f>190.714*Deflactores!$N$5</f>
        <v>387.03650745456736</v>
      </c>
      <c r="R18" s="57">
        <f>183.49963*Deflactores!$O$5</f>
        <v>359.24716152276324</v>
      </c>
      <c r="S18" s="57">
        <f>205.738413485*Deflactores!$P$5</f>
        <v>377.2456983279331</v>
      </c>
      <c r="T18" s="57">
        <f>155.49282274*Deflactores!$Q$5</f>
        <v>269.61179095153256</v>
      </c>
      <c r="U18" s="57">
        <f>177.608659235*Deflactores!$R$5</f>
        <v>295.85823426662631</v>
      </c>
      <c r="V18" s="57">
        <f>132.58775454*Deflactores!$S$5</f>
        <v>214.05600572447398</v>
      </c>
    </row>
    <row r="19" spans="3:22" x14ac:dyDescent="0.2">
      <c r="C19" s="87" t="s">
        <v>129</v>
      </c>
      <c r="D19" s="56">
        <f>469.826062939*Deflactores!$A$5</f>
        <v>1753.3512008072316</v>
      </c>
      <c r="E19" s="56">
        <f>864.096495*Deflactores!$B$5</f>
        <v>2995.6209675471328</v>
      </c>
      <c r="F19" s="56">
        <f>997.426742*Deflactores!$C$5</f>
        <v>3231.878072968761</v>
      </c>
      <c r="G19" s="56">
        <f>915.049566741*Deflactores!$D$5</f>
        <v>2784.2241689240245</v>
      </c>
      <c r="H19" s="56">
        <f>866.3419813335*Deflactores!$E$5</f>
        <v>2498.6699869287945</v>
      </c>
      <c r="I19" s="56">
        <f>769.109281662*Deflactores!$F$5</f>
        <v>2115.5230567737813</v>
      </c>
      <c r="J19" s="56">
        <f>1121.08325730662*Deflactores!$G$5</f>
        <v>2951.501046145007</v>
      </c>
      <c r="K19" s="56">
        <f>1114.244201*Deflactores!$H$5</f>
        <v>2775.4488504885558</v>
      </c>
      <c r="L19" s="56">
        <f>3376.98035509242*Deflactores!$I$5</f>
        <v>7812.1223204066464</v>
      </c>
      <c r="M19" s="56">
        <f>3110.191878499*Deflactores!$J$5</f>
        <v>7053.7459469841242</v>
      </c>
      <c r="N19" s="56">
        <f>2076.590855899*Deflactores!$K$5</f>
        <v>4564.8340372956991</v>
      </c>
      <c r="O19" s="56">
        <f>1454.279*Deflactores!$L$5</f>
        <v>3081.9904518788071</v>
      </c>
      <c r="P19" s="56">
        <f>1869.107636383*Deflactores!$M$5</f>
        <v>3866.7696222626519</v>
      </c>
      <c r="Q19" s="56">
        <f>2864.188578691*Deflactores!$N$5</f>
        <v>5812.6070670628587</v>
      </c>
      <c r="R19" s="56">
        <f>2329.961368703*Deflactores!$O$5</f>
        <v>4561.4915308779919</v>
      </c>
      <c r="S19" s="56">
        <f>1375.317438871*Deflactores!$P$5</f>
        <v>2521.8070794898103</v>
      </c>
      <c r="T19" s="56">
        <f>976.5937619664*Deflactores!$Q$5</f>
        <v>1693.3334192287607</v>
      </c>
      <c r="U19" s="56">
        <f>923.911836825*Deflactores!$R$5</f>
        <v>1539.0405278574024</v>
      </c>
      <c r="V19" s="56">
        <f>775.229311092*Deflactores!$S$5</f>
        <v>1251.5672388344619</v>
      </c>
    </row>
    <row r="20" spans="3:22" x14ac:dyDescent="0.2">
      <c r="C20" s="88" t="s">
        <v>130</v>
      </c>
      <c r="D20" s="57">
        <f>25.04995*Deflactores!$A$5</f>
        <v>93.484298503813861</v>
      </c>
      <c r="E20" s="57">
        <f>59.2*Deflactores!$B$5</f>
        <v>205.23258953710985</v>
      </c>
      <c r="F20" s="57">
        <f>16.792*Deflactores!$C$5</f>
        <v>54.409706814629843</v>
      </c>
      <c r="G20" s="57">
        <f>20.243244393*Deflactores!$D$5</f>
        <v>61.594182812589906</v>
      </c>
      <c r="H20" s="57">
        <f>67.794*Deflactores!$E$5</f>
        <v>195.52882896556969</v>
      </c>
      <c r="I20" s="57">
        <f>52.25*Deflactores!$F$5</f>
        <v>143.71960181987154</v>
      </c>
      <c r="J20" s="57">
        <f>73.8295*Deflactores!$G$5</f>
        <v>194.37258122102546</v>
      </c>
      <c r="K20" s="57">
        <f>61.548284903*Deflactores!$H$5</f>
        <v>153.30940599041404</v>
      </c>
      <c r="L20" s="57">
        <f>130.388*Deflactores!$I$5</f>
        <v>301.63249353143038</v>
      </c>
      <c r="M20" s="57">
        <f>120.519815558*Deflactores!$J$5</f>
        <v>273.33238389580924</v>
      </c>
      <c r="N20" s="57">
        <f>128.384527177*Deflactores!$K$5</f>
        <v>282.21932012022131</v>
      </c>
      <c r="O20" s="57">
        <f>160.026*Deflactores!$L$5</f>
        <v>339.13616579236719</v>
      </c>
      <c r="P20" s="57">
        <f>311.496829077*Deflactores!$M$5</f>
        <v>644.41793113474444</v>
      </c>
      <c r="Q20" s="57">
        <f>364.064*Deflactores!$N$5</f>
        <v>738.83437529462765</v>
      </c>
      <c r="R20" s="57">
        <f>327.703656*Deflactores!$O$5</f>
        <v>641.56319137336709</v>
      </c>
      <c r="S20" s="57">
        <f>407.679743203*Deflactores!$P$5</f>
        <v>747.5289947736527</v>
      </c>
      <c r="T20" s="57">
        <f>345.24351458*Deflactores!$Q$5</f>
        <v>598.62391485398371</v>
      </c>
      <c r="U20" s="57">
        <f>534.058554407*Deflactores!$R$5</f>
        <v>889.6279133146287</v>
      </c>
      <c r="V20" s="57">
        <f>531.119*Deflactores!$S$5</f>
        <v>857.46388947312892</v>
      </c>
    </row>
    <row r="21" spans="3:22" x14ac:dyDescent="0.2">
      <c r="C21" s="87" t="s">
        <v>131</v>
      </c>
      <c r="D21" s="56">
        <f>117.263982*Deflactores!$A$5</f>
        <v>437.61928055879775</v>
      </c>
      <c r="E21" s="56">
        <f>134.4054*Deflactores!$B$5</f>
        <v>465.95216705694355</v>
      </c>
      <c r="F21" s="56">
        <f>136.591040087*Deflactores!$C$5</f>
        <v>442.58447145301466</v>
      </c>
      <c r="G21" s="56">
        <f>121.20778498*Deflactores!$D$5</f>
        <v>368.79930516221026</v>
      </c>
      <c r="H21" s="56">
        <f>267.450469733*Deflactores!$E$5</f>
        <v>771.37028576548119</v>
      </c>
      <c r="I21" s="56">
        <f>475.125582192*Deflactores!$F$5</f>
        <v>1306.8872629104094</v>
      </c>
      <c r="J21" s="56">
        <f>509.019370411*Deflactores!$G$5</f>
        <v>1340.1067177522175</v>
      </c>
      <c r="K21" s="56">
        <f>626.544187651*Deflactores!$H$5</f>
        <v>1560.6465295808653</v>
      </c>
      <c r="L21" s="56">
        <f>833.699304869*Deflactores!$I$5</f>
        <v>1928.6345383245134</v>
      </c>
      <c r="M21" s="56">
        <f>960.083320319*Deflactores!$J$5</f>
        <v>2177.4167299078376</v>
      </c>
      <c r="N21" s="56">
        <f>1032.313906607*Deflactores!$K$5</f>
        <v>2269.268230988745</v>
      </c>
      <c r="O21" s="56">
        <f>941.693842924*Deflactores!$L$5</f>
        <v>1995.690945468393</v>
      </c>
      <c r="P21" s="56">
        <f>1208.110642949*Deflactores!$M$5</f>
        <v>2499.3132784623417</v>
      </c>
      <c r="Q21" s="56">
        <f>1555.672191764*Deflactores!$N$5</f>
        <v>3157.0935109353823</v>
      </c>
      <c r="R21" s="56">
        <f>1898.48780494*Deflactores!$O$5</f>
        <v>3716.772372294573</v>
      </c>
      <c r="S21" s="56">
        <f>2454.364663344*Deflactores!$P$5</f>
        <v>4500.3677032928772</v>
      </c>
      <c r="T21" s="56">
        <f>2586.101939876*Deflactores!$Q$5</f>
        <v>4484.0884827144973</v>
      </c>
      <c r="U21" s="56">
        <f>3260.121065948*Deflactores!$R$5</f>
        <v>5430.6679990788052</v>
      </c>
      <c r="V21" s="56">
        <f>3416.373771847*Deflactores!$S$5</f>
        <v>5515.5570452232223</v>
      </c>
    </row>
    <row r="22" spans="3:22" x14ac:dyDescent="0.2">
      <c r="C22" s="88" t="s">
        <v>132</v>
      </c>
      <c r="D22" s="57">
        <f>0*Deflactores!$A$5</f>
        <v>0</v>
      </c>
      <c r="E22" s="57">
        <f>0*Deflactores!$B$5</f>
        <v>0</v>
      </c>
      <c r="F22" s="57">
        <f>0*Deflactores!$C$5</f>
        <v>0</v>
      </c>
      <c r="G22" s="57">
        <f>0*Deflactores!$D$5</f>
        <v>0</v>
      </c>
      <c r="H22" s="57">
        <f>2*Deflactores!$E$5</f>
        <v>5.7683225349019001</v>
      </c>
      <c r="I22" s="57">
        <f>7.114266017*Deflactores!$F$5</f>
        <v>19.568602472801597</v>
      </c>
      <c r="J22" s="57">
        <f>1.1967085*Deflactores!$G$5</f>
        <v>3.1506013194473961</v>
      </c>
      <c r="K22" s="57">
        <f>3.124195057*Deflactores!$H$5</f>
        <v>7.7819956988519055</v>
      </c>
      <c r="L22" s="57">
        <f>2.758*Deflactores!$I$5</f>
        <v>6.3802068990987282</v>
      </c>
      <c r="M22" s="57">
        <f>0.558412*Deflactores!$J$5</f>
        <v>1.266448031382629</v>
      </c>
      <c r="N22" s="57">
        <f>3.433067729*Deflactores!$K$5</f>
        <v>7.5466885434666775</v>
      </c>
      <c r="O22" s="57">
        <f>4*Deflactores!$L$5</f>
        <v>8.4770266279821325</v>
      </c>
      <c r="P22" s="57">
        <f>9.812141434*Deflactores!$M$5</f>
        <v>20.299146869763966</v>
      </c>
      <c r="Q22" s="57">
        <f>6.9682*Deflactores!$N$5</f>
        <v>14.141320465434717</v>
      </c>
      <c r="R22" s="57">
        <f>9.079490093*Deflactores!$O$5</f>
        <v>17.775409378124085</v>
      </c>
      <c r="S22" s="57">
        <f>9.00615728*Deflactores!$P$5</f>
        <v>16.513853853512419</v>
      </c>
      <c r="T22" s="57">
        <f>15.19512*Deflactores!$Q$5</f>
        <v>26.347090783564298</v>
      </c>
      <c r="U22" s="57">
        <f>20.500561481*Deflactores!$R$5</f>
        <v>34.149573266120562</v>
      </c>
      <c r="V22" s="57">
        <f>21.5006786*Deflactores!$S$5</f>
        <v>34.711722794077538</v>
      </c>
    </row>
    <row r="23" spans="3:22" x14ac:dyDescent="0.2">
      <c r="C23" s="87" t="s">
        <v>133</v>
      </c>
      <c r="D23" s="56">
        <f>28.41036*Deflactores!$A$5</f>
        <v>106.02506491393449</v>
      </c>
      <c r="E23" s="56">
        <f>38.21*Deflactores!$B$5</f>
        <v>132.46515618602984</v>
      </c>
      <c r="F23" s="56">
        <f>28.859662*Deflactores!$C$5</f>
        <v>93.511538124661371</v>
      </c>
      <c r="G23" s="56">
        <f>29.399156606*Deflactores!$D$5</f>
        <v>89.45290544198015</v>
      </c>
      <c r="H23" s="56">
        <f>39.28227*Deflactores!$E$5</f>
        <v>113.29640163155042</v>
      </c>
      <c r="I23" s="56">
        <f>44.352426552*Deflactores!$F$5</f>
        <v>121.99642265643135</v>
      </c>
      <c r="J23" s="56">
        <f>49.517468*Deflactores!$G$5</f>
        <v>130.36574906628826</v>
      </c>
      <c r="K23" s="56">
        <f>72.4534*Deflactores!$H$5</f>
        <v>180.47274157991112</v>
      </c>
      <c r="L23" s="56">
        <f>93.521*Deflactores!$I$5</f>
        <v>216.34638484793768</v>
      </c>
      <c r="M23" s="56">
        <f>97.849253622*Deflactores!$J$5</f>
        <v>221.91678298790404</v>
      </c>
      <c r="N23" s="56">
        <f>113.877152127*Deflactores!$K$5</f>
        <v>250.32870515775454</v>
      </c>
      <c r="O23" s="56">
        <f>122.988*Deflactores!$L$5</f>
        <v>260.64313773056665</v>
      </c>
      <c r="P23" s="56">
        <f>133.778*Deflactores!$M$5</f>
        <v>276.75704515770065</v>
      </c>
      <c r="Q23" s="56">
        <f>149.145867265*Deflactores!$N$5</f>
        <v>302.67780848562813</v>
      </c>
      <c r="R23" s="56">
        <f>149.783953417*Deflactores!$O$5</f>
        <v>293.24015588867968</v>
      </c>
      <c r="S23" s="56">
        <f>156.964*Deflactores!$P$5</f>
        <v>287.81204632290445</v>
      </c>
      <c r="T23" s="56">
        <f>173.994350885*Deflactores!$Q$5</f>
        <v>301.69192205092395</v>
      </c>
      <c r="U23" s="56">
        <f>162.883383878*Deflactores!$R$5</f>
        <v>271.32905880312859</v>
      </c>
      <c r="V23" s="56">
        <f>116.702603119*Deflactores!$S$5</f>
        <v>188.41025830756695</v>
      </c>
    </row>
    <row r="24" spans="3:22" x14ac:dyDescent="0.2">
      <c r="C24" s="88" t="s">
        <v>134</v>
      </c>
      <c r="D24" s="57">
        <f>872.539599578*Deflactores!$A$5</f>
        <v>3256.244119582992</v>
      </c>
      <c r="E24" s="57">
        <f>1784.720426*Deflactores!$B$5</f>
        <v>6187.2093687120578</v>
      </c>
      <c r="F24" s="57">
        <f>1132.24577*Deflactores!$C$5</f>
        <v>3668.7208425324443</v>
      </c>
      <c r="G24" s="57">
        <f>1295.677946821*Deflactores!$D$5</f>
        <v>3942.3633274086419</v>
      </c>
      <c r="H24" s="57">
        <f>1494.711437*Deflactores!$E$5</f>
        <v>4310.9888326113505</v>
      </c>
      <c r="I24" s="57">
        <f>1926.347467021*Deflactores!$F$5</f>
        <v>5298.6390608033735</v>
      </c>
      <c r="J24" s="57">
        <f>854.185933062*Deflactores!$G$5</f>
        <v>2248.8344720193286</v>
      </c>
      <c r="K24" s="57">
        <f>937.649251359*Deflactores!$H$5</f>
        <v>2335.5719818960865</v>
      </c>
      <c r="L24" s="57">
        <f>969.128928036*Deflactores!$I$5</f>
        <v>2241.9300481404794</v>
      </c>
      <c r="M24" s="57">
        <f>1006.402117932*Deflactores!$J$5</f>
        <v>2282.4652425705208</v>
      </c>
      <c r="N24" s="57">
        <f>817.308*Deflactores!$K$5</f>
        <v>1796.6347905056621</v>
      </c>
      <c r="O24" s="57">
        <f>1418.578964307*Deflactores!$L$5</f>
        <v>3006.3329135814383</v>
      </c>
      <c r="P24" s="57">
        <f>2464.76273402*Deflactores!$M$5</f>
        <v>5099.0480593385373</v>
      </c>
      <c r="Q24" s="57">
        <f>2578.89869377*Deflactores!$N$5</f>
        <v>5233.6375070308768</v>
      </c>
      <c r="R24" s="57">
        <f>2892.482027615*Deflactores!$O$5</f>
        <v>5662.7686833826074</v>
      </c>
      <c r="S24" s="57">
        <f>3099.490326584*Deflactores!$P$5</f>
        <v>5683.2818573188024</v>
      </c>
      <c r="T24" s="57">
        <f>2019.093119931*Deflactores!$Q$5</f>
        <v>3500.9417320358207</v>
      </c>
      <c r="U24" s="57">
        <f>1505.60948357244*Deflactores!$R$5</f>
        <v>2508.0250322448715</v>
      </c>
      <c r="V24" s="57">
        <f>1510.480047697*Deflactores!$S$5</f>
        <v>2438.5911569155442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68.377086275*Deflactores!$A$5</f>
        <v>255.1775130949616</v>
      </c>
      <c r="E26" s="57">
        <f>144.036191308*Deflactores!$B$5</f>
        <v>499.33987380411133</v>
      </c>
      <c r="F26" s="57">
        <f>107.609*Deflactores!$C$5</f>
        <v>348.6764018946821</v>
      </c>
      <c r="G26" s="57">
        <f>86.075913592*Deflactores!$D$5</f>
        <v>261.90345058421883</v>
      </c>
      <c r="H26" s="57">
        <f>215.341*Deflactores!$E$5</f>
        <v>621.07817149415507</v>
      </c>
      <c r="I26" s="57">
        <f>436.51196154492*Deflactores!$F$5</f>
        <v>1200.6760823511383</v>
      </c>
      <c r="J26" s="57">
        <f>1100.338036282*Deflactores!$G$5</f>
        <v>2896.8846372765183</v>
      </c>
      <c r="K26" s="57">
        <f>1492.502359342*Deflactores!$H$5</f>
        <v>3717.6446185401433</v>
      </c>
      <c r="L26" s="57">
        <f>2079.745027916*Deflactores!$I$5</f>
        <v>4811.1688090920734</v>
      </c>
      <c r="M26" s="57">
        <f>2008.936570261*Deflactores!$J$5</f>
        <v>4556.1588300029616</v>
      </c>
      <c r="N26" s="57">
        <f>2924.565314314*Deflactores!$K$5</f>
        <v>6428.8809002269145</v>
      </c>
      <c r="O26" s="57">
        <f>2896.64486*Deflactores!$L$5</f>
        <v>6138.7339025068941</v>
      </c>
      <c r="P26" s="57">
        <f>4429.952800968*Deflactores!$M$5</f>
        <v>9164.5909445797006</v>
      </c>
      <c r="Q26" s="57">
        <f>4962.958039526*Deflactores!$N$5</f>
        <v>10071.866492558018</v>
      </c>
      <c r="R26" s="57">
        <f>7480.534453324*Deflactores!$O$5</f>
        <v>14645.0473444</v>
      </c>
      <c r="S26" s="57">
        <f>8493.415886682*Deflactores!$P$5</f>
        <v>15573.681905515994</v>
      </c>
      <c r="T26" s="57">
        <f>7312.805863734*Deflactores!$Q$5</f>
        <v>12679.805093634077</v>
      </c>
      <c r="U26" s="57">
        <f>7720.884731568*Deflactores!$R$5</f>
        <v>12861.351093447793</v>
      </c>
      <c r="V26" s="57">
        <f>7453.468800327*Deflactores!$S$5</f>
        <v>12033.236144056238</v>
      </c>
    </row>
    <row r="27" spans="3:22" x14ac:dyDescent="0.2">
      <c r="C27" s="87" t="s">
        <v>137</v>
      </c>
      <c r="D27" s="56">
        <f>38.63*Deflactores!$A$5</f>
        <v>144.16389857873287</v>
      </c>
      <c r="E27" s="56">
        <f>23.29*Deflactores!$B$5</f>
        <v>80.74099679593391</v>
      </c>
      <c r="F27" s="56">
        <f>36.00359*Deflactores!$C$5</f>
        <v>116.65940782361474</v>
      </c>
      <c r="G27" s="56">
        <f>18.829*Deflactores!$D$5</f>
        <v>57.291056989821882</v>
      </c>
      <c r="H27" s="56">
        <f>49.321212*Deflactores!$E$5</f>
        <v>142.25032931413702</v>
      </c>
      <c r="I27" s="56">
        <f>139.414558155*Deflactores!$F$5</f>
        <v>383.47568968286942</v>
      </c>
      <c r="J27" s="56">
        <f>40.057*Deflactores!$G$5</f>
        <v>105.45896269066725</v>
      </c>
      <c r="K27" s="56">
        <f>82.899906386*Deflactores!$H$5</f>
        <v>206.49373779835591</v>
      </c>
      <c r="L27" s="56">
        <f>89.0376*Deflactores!$I$5</f>
        <v>205.9747316168212</v>
      </c>
      <c r="M27" s="56">
        <f>83.5417707*Deflactores!$J$5</f>
        <v>189.46819022734823</v>
      </c>
      <c r="N27" s="56">
        <f>122.052182866*Deflactores!$K$5</f>
        <v>268.29934124493417</v>
      </c>
      <c r="O27" s="56">
        <f>137.280566095*Deflactores!$L$5</f>
        <v>290.93275357294408</v>
      </c>
      <c r="P27" s="56">
        <f>169.037542364*Deflactores!$M$5</f>
        <v>349.70122699831273</v>
      </c>
      <c r="Q27" s="56">
        <f>220.153063749*Deflactores!$N$5</f>
        <v>446.78037741768139</v>
      </c>
      <c r="R27" s="56">
        <f>402.030507676*Deflactores!$O$5</f>
        <v>787.07689344201117</v>
      </c>
      <c r="S27" s="56">
        <f>213.804315149*Deflactores!$P$5</f>
        <v>392.03548237621908</v>
      </c>
      <c r="T27" s="56">
        <f>163.089896377*Deflactores!$Q$5</f>
        <v>282.78449302979595</v>
      </c>
      <c r="U27" s="56">
        <f>184.325336221*Deflactores!$R$5</f>
        <v>307.04678893381703</v>
      </c>
      <c r="V27" s="56">
        <f>414.479073103*Deflactores!$S$5</f>
        <v>669.15481865291156</v>
      </c>
    </row>
    <row r="28" spans="3:22" x14ac:dyDescent="0.2">
      <c r="C28" s="88" t="s">
        <v>138</v>
      </c>
      <c r="D28" s="57">
        <f>7*Deflactores!$A$5</f>
        <v>26.123409009866169</v>
      </c>
      <c r="E28" s="57">
        <f>18*Deflactores!$B$5</f>
        <v>62.401800872769876</v>
      </c>
      <c r="F28" s="57">
        <f>6*Deflactores!$C$5</f>
        <v>19.441295908038292</v>
      </c>
      <c r="G28" s="57">
        <f>23.845630165*Deflactores!$D$5</f>
        <v>72.55517322965801</v>
      </c>
      <c r="H28" s="57">
        <f>0*Deflactores!$E$5</f>
        <v>0</v>
      </c>
      <c r="I28" s="57">
        <f>0*Deflactores!$F$5</f>
        <v>0</v>
      </c>
      <c r="J28" s="57">
        <f>0*Deflactores!$G$5</f>
        <v>0</v>
      </c>
      <c r="K28" s="57">
        <f>0*Deflactores!$H$5</f>
        <v>0</v>
      </c>
      <c r="L28" s="57">
        <f>45*Deflactores!$I$5</f>
        <v>104.10054766477258</v>
      </c>
      <c r="M28" s="57">
        <f>18.5*Deflactores!$J$5</f>
        <v>41.956993367940939</v>
      </c>
      <c r="N28" s="57">
        <f>15.5*Deflactores!$K$5</f>
        <v>34.072637552596774</v>
      </c>
      <c r="O28" s="57">
        <f>0*Deflactores!$L$5</f>
        <v>0</v>
      </c>
      <c r="P28" s="57">
        <f>65.45*Deflactores!$M$5</f>
        <v>135.40155037129801</v>
      </c>
      <c r="Q28" s="57">
        <f>34.58654082*Deflactores!$N$5</f>
        <v>70.190200844760369</v>
      </c>
      <c r="R28" s="57">
        <f>20.2136*Deflactores!$O$5</f>
        <v>39.573259216689031</v>
      </c>
      <c r="S28" s="57">
        <f>16.871*Deflactores!$P$5</f>
        <v>30.934972563860001</v>
      </c>
      <c r="T28" s="57">
        <f>10.642*Deflactores!$Q$5</f>
        <v>18.452354447920861</v>
      </c>
      <c r="U28" s="57">
        <f>8.630885526*Deflactores!$R$5</f>
        <v>14.377218784705176</v>
      </c>
      <c r="V28" s="57">
        <f>7.0382*Deflactores!$S$5</f>
        <v>11.362806352041209</v>
      </c>
    </row>
    <row r="29" spans="3:22" x14ac:dyDescent="0.2">
      <c r="C29" s="87" t="s">
        <v>139</v>
      </c>
      <c r="D29" s="56">
        <f>62.829603*Deflactores!$A$5</f>
        <v>234.47477387093062</v>
      </c>
      <c r="E29" s="56">
        <f>135.464*Deflactores!$B$5</f>
        <v>469.62208630160546</v>
      </c>
      <c r="F29" s="56">
        <f>111.081184*Deflactores!$C$5</f>
        <v>359.92702799320813</v>
      </c>
      <c r="G29" s="56">
        <f>43.6291969890999*Deflactores!$D$5</f>
        <v>132.75069367054479</v>
      </c>
      <c r="H29" s="56">
        <f>105.788638576*Deflactores!$E$5</f>
        <v>305.11149391726661</v>
      </c>
      <c r="I29" s="56">
        <f>77.35820685992*Deflactores!$F$5</f>
        <v>212.78259688817144</v>
      </c>
      <c r="J29" s="56">
        <f>156.86602319662*Deflactores!$G$5</f>
        <v>412.98469899707146</v>
      </c>
      <c r="K29" s="56">
        <f>382.43698995*Deflactores!$H$5</f>
        <v>952.60473708404868</v>
      </c>
      <c r="L29" s="56">
        <f>491.063164271*Deflactores!$I$5</f>
        <v>1135.9987630801618</v>
      </c>
      <c r="M29" s="56">
        <f>420.146037371*Deflactores!$J$5</f>
        <v>952.86835154279515</v>
      </c>
      <c r="N29" s="56">
        <f>214.54927933444*Deflactores!$K$5</f>
        <v>471.62966657633643</v>
      </c>
      <c r="O29" s="56">
        <f>3786.032538026*Deflactores!$L$5</f>
        <v>8023.5746598132946</v>
      </c>
      <c r="P29" s="56">
        <f>224.177842033*Deflactores!$M$5</f>
        <v>463.77429136990281</v>
      </c>
      <c r="Q29" s="56">
        <f>403.509697248*Deflactores!$N$5</f>
        <v>818.88578681646743</v>
      </c>
      <c r="R29" s="56">
        <f>366.333806039*Deflactores!$O$5</f>
        <v>717.19152779404112</v>
      </c>
      <c r="S29" s="56">
        <f>369.157160991*Deflactores!$P$5</f>
        <v>676.89328712044539</v>
      </c>
      <c r="T29" s="56">
        <f>418.955793696*Deflactores!$Q$5</f>
        <v>726.4349561443903</v>
      </c>
      <c r="U29" s="56">
        <f>565.949349763*Deflactores!$R$5</f>
        <v>942.75119257378083</v>
      </c>
      <c r="V29" s="56">
        <f>467.877953018*Deflactores!$S$5</f>
        <v>755.36452168636436</v>
      </c>
    </row>
    <row r="30" spans="3:22" x14ac:dyDescent="0.2">
      <c r="C30" s="88" t="s">
        <v>140</v>
      </c>
      <c r="D30" s="57">
        <f>253.450981*Deflactores!$A$5</f>
        <v>945.85766294497421</v>
      </c>
      <c r="E30" s="57">
        <f>491.525325087*Deflactores!$B$5</f>
        <v>1704.003636666803</v>
      </c>
      <c r="F30" s="57">
        <f>297.3839574*Deflactores!$C$5</f>
        <v>963.58825235280904</v>
      </c>
      <c r="G30" s="57">
        <f>335.296588*Deflactores!$D$5</f>
        <v>1020.2079734240176</v>
      </c>
      <c r="H30" s="57">
        <f>630.026*Deflactores!$E$5</f>
        <v>1817.0965866870522</v>
      </c>
      <c r="I30" s="57">
        <f>639.47819*Deflactores!$F$5</f>
        <v>1758.9579107998502</v>
      </c>
      <c r="J30" s="57">
        <f>714.5003*Deflactores!$G$5</f>
        <v>1881.0809716197057</v>
      </c>
      <c r="K30" s="57">
        <f>3804.539*Deflactores!$H$5</f>
        <v>9476.650975353723</v>
      </c>
      <c r="L30" s="57">
        <f>1471.441203472*Deflactores!$I$5</f>
        <v>3403.9518919543839</v>
      </c>
      <c r="M30" s="57">
        <f>6862.096479655*Deflactores!$J$5</f>
        <v>15562.861431732739</v>
      </c>
      <c r="N30" s="57">
        <f>1093.52613373*Deflactores!$K$5</f>
        <v>2403.8270715403069</v>
      </c>
      <c r="O30" s="57">
        <f>1674.393*Deflactores!$L$5</f>
        <v>3548.4685116767218</v>
      </c>
      <c r="P30" s="57">
        <f>2043.800368294*Deflactores!$M$5</f>
        <v>4228.1701835972117</v>
      </c>
      <c r="Q30" s="57">
        <f>2665.363384229*Deflactores!$N$5</f>
        <v>5409.1096370967953</v>
      </c>
      <c r="R30" s="57">
        <f>2264.070316214*Deflactores!$O$5</f>
        <v>4432.4930496471543</v>
      </c>
      <c r="S30" s="57">
        <f>2478.076190319*Deflactores!$P$5</f>
        <v>4543.8455905798701</v>
      </c>
      <c r="T30" s="57">
        <f>2467.358875997*Deflactores!$Q$5</f>
        <v>4278.1977570118643</v>
      </c>
      <c r="U30" s="57">
        <f>3022.515815001*Deflactores!$R$5</f>
        <v>5034.8682092462332</v>
      </c>
      <c r="V30" s="57">
        <f>3293.8765126739*Deflactores!$S$5</f>
        <v>5317.7916173240801</v>
      </c>
    </row>
    <row r="31" spans="3:22" x14ac:dyDescent="0.2">
      <c r="C31" s="87" t="s">
        <v>141</v>
      </c>
      <c r="D31" s="56">
        <f>7.965*Deflactores!$A$5</f>
        <v>29.724707537654862</v>
      </c>
      <c r="E31" s="56">
        <f>20.772*Deflactores!$B$5</f>
        <v>72.011678207176431</v>
      </c>
      <c r="F31" s="56">
        <f>21*Deflactores!$C$5</f>
        <v>68.044535678134025</v>
      </c>
      <c r="G31" s="56">
        <f>18.588984708*Deflactores!$D$5</f>
        <v>56.560761712728002</v>
      </c>
      <c r="H31" s="56">
        <f>24.279327303*Deflactores!$E$5</f>
        <v>70.025495407076932</v>
      </c>
      <c r="I31" s="56">
        <f>31.09759956255*Deflactores!$F$5</f>
        <v>85.537504816909035</v>
      </c>
      <c r="J31" s="56">
        <f>35.4240541*Deflactores!$G$5</f>
        <v>93.261702066656966</v>
      </c>
      <c r="K31" s="56">
        <f>46.1247*Deflactores!$H$5</f>
        <v>114.89110329606237</v>
      </c>
      <c r="L31" s="56">
        <f>52.39423125*Deflactores!$I$5</f>
        <v>121.20595927999426</v>
      </c>
      <c r="M31" s="56">
        <f>67.12711006*Deflactores!$J$5</f>
        <v>152.24063305926819</v>
      </c>
      <c r="N31" s="56">
        <f>100.2800729*Deflactores!$K$5</f>
        <v>220.43913404320526</v>
      </c>
      <c r="O31" s="56">
        <f>87.342329204*Deflactores!$L$5</f>
        <v>185.10081260307234</v>
      </c>
      <c r="P31" s="56">
        <f>84.205509705*Deflactores!$M$5</f>
        <v>174.20254490240461</v>
      </c>
      <c r="Q31" s="56">
        <f>111.465*Deflactores!$N$5</f>
        <v>226.20795695870964</v>
      </c>
      <c r="R31" s="56">
        <f>78.538677102*Deflactores!$O$5</f>
        <v>153.75942076093745</v>
      </c>
      <c r="S31" s="56">
        <f>162.32579725032*Deflactores!$P$5</f>
        <v>297.64353531772571</v>
      </c>
      <c r="T31" s="56">
        <f>93.786762993*Deflactores!$Q$5</f>
        <v>162.61854851249609</v>
      </c>
      <c r="U31" s="56">
        <f>230.662058359*Deflactores!$R$5</f>
        <v>384.23390837101186</v>
      </c>
      <c r="V31" s="56">
        <f>225.030057713*Deflactores!$S$5</f>
        <v>363.29927668743096</v>
      </c>
    </row>
    <row r="32" spans="3:22" x14ac:dyDescent="0.2">
      <c r="C32" s="88" t="s">
        <v>142</v>
      </c>
      <c r="D32" s="57">
        <f>465.738917783*Deflactores!$A$5</f>
        <v>1738.0983201511058</v>
      </c>
      <c r="E32" s="57">
        <f>1052.066674*Deflactores!$B$5</f>
        <v>3647.2697275458499</v>
      </c>
      <c r="F32" s="57">
        <f>849.501593829*Deflactores!$C$5</f>
        <v>2752.5686433299575</v>
      </c>
      <c r="G32" s="57">
        <f>384.106108506*Deflactores!$D$5</f>
        <v>1168.7208536064556</v>
      </c>
      <c r="H32" s="57">
        <f>283.430120755*Deflactores!$E$5</f>
        <v>817.45817631051671</v>
      </c>
      <c r="I32" s="57">
        <f>250.104447196*Deflactores!$F$5</f>
        <v>687.94089118446334</v>
      </c>
      <c r="J32" s="57">
        <f>329.13975945*Deflactores!$G$5</f>
        <v>866.5336298737484</v>
      </c>
      <c r="K32" s="57">
        <f>359.921261215*Deflactores!$H$5</f>
        <v>896.52075353772739</v>
      </c>
      <c r="L32" s="57">
        <f>572.116698195*Deflactores!$I$5</f>
        <v>1323.5035913391314</v>
      </c>
      <c r="M32" s="57">
        <f>1089.551599412*Deflactores!$J$5</f>
        <v>2471.0437421923639</v>
      </c>
      <c r="N32" s="57">
        <f>854.537142788*Deflactores!$K$5</f>
        <v>1878.4731833191715</v>
      </c>
      <c r="O32" s="57">
        <f>839.308874474*Deflactores!$L$5</f>
        <v>1778.7109195044529</v>
      </c>
      <c r="P32" s="57">
        <f>926.15332568*Deflactores!$M$5</f>
        <v>1916.0060531490558</v>
      </c>
      <c r="Q32" s="57">
        <f>498.57342583*Deflactores!$N$5</f>
        <v>1011.8088731970489</v>
      </c>
      <c r="R32" s="57">
        <f>295.028622986*Deflactores!$O$5</f>
        <v>577.59351000157312</v>
      </c>
      <c r="S32" s="57">
        <f>232.206690663*Deflactores!$P$5</f>
        <v>425.77841294556521</v>
      </c>
      <c r="T32" s="57">
        <f>377.870444209*Deflactores!$Q$5</f>
        <v>655.19633263839262</v>
      </c>
      <c r="U32" s="57">
        <f>347.965795564*Deflactores!$R$5</f>
        <v>579.636974369207</v>
      </c>
      <c r="V32" s="57">
        <f>302.012874721*Deflactores!$S$5</f>
        <v>487.58401456025763</v>
      </c>
    </row>
    <row r="33" spans="3:22" x14ac:dyDescent="0.2">
      <c r="C33" s="87" t="s">
        <v>143</v>
      </c>
      <c r="D33" s="56">
        <f>740.963730109*Deflactores!$A$5</f>
        <v>2765.214083301928</v>
      </c>
      <c r="E33" s="56">
        <f>771.67087*Deflactores!$B$5</f>
        <v>2675.2028871698385</v>
      </c>
      <c r="F33" s="56">
        <f>1115.46146151117*Deflactores!$C$5</f>
        <v>3614.336057875254</v>
      </c>
      <c r="G33" s="56">
        <f>759.492901155*Deflactores!$D$5</f>
        <v>2310.9114176767894</v>
      </c>
      <c r="H33" s="56">
        <f>695.501*Deflactores!$E$5</f>
        <v>2005.9370456734032</v>
      </c>
      <c r="I33" s="56">
        <f>584.40788099108*Deflactores!$F$5</f>
        <v>1607.4807264389071</v>
      </c>
      <c r="J33" s="56">
        <f>48.0321587*Deflactores!$G$5</f>
        <v>126.4553419451159</v>
      </c>
      <c r="K33" s="56">
        <f>137.336993113*Deflactores!$H$5</f>
        <v>342.09000084805518</v>
      </c>
      <c r="L33" s="56">
        <f>117.114709903*Deflactores!$I$5</f>
        <v>270.92678756673922</v>
      </c>
      <c r="M33" s="56">
        <f>58.489158295*Deflactores!$J$5</f>
        <v>132.65022846917637</v>
      </c>
      <c r="N33" s="56">
        <f>78.109975922*Deflactores!$K$5</f>
        <v>171.70405798918497</v>
      </c>
      <c r="O33" s="56">
        <f>85.521490061*Deflactores!$L$5</f>
        <v>181.24198712795155</v>
      </c>
      <c r="P33" s="56">
        <f>391.489530938*Deflactores!$M$5</f>
        <v>809.90510990278744</v>
      </c>
      <c r="Q33" s="56">
        <f>135.415239569*Deflactores!$N$5</f>
        <v>274.81276350403897</v>
      </c>
      <c r="R33" s="56">
        <f>129.548946725*Deflactores!$O$5</f>
        <v>253.62498763196376</v>
      </c>
      <c r="S33" s="56">
        <f>139.695944487*Deflactores!$P$5</f>
        <v>256.14902554607636</v>
      </c>
      <c r="T33" s="56">
        <f>83.326729762*Deflactores!$Q$5</f>
        <v>144.48170950521899</v>
      </c>
      <c r="U33" s="56">
        <f>63.413974727*Deflactores!$R$5</f>
        <v>105.63418850955152</v>
      </c>
      <c r="V33" s="56">
        <f>727.853555875*Deflactores!$S$5</f>
        <v>1175.0815560871006</v>
      </c>
    </row>
    <row r="34" spans="3:22" x14ac:dyDescent="0.2">
      <c r="C34" s="88" t="s">
        <v>144</v>
      </c>
      <c r="D34" s="57">
        <f>23.667013131*Deflactores!$A$5</f>
        <v>88.323294866140898</v>
      </c>
      <c r="E34" s="57">
        <f>47.35*Deflactores!$B$5</f>
        <v>164.15140396253634</v>
      </c>
      <c r="F34" s="57">
        <f>41.728323*Deflactores!$C$5</f>
        <v>135.20877919820003</v>
      </c>
      <c r="G34" s="57">
        <f>37.58558644*Deflactores!$D$5</f>
        <v>114.36178101491936</v>
      </c>
      <c r="H34" s="57">
        <f>67.580101871*Deflactores!$E$5</f>
        <v>194.91191226672768</v>
      </c>
      <c r="I34" s="57">
        <f>70.046061931*Deflactores!$F$5</f>
        <v>192.6697058329834</v>
      </c>
      <c r="J34" s="57">
        <f>83.134218673*Deflactores!$G$5</f>
        <v>218.86932284878247</v>
      </c>
      <c r="K34" s="57">
        <f>92.944505*Deflactores!$H$5</f>
        <v>231.51362989366623</v>
      </c>
      <c r="L34" s="57">
        <f>103.973509666*Deflactores!$I$5</f>
        <v>240.52665108575835</v>
      </c>
      <c r="M34" s="57">
        <f>87.61814*Deflactores!$J$5</f>
        <v>198.71317399412541</v>
      </c>
      <c r="N34" s="57">
        <f>151.999710278*Deflactores!$K$5</f>
        <v>334.13103460658147</v>
      </c>
      <c r="O34" s="57">
        <f>230.441737145*Deflactores!$L$5</f>
        <v>488.36518549415604</v>
      </c>
      <c r="P34" s="57">
        <f>201.068989259*Deflactores!$M$5</f>
        <v>415.96719445773061</v>
      </c>
      <c r="Q34" s="57">
        <f>331.910058937*Deflactores!$N$5</f>
        <v>673.5809117317873</v>
      </c>
      <c r="R34" s="57">
        <f>268.378864469*Deflactores!$O$5</f>
        <v>525.41983476037865</v>
      </c>
      <c r="S34" s="57">
        <f>249.892939291*Deflactores!$P$5</f>
        <v>458.2082402269823</v>
      </c>
      <c r="T34" s="57">
        <f>165.546554066*Deflactores!$Q$5</f>
        <v>287.04413580696547</v>
      </c>
      <c r="U34" s="57">
        <f>235.972024956*Deflactores!$R$5</f>
        <v>393.07918285351639</v>
      </c>
      <c r="V34" s="57">
        <f>223.185517411*Deflactores!$S$5</f>
        <v>360.32136269519413</v>
      </c>
    </row>
    <row r="35" spans="3:22" x14ac:dyDescent="0.2">
      <c r="C35" s="87" t="s">
        <v>145</v>
      </c>
      <c r="D35" s="56">
        <f>29.860910294*Deflactores!$A$5</f>
        <v>111.43839614529786</v>
      </c>
      <c r="E35" s="56">
        <f>0*Deflactores!$B$5</f>
        <v>0</v>
      </c>
      <c r="F35" s="56">
        <f>10.4926*Deflactores!$C$5</f>
        <v>33.998290240780435</v>
      </c>
      <c r="G35" s="56">
        <f>5.5556524*Deflactores!$D$5</f>
        <v>16.90420087439804</v>
      </c>
      <c r="H35" s="56">
        <f>10*Deflactores!$E$5</f>
        <v>28.841612674509499</v>
      </c>
      <c r="I35" s="56">
        <f>57*Deflactores!$F$5</f>
        <v>156.78502016713259</v>
      </c>
      <c r="J35" s="56">
        <f>77.991531558*Deflactores!$G$5</f>
        <v>205.33005509057392</v>
      </c>
      <c r="K35" s="56">
        <f>82.639810092*Deflactores!$H$5</f>
        <v>205.84586908200922</v>
      </c>
      <c r="L35" s="56">
        <f>99.635072312*Deflactores!$I$5</f>
        <v>230.49034653996486</v>
      </c>
      <c r="M35" s="56">
        <f>105.288*Deflactores!$J$5</f>
        <v>238.78745501209542</v>
      </c>
      <c r="N35" s="56">
        <f>70.48*Deflactores!$K$5</f>
        <v>154.93158030367874</v>
      </c>
      <c r="O35" s="56">
        <f>44.568103*Deflactores!$L$5</f>
        <v>94.451248972412586</v>
      </c>
      <c r="P35" s="56">
        <f>45.90514609*Deflactores!$M$5</f>
        <v>94.967577549380138</v>
      </c>
      <c r="Q35" s="56">
        <f>46.489944685*Deflactores!$N$5</f>
        <v>94.347063260371158</v>
      </c>
      <c r="R35" s="56">
        <f>48.132*Deflactores!$O$5</f>
        <v>94.230622581711145</v>
      </c>
      <c r="S35" s="56">
        <f>50.257864278*Deflactores!$P$5</f>
        <v>92.153734370110229</v>
      </c>
      <c r="T35" s="56">
        <f>35.2*Deflactores!$Q$5</f>
        <v>61.033910596393014</v>
      </c>
      <c r="U35" s="56">
        <f>50.30385533*Deflactores!$R$5</f>
        <v>83.795519198451203</v>
      </c>
      <c r="V35" s="56">
        <f>50*Deflactores!$S$5</f>
        <v>80.722388906547209</v>
      </c>
    </row>
    <row r="36" spans="3:22" x14ac:dyDescent="0.2">
      <c r="C36" s="88" t="s">
        <v>146</v>
      </c>
      <c r="D36" s="57">
        <f>0.3277*Deflactores!$A$5</f>
        <v>1.2229487332190205</v>
      </c>
      <c r="E36" s="57">
        <f>0*Deflactores!$B$5</f>
        <v>0</v>
      </c>
      <c r="F36" s="57">
        <f>0*Deflactores!$C$5</f>
        <v>0</v>
      </c>
      <c r="G36" s="57">
        <f>0*Deflactores!$D$5</f>
        <v>0</v>
      </c>
      <c r="H36" s="57">
        <f>2*Deflactores!$E$5</f>
        <v>5.7683225349019001</v>
      </c>
      <c r="I36" s="57">
        <f>1.035*Deflactores!$F$5</f>
        <v>2.8468858925084599</v>
      </c>
      <c r="J36" s="57">
        <f>1.96605*Deflactores!$G$5</f>
        <v>5.1760639488225859</v>
      </c>
      <c r="K36" s="57">
        <f>3.007107125*Deflactores!$H$5</f>
        <v>7.49034368398494</v>
      </c>
      <c r="L36" s="57">
        <f>7.557*Deflactores!$I$5</f>
        <v>17.481951971170808</v>
      </c>
      <c r="M36" s="57">
        <f>10.1032*Deflactores!$J$5</f>
        <v>22.913507859188154</v>
      </c>
      <c r="N36" s="57">
        <f>5.826*Deflactores!$K$5</f>
        <v>12.806915250414759</v>
      </c>
      <c r="O36" s="57">
        <f>3.883*Deflactores!$L$5</f>
        <v>8.2290735991136543</v>
      </c>
      <c r="P36" s="57">
        <f>14.920711*Deflactores!$M$5</f>
        <v>30.867645562140268</v>
      </c>
      <c r="Q36" s="57">
        <f>15.73*Deflactores!$N$5</f>
        <v>31.922587026963647</v>
      </c>
      <c r="R36" s="57">
        <f>44.435897154*Deflactores!$O$5</f>
        <v>86.994561908881963</v>
      </c>
      <c r="S36" s="57">
        <f>32.538696706*Deflactores!$P$5</f>
        <v>59.663546314022398</v>
      </c>
      <c r="T36" s="57">
        <f>61.7*Deflactores!$Q$5</f>
        <v>106.9827353351548</v>
      </c>
      <c r="U36" s="57">
        <f>49.260336345*Deflactores!$R$5</f>
        <v>82.057238612045182</v>
      </c>
      <c r="V36" s="57">
        <f>58.995235087*Deflactores!$S$5</f>
        <v>95.244726206519857</v>
      </c>
    </row>
    <row r="37" spans="3:22" x14ac:dyDescent="0.2">
      <c r="C37" s="90" t="s">
        <v>147</v>
      </c>
      <c r="D37" s="58">
        <f>897.77381*Deflactores!$A$5</f>
        <v>3350.4160624251253</v>
      </c>
      <c r="E37" s="58">
        <f>1235.800430618*Deflactores!$B$5</f>
        <v>4284.231799439317</v>
      </c>
      <c r="F37" s="58">
        <f>1156.4231411*Deflactores!$C$5</f>
        <v>3747.0607468380367</v>
      </c>
      <c r="G37" s="58">
        <f>1194.702896944*Deflactores!$D$5</f>
        <v>3635.126228409581</v>
      </c>
      <c r="H37" s="58">
        <f>1631.554467787*Deflactores!$E$5</f>
        <v>4705.666201727814</v>
      </c>
      <c r="I37" s="58">
        <f>1689.3461041*Deflactores!$F$5</f>
        <v>4646.7397017646563</v>
      </c>
      <c r="J37" s="58">
        <f>2313.319938528*Deflactores!$G$5</f>
        <v>6090.3293079561872</v>
      </c>
      <c r="K37" s="58">
        <f>2667.663215726*Deflactores!$H$5</f>
        <v>6644.8295615382176</v>
      </c>
      <c r="L37" s="58">
        <f>1756.224974127*Deflactores!$I$5</f>
        <v>4062.7551473149279</v>
      </c>
      <c r="M37" s="58">
        <f>2026.276829969*Deflactores!$J$5</f>
        <v>4595.4855954930654</v>
      </c>
      <c r="N37" s="58">
        <f>2549.136939872*Deflactores!$K$5</f>
        <v>5603.601227367375</v>
      </c>
      <c r="O37" s="58">
        <f>3589.097850593*Deflactores!$L$5</f>
        <v>7606.2195124775753</v>
      </c>
      <c r="P37" s="58">
        <f>3898.879749674*Deflactores!$M$5</f>
        <v>8065.9184540430542</v>
      </c>
      <c r="Q37" s="58">
        <f>4968.382167894*Deflactores!$N$5</f>
        <v>10082.874261780707</v>
      </c>
      <c r="R37" s="58">
        <f>7355.350441971*Deflactores!$O$5</f>
        <v>14399.967827091987</v>
      </c>
      <c r="S37" s="58">
        <f>7614.870078471*Deflactores!$P$5</f>
        <v>13962.76432664684</v>
      </c>
      <c r="T37" s="58">
        <f>7459.182847125*Deflactores!$Q$5</f>
        <v>12933.610767431122</v>
      </c>
      <c r="U37" s="58">
        <f>3556.50412033556*Deflactores!$R$5</f>
        <v>5924.3791025539513</v>
      </c>
      <c r="V37" s="58">
        <f>3712.739427675*Deflactores!$S$5</f>
        <v>5994.0239197890569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21.884891604*Deflactores!$S$5</f>
        <v>35.332014624714354</v>
      </c>
    </row>
    <row r="39" spans="3:22" x14ac:dyDescent="0.2">
      <c r="C39" s="87" t="s">
        <v>149</v>
      </c>
      <c r="D39" s="56">
        <f>1.75*Deflactores!$A$5</f>
        <v>6.5308522524665422</v>
      </c>
      <c r="E39" s="56">
        <f>9*Deflactores!$B$5</f>
        <v>31.200900436384938</v>
      </c>
      <c r="F39" s="56">
        <f>2*Deflactores!$C$5</f>
        <v>6.4804319693460979</v>
      </c>
      <c r="G39" s="56">
        <f>0.381433517*Deflactores!$D$5</f>
        <v>1.1605889511007059</v>
      </c>
      <c r="H39" s="56">
        <f>1.222*Deflactores!$E$5</f>
        <v>3.5244450688250608</v>
      </c>
      <c r="I39" s="56">
        <f>3.980475166*Deflactores!$F$5</f>
        <v>10.948752266247027</v>
      </c>
      <c r="J39" s="56">
        <f>2.48464386*Deflactores!$G$5</f>
        <v>6.5413776401461767</v>
      </c>
      <c r="K39" s="56">
        <f>2.2*Deflactores!$H$5</f>
        <v>5.4799365036810483</v>
      </c>
      <c r="L39" s="56">
        <f>2.19*Deflactores!$I$5</f>
        <v>5.0662266530189317</v>
      </c>
      <c r="M39" s="56">
        <f>13.069*Deflactores!$J$5</f>
        <v>29.639780882465953</v>
      </c>
      <c r="N39" s="56">
        <f>15.70730339*Deflactores!$K$5</f>
        <v>34.528339053944812</v>
      </c>
      <c r="O39" s="56">
        <f>31.3681*Deflactores!$L$5</f>
        <v>66.477054742301576</v>
      </c>
      <c r="P39" s="56">
        <f>17.941*Deflactores!$M$5</f>
        <v>37.115954395896985</v>
      </c>
      <c r="Q39" s="56">
        <f>18.157*Deflactores!$N$5</f>
        <v>36.847960117519321</v>
      </c>
      <c r="R39" s="56">
        <f>9.3*Deflactores!$O$5</f>
        <v>18.207113562908535</v>
      </c>
      <c r="S39" s="56">
        <f>11.669*Deflactores!$P$5</f>
        <v>21.396490714698736</v>
      </c>
      <c r="T39" s="56">
        <f>13.849*Deflactores!$Q$5</f>
        <v>24.013029200268374</v>
      </c>
      <c r="U39" s="56">
        <f>16.358*Deflactores!$R$5</f>
        <v>27.248947303464359</v>
      </c>
      <c r="V39" s="56">
        <f>15.636*Deflactores!$S$5</f>
        <v>25.243505458855442</v>
      </c>
    </row>
    <row r="40" spans="3:22" x14ac:dyDescent="0.2">
      <c r="C40" s="88" t="s">
        <v>150</v>
      </c>
      <c r="D40" s="57">
        <f>598.869604296*Deflactores!$A$5</f>
        <v>2234.9308023715876</v>
      </c>
      <c r="E40" s="57">
        <f>931.247477287*Deflactores!$B$5</f>
        <v>3228.4177578295926</v>
      </c>
      <c r="F40" s="57">
        <f>713.148174383*Deflactores!$C$5</f>
        <v>2310.7541140761996</v>
      </c>
      <c r="G40" s="57">
        <f>342.411369758*Deflactores!$D$5</f>
        <v>1041.8561420557942</v>
      </c>
      <c r="H40" s="57">
        <f>605.84213264*Deflactores!$E$5</f>
        <v>1747.3464131501692</v>
      </c>
      <c r="I40" s="57">
        <f>1055.593564524*Deflactores!$F$5</f>
        <v>2903.5308474068547</v>
      </c>
      <c r="J40" s="57">
        <f>1944.915453699*Deflactores!$G$5</f>
        <v>5120.4225545633717</v>
      </c>
      <c r="K40" s="57">
        <f>2255.937110128*Deflactores!$H$5</f>
        <v>5619.2691453632542</v>
      </c>
      <c r="L40" s="57">
        <f>1724.497968756*Deflactores!$I$5</f>
        <v>3989.3596220952772</v>
      </c>
      <c r="M40" s="57">
        <f>2738.022564808*Deflactores!$J$5</f>
        <v>6209.686194211994</v>
      </c>
      <c r="N40" s="57">
        <f>2848.056610452*Deflactores!$K$5</f>
        <v>6260.6968140134377</v>
      </c>
      <c r="O40" s="57">
        <f>4329.184*Deflactores!$L$5</f>
        <v>9174.6520113585502</v>
      </c>
      <c r="P40" s="57">
        <f>6803.875696052*Deflactores!$M$5</f>
        <v>14075.711501589538</v>
      </c>
      <c r="Q40" s="57">
        <f>7147.64278583815*Deflactores!$N$5</f>
        <v>14505.483081282087</v>
      </c>
      <c r="R40" s="57">
        <f>5966.430650399*Deflactores!$O$5</f>
        <v>11680.804345917508</v>
      </c>
      <c r="S40" s="57">
        <f>5443.0497*Deflactores!$P$5</f>
        <v>9980.4749649236201</v>
      </c>
      <c r="T40" s="57">
        <f>4047.248755053*Deflactores!$Q$5</f>
        <v>7017.5971215132868</v>
      </c>
      <c r="U40" s="57">
        <f>3931.12555255*Deflactores!$R$5</f>
        <v>6548.4186957291331</v>
      </c>
      <c r="V40" s="57">
        <f>3130.041138985*Deflactores!$S$5</f>
        <v>5053.287962292783</v>
      </c>
    </row>
    <row r="41" spans="3:22" x14ac:dyDescent="0.2">
      <c r="C41" s="87" t="s">
        <v>151</v>
      </c>
      <c r="D41" s="56">
        <f>142.66996*Deflactores!$A$5</f>
        <v>532.43224550017794</v>
      </c>
      <c r="E41" s="56">
        <f>149.768*Deflactores!$B$5</f>
        <v>519.21071739516663</v>
      </c>
      <c r="F41" s="56">
        <f>148.44*Deflactores!$C$5</f>
        <v>480.97766076486738</v>
      </c>
      <c r="G41" s="56">
        <f>195.059687178*Deflactores!$D$5</f>
        <v>593.50871817577286</v>
      </c>
      <c r="H41" s="56">
        <f>223.0216262*Deflactores!$E$5</f>
        <v>643.230336089964</v>
      </c>
      <c r="I41" s="56">
        <f>176.525*Deflactores!$F$5</f>
        <v>485.55220500005407</v>
      </c>
      <c r="J41" s="56">
        <f>197.4*Deflactores!$G$5</f>
        <v>519.69940922030389</v>
      </c>
      <c r="K41" s="56">
        <f>369.5*Deflactores!$H$5</f>
        <v>920.3802445955215</v>
      </c>
      <c r="L41" s="56">
        <f>433.30015*Deflactores!$I$5</f>
        <v>1002.3729537384023</v>
      </c>
      <c r="M41" s="56">
        <f>714.228*Deflactores!$J$5</f>
        <v>1619.8302410377144</v>
      </c>
      <c r="N41" s="56">
        <f>623.1806148*Deflactores!$K$5</f>
        <v>1369.8972398635369</v>
      </c>
      <c r="O41" s="56">
        <f>817.044239073*Deflactores!$L$5</f>
        <v>1731.5264427153052</v>
      </c>
      <c r="P41" s="56">
        <f>1715.897983146*Deflactores!$M$5</f>
        <v>3549.8127913972771</v>
      </c>
      <c r="Q41" s="56">
        <f>2129.81033*Deflactores!$N$5</f>
        <v>4322.2540121011543</v>
      </c>
      <c r="R41" s="56">
        <f>2196.074667687*Deflactores!$O$5</f>
        <v>4299.3742867961109</v>
      </c>
      <c r="S41" s="56">
        <f>2285.997895576*Deflactores!$P$5</f>
        <v>4191.6473345199011</v>
      </c>
      <c r="T41" s="56">
        <f>1493.759169527*Deflactores!$Q$5</f>
        <v>2590.0557842458293</v>
      </c>
      <c r="U41" s="56">
        <f>1900.775902648*Deflactores!$R$5</f>
        <v>3166.288201916509</v>
      </c>
      <c r="V41" s="56">
        <f>1839.399503537*Deflactores!$S$5</f>
        <v>2969.6144415804715</v>
      </c>
    </row>
    <row r="42" spans="3:22" ht="21" customHeight="1" x14ac:dyDescent="0.2">
      <c r="C42" s="79" t="s">
        <v>202</v>
      </c>
      <c r="D42" s="44">
        <f t="shared" ref="D42:V42" si="0">+SUM(D13:D41)</f>
        <v>19713.701973832092</v>
      </c>
      <c r="E42" s="44">
        <f t="shared" si="0"/>
        <v>30100.932104880714</v>
      </c>
      <c r="F42" s="44">
        <f t="shared" si="0"/>
        <v>24921.595035267452</v>
      </c>
      <c r="G42" s="44">
        <f t="shared" si="0"/>
        <v>19080.405444379288</v>
      </c>
      <c r="H42" s="44">
        <f t="shared" si="0"/>
        <v>22969.389982114579</v>
      </c>
      <c r="I42" s="44">
        <f t="shared" si="0"/>
        <v>25205.913731453904</v>
      </c>
      <c r="J42" s="44">
        <f t="shared" si="0"/>
        <v>28299.536684600462</v>
      </c>
      <c r="K42" s="44">
        <f t="shared" si="0"/>
        <v>40167.523672032927</v>
      </c>
      <c r="L42" s="44">
        <f t="shared" si="0"/>
        <v>37520.187620435478</v>
      </c>
      <c r="M42" s="44">
        <f t="shared" si="0"/>
        <v>53747.46093932497</v>
      </c>
      <c r="N42" s="44">
        <f t="shared" si="0"/>
        <v>40014.445700397635</v>
      </c>
      <c r="O42" s="44">
        <f t="shared" si="0"/>
        <v>53061.081044165752</v>
      </c>
      <c r="P42" s="44">
        <f t="shared" si="0"/>
        <v>61749.42700186951</v>
      </c>
      <c r="Q42" s="44">
        <f t="shared" si="0"/>
        <v>70468.822830127057</v>
      </c>
      <c r="R42" s="44">
        <f t="shared" si="0"/>
        <v>75528.076666362438</v>
      </c>
      <c r="S42" s="44">
        <f t="shared" si="0"/>
        <v>72847.374402317393</v>
      </c>
      <c r="T42" s="44">
        <f t="shared" si="0"/>
        <v>57926.791905596212</v>
      </c>
      <c r="U42" s="44">
        <f t="shared" si="0"/>
        <v>52809.03201423031</v>
      </c>
      <c r="V42" s="44">
        <f t="shared" si="0"/>
        <v>49968.942127537157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8" customHeight="1" x14ac:dyDescent="0.2">
      <c r="D48" s="164" t="s">
        <v>211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3:22" ht="12" thickBot="1" x14ac:dyDescent="0.25">
      <c r="C51" s="181" t="s">
        <v>120</v>
      </c>
      <c r="D51" s="155">
        <v>2000</v>
      </c>
      <c r="E51" s="155">
        <v>2001</v>
      </c>
      <c r="F51" s="155">
        <v>2002</v>
      </c>
      <c r="G51" s="155">
        <v>2003</v>
      </c>
      <c r="H51" s="155">
        <v>2004</v>
      </c>
      <c r="I51" s="155">
        <v>2005</v>
      </c>
      <c r="J51" s="155">
        <v>2006</v>
      </c>
      <c r="K51" s="155">
        <v>2007</v>
      </c>
      <c r="L51" s="155">
        <v>2008</v>
      </c>
      <c r="M51" s="155">
        <v>2009</v>
      </c>
      <c r="N51" s="155">
        <v>2010</v>
      </c>
      <c r="O51" s="155">
        <v>2011</v>
      </c>
      <c r="P51" s="155">
        <v>2012</v>
      </c>
      <c r="Q51" s="155">
        <v>2013</v>
      </c>
      <c r="R51" s="155">
        <v>2014</v>
      </c>
      <c r="S51" s="155">
        <v>2015</v>
      </c>
      <c r="T51" s="155">
        <v>2016</v>
      </c>
      <c r="U51" s="155">
        <v>2017</v>
      </c>
      <c r="V51" s="155">
        <v>2018</v>
      </c>
    </row>
    <row r="52" spans="3:22" ht="12" customHeight="1" thickBot="1" x14ac:dyDescent="0.25">
      <c r="C52" s="162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  <row r="53" spans="3:22" x14ac:dyDescent="0.2">
      <c r="C53" s="87" t="s">
        <v>123</v>
      </c>
      <c r="D53" s="56">
        <f>191.707275233*Deflactores!$A$5</f>
        <v>715.43536586837786</v>
      </c>
      <c r="E53" s="56">
        <f>440.82459281919*Deflactores!$B$5</f>
        <v>1528.2360256068309</v>
      </c>
      <c r="F53" s="56">
        <f>415.86312054002*Deflactores!$C$5</f>
        <v>1347.4863306097877</v>
      </c>
      <c r="G53" s="56">
        <f>229.32429410695*Deflactores!$D$5</f>
        <v>697.76574448095732</v>
      </c>
      <c r="H53" s="56">
        <f>321.69932212067*Deflactores!$E$5</f>
        <v>927.83272462566299</v>
      </c>
      <c r="I53" s="56">
        <f>350.507542143*Deflactores!$F$5</f>
        <v>964.11108883547956</v>
      </c>
      <c r="J53" s="56">
        <f>563.96566850137*Deflactores!$G$5</f>
        <v>1484.7650696083879</v>
      </c>
      <c r="K53" s="56">
        <f>921.561909184*Deflactores!$H$5</f>
        <v>2295.5003393360912</v>
      </c>
      <c r="L53" s="56">
        <f>1081.25630115642*Deflactores!$I$5</f>
        <v>2501.3194025859912</v>
      </c>
      <c r="M53" s="56">
        <f>1136.97274765136*Deflactores!$J$5</f>
        <v>2578.5923260939294</v>
      </c>
      <c r="N53" s="56">
        <f>1103.37375722998*Deflactores!$K$5</f>
        <v>2425.4744590415489</v>
      </c>
      <c r="O53" s="56">
        <f>1352.48047791286*Deflactores!$L$5</f>
        <v>2866.2532562733286</v>
      </c>
      <c r="P53" s="56">
        <f>1675.36142684568*Deflactores!$M$5</f>
        <v>3465.9516367788397</v>
      </c>
      <c r="Q53" s="56">
        <f>2139.70403113845*Deflactores!$N$5</f>
        <v>4342.3323678297584</v>
      </c>
      <c r="R53" s="56">
        <f>2820.73345589256*Deflactores!$O$5</f>
        <v>5522.3026195840102</v>
      </c>
      <c r="S53" s="56">
        <f>3106.59630030355*Deflactores!$P$5</f>
        <v>5696.3115000224825</v>
      </c>
      <c r="T53" s="56">
        <f>1889.57333516677*Deflactores!$Q$5</f>
        <v>3276.3650569288866</v>
      </c>
      <c r="U53" s="56">
        <f>2133.90044819943*Deflactores!$R$5</f>
        <v>3554.6240899758673</v>
      </c>
      <c r="V53" s="56">
        <f>1512.38288981327*Deflactores!$S$5</f>
        <v>2441.66319614229</v>
      </c>
    </row>
    <row r="54" spans="3:22" x14ac:dyDescent="0.2">
      <c r="C54" s="88" t="s">
        <v>124</v>
      </c>
      <c r="D54" s="57">
        <f>27.16185983841*Deflactores!$A$5</f>
        <v>101.36576771820597</v>
      </c>
      <c r="E54" s="57">
        <f>56.6910035441*Deflactores!$B$5</f>
        <v>196.53448413535665</v>
      </c>
      <c r="F54" s="57">
        <f>52.44195235293*Deflactores!$C$5</f>
        <v>169.92325228142622</v>
      </c>
      <c r="G54" s="57">
        <f>91.05221337022*Deflactores!$D$5</f>
        <v>277.04485343048998</v>
      </c>
      <c r="H54" s="57">
        <f>214.967727395979*Deflactores!$E$5</f>
        <v>620.00159310743709</v>
      </c>
      <c r="I54" s="57">
        <f>183.468562566279*Deflactores!$F$5</f>
        <v>504.65126810506808</v>
      </c>
      <c r="J54" s="57">
        <f>300.858789266599*Deflactores!$G$5</f>
        <v>792.07768510935864</v>
      </c>
      <c r="K54" s="57">
        <f>369.17402329909*Deflactores!$H$5</f>
        <v>919.56827567612766</v>
      </c>
      <c r="L54" s="57">
        <f>385.05520974357*Deflactores!$I$5</f>
        <v>890.76573812176696</v>
      </c>
      <c r="M54" s="57">
        <f>413.025580983789*Deflactores!$J$5</f>
        <v>936.7195438987452</v>
      </c>
      <c r="N54" s="57">
        <f>442.70411733104*Deflactores!$K$5</f>
        <v>973.16754405566451</v>
      </c>
      <c r="O54" s="57">
        <f>249.91843376607*Deflactores!$L$5</f>
        <v>529.64130446464105</v>
      </c>
      <c r="P54" s="57">
        <f>127.73794835965*Deflactores!$M$5</f>
        <v>264.26151641169469</v>
      </c>
      <c r="Q54" s="57">
        <f>223.2597506611*Deflactores!$N$5</f>
        <v>453.08511253001706</v>
      </c>
      <c r="R54" s="57">
        <f>248.187511756361*Deflactores!$O$5</f>
        <v>485.89013026277013</v>
      </c>
      <c r="S54" s="57">
        <f>248.01483407794*Deflactores!$P$5</f>
        <v>454.76451233663477</v>
      </c>
      <c r="T54" s="57">
        <f>333.07761807791*Deflactores!$Q$5</f>
        <v>577.52924896098568</v>
      </c>
      <c r="U54" s="57">
        <f>343.403348279539*Deflactores!$R$5</f>
        <v>572.03690800234597</v>
      </c>
      <c r="V54" s="57">
        <f>293.70376755317*Deflactores!$S$5</f>
        <v>474.16939495490254</v>
      </c>
    </row>
    <row r="55" spans="3:22" x14ac:dyDescent="0.2">
      <c r="C55" s="87" t="s">
        <v>125</v>
      </c>
      <c r="D55" s="56">
        <f>24.2938074915*Deflactores!$A$5</f>
        <v>90.662438501057906</v>
      </c>
      <c r="E55" s="56">
        <f>63.8912654064*Deflactores!$B$5</f>
        <v>221.49611229997021</v>
      </c>
      <c r="F55" s="56">
        <f>54.898043486*Deflactores!$C$5</f>
        <v>177.88151803061334</v>
      </c>
      <c r="G55" s="56">
        <f>40.97606363414*Deflactores!$D$5</f>
        <v>124.67799654161573</v>
      </c>
      <c r="H55" s="56">
        <f>60.86225664717*Deflactores!$E$5</f>
        <v>175.53656327142684</v>
      </c>
      <c r="I55" s="56">
        <f>52.487891175*Deflactores!$F$5</f>
        <v>144.37394870881818</v>
      </c>
      <c r="J55" s="56">
        <f>77.757363085*Deflactores!$G$5</f>
        <v>204.7135544974831</v>
      </c>
      <c r="K55" s="56">
        <f>73.99336811804*Deflactores!$H$5</f>
        <v>184.30861771834401</v>
      </c>
      <c r="L55" s="56">
        <f>129.135889885*Deflactores!$I$5</f>
        <v>298.73593022680592</v>
      </c>
      <c r="M55" s="56">
        <f>135.52775205055*Deflactores!$J$5</f>
        <v>307.36956724091186</v>
      </c>
      <c r="N55" s="56">
        <f>326.17376122012*Deflactores!$K$5</f>
        <v>717.00647388518667</v>
      </c>
      <c r="O55" s="56">
        <f>357.63197116238*Deflactores!$L$5</f>
        <v>757.91393564030841</v>
      </c>
      <c r="P55" s="56">
        <f>395.318574008219*Deflactores!$M$5</f>
        <v>817.82655173848082</v>
      </c>
      <c r="Q55" s="56">
        <f>408.031867973449*Deflactores!$N$5</f>
        <v>828.06311603032202</v>
      </c>
      <c r="R55" s="56">
        <f>352.21857460752*Deflactores!$O$5</f>
        <v>689.55737492955802</v>
      </c>
      <c r="S55" s="56">
        <f>331.86681327818*Deflactores!$P$5</f>
        <v>608.51702706515016</v>
      </c>
      <c r="T55" s="56">
        <f>284.3579347929*Deflactores!$Q$5</f>
        <v>493.05331731604576</v>
      </c>
      <c r="U55" s="56">
        <f>356.684413090219*Deflactores!$R$5</f>
        <v>594.16033599844047</v>
      </c>
      <c r="V55" s="56">
        <f>308.16254996055*Deflactores!$S$5</f>
        <v>497.51234408697599</v>
      </c>
    </row>
    <row r="56" spans="3:22" x14ac:dyDescent="0.2">
      <c r="C56" s="88" t="s">
        <v>126</v>
      </c>
      <c r="D56" s="57">
        <f>53.4335002950999*Deflactores!$A$5</f>
        <v>199.40931186252845</v>
      </c>
      <c r="E56" s="57">
        <f>123.51905912*Deflactores!$B$5</f>
        <v>428.21176284434057</v>
      </c>
      <c r="F56" s="57">
        <f>101.83982071821*Deflactores!$C$5</f>
        <v>329.98301496738162</v>
      </c>
      <c r="G56" s="57">
        <f>51.0124360491599*Deflactores!$D$5</f>
        <v>155.21569817207839</v>
      </c>
      <c r="H56" s="57">
        <f>37.83104251916*Deflactores!$E$5</f>
        <v>109.11082754105129</v>
      </c>
      <c r="I56" s="57">
        <f>41.0578760537799*Deflactores!$F$5</f>
        <v>112.93438465107916</v>
      </c>
      <c r="J56" s="57">
        <f>51.45490915204*Deflactores!$G$5</f>
        <v>135.46649385916717</v>
      </c>
      <c r="K56" s="57">
        <f>79.8518542200199*Deflactores!$H$5</f>
        <v>198.90140492132028</v>
      </c>
      <c r="L56" s="57">
        <f>60.8944291656*Deflactores!$I$5</f>
        <v>140.86985390828136</v>
      </c>
      <c r="M56" s="57">
        <f>149.84292926031*Deflactores!$J$5</f>
        <v>339.83561022744158</v>
      </c>
      <c r="N56" s="57">
        <f>191.552647331909*Deflactores!$K$5</f>
        <v>421.07767256648566</v>
      </c>
      <c r="O56" s="57">
        <f>186.1289268119*Deflactores!$L$5</f>
        <v>394.45496720555343</v>
      </c>
      <c r="P56" s="57">
        <f>264.76499965384*Deflactores!$M$5</f>
        <v>547.74012891040672</v>
      </c>
      <c r="Q56" s="57">
        <f>317.67817978191*Deflactores!$N$5</f>
        <v>644.69862305501749</v>
      </c>
      <c r="R56" s="57">
        <f>222.99659405562*Deflactores!$O$5</f>
        <v>436.57250667876212</v>
      </c>
      <c r="S56" s="57">
        <f>221.24060560313*Deflactores!$P$5</f>
        <v>405.6707998544602</v>
      </c>
      <c r="T56" s="57">
        <f>206.0582115822*Deflactores!$Q$5</f>
        <v>357.28802452729059</v>
      </c>
      <c r="U56" s="57">
        <f>239.281896709099*Deflactores!$R$5</f>
        <v>398.5927249113119</v>
      </c>
      <c r="V56" s="57">
        <f>130.690230862169*Deflactores!$S$5</f>
        <v>210.99255283884887</v>
      </c>
    </row>
    <row r="57" spans="3:22" x14ac:dyDescent="0.2">
      <c r="C57" s="87" t="s">
        <v>127</v>
      </c>
      <c r="D57" s="56">
        <f>0*Deflactores!$A$5</f>
        <v>0</v>
      </c>
      <c r="E57" s="56">
        <f>21*Deflactores!$B$5</f>
        <v>72.802101018231525</v>
      </c>
      <c r="F57" s="56">
        <f>0*Deflactores!$C$5</f>
        <v>0</v>
      </c>
      <c r="G57" s="56">
        <f>14.9744652*Deflactores!$D$5</f>
        <v>45.56285193931194</v>
      </c>
      <c r="H57" s="56">
        <f>0*Deflactores!$E$5</f>
        <v>0</v>
      </c>
      <c r="I57" s="56">
        <f>8.18164595*Deflactores!$F$5</f>
        <v>22.50455307493138</v>
      </c>
      <c r="J57" s="56">
        <f>42.151147558*Deflactores!$G$5</f>
        <v>110.97227195466289</v>
      </c>
      <c r="K57" s="56">
        <f>13.883329842*Deflactores!$H$5</f>
        <v>34.581711815372834</v>
      </c>
      <c r="L57" s="56">
        <f>17.657005947*Deflactores!$I$5</f>
        <v>40.846755315618807</v>
      </c>
      <c r="M57" s="56">
        <f>10.95474626127*Deflactores!$J$5</f>
        <v>24.844768444950333</v>
      </c>
      <c r="N57" s="56">
        <f>32.43583129201*Deflactores!$K$5</f>
        <v>71.301569247086022</v>
      </c>
      <c r="O57" s="56">
        <f>25.051149962*Deflactores!$L$5</f>
        <v>53.089816322361898</v>
      </c>
      <c r="P57" s="56">
        <f>9.35651947946*Deflactores!$M$5</f>
        <v>19.356565983164771</v>
      </c>
      <c r="Q57" s="56">
        <f>38.45019782851*Deflactores!$N$5</f>
        <v>78.031137087385829</v>
      </c>
      <c r="R57" s="56">
        <f>53.28708509442*Deflactores!$O$5</f>
        <v>104.32301180112641</v>
      </c>
      <c r="S57" s="56">
        <f>53.7211401660599*Deflactores!$P$5</f>
        <v>98.504060051943597</v>
      </c>
      <c r="T57" s="56">
        <f>65.56133830154*Deflactores!$Q$5</f>
        <v>113.67797899079743</v>
      </c>
      <c r="U57" s="56">
        <f>67.6016049140899*Deflactores!$R$5</f>
        <v>112.60988934672045</v>
      </c>
      <c r="V57" s="56">
        <f>70.94132724622*Deflactores!$S$5</f>
        <v>114.53106815032008</v>
      </c>
    </row>
    <row r="58" spans="3:22" x14ac:dyDescent="0.2">
      <c r="C58" s="88" t="s">
        <v>128</v>
      </c>
      <c r="D58" s="57">
        <f>11.53791260804*Deflactores!$A$5</f>
        <v>43.05851573998865</v>
      </c>
      <c r="E58" s="57">
        <f>24.88114729509*Deflactores!$B$5</f>
        <v>86.257133277459062</v>
      </c>
      <c r="F58" s="57">
        <f>11.90782632726*Deflactores!$C$5</f>
        <v>38.583929208298422</v>
      </c>
      <c r="G58" s="57">
        <f>12.16635150602*Deflactores!$D$5</f>
        <v>37.018595649774127</v>
      </c>
      <c r="H58" s="57">
        <f>36.0627305145*Deflactores!$E$5</f>
        <v>104.01073054844237</v>
      </c>
      <c r="I58" s="57">
        <f>33.3887086545*Deflactores!$F$5</f>
        <v>91.839462451759601</v>
      </c>
      <c r="J58" s="57">
        <f>48.25435763768*Deflactores!$G$5</f>
        <v>127.04033007399978</v>
      </c>
      <c r="K58" s="57">
        <f>50.63463985141*Deflactores!$H$5</f>
        <v>126.12482330567489</v>
      </c>
      <c r="L58" s="57">
        <f>71.744050698*Deflactores!$I$5</f>
        <v>165.96877709668908</v>
      </c>
      <c r="M58" s="57">
        <f>79.90609449082*Deflactores!$J$5</f>
        <v>181.22267441131874</v>
      </c>
      <c r="N58" s="57">
        <f>95.60026334474*Deflactores!$K$5</f>
        <v>210.15181437923411</v>
      </c>
      <c r="O58" s="57">
        <f>107.54241148895*Deflactores!$L$5</f>
        <v>227.90997145731018</v>
      </c>
      <c r="P58" s="57">
        <f>184.217040501599*Deflactores!$M$5</f>
        <v>381.10424581709253</v>
      </c>
      <c r="Q58" s="57">
        <f>189.623507254719*Deflactores!$N$5</f>
        <v>384.8234528097164</v>
      </c>
      <c r="R58" s="57">
        <f>183.141992081719*Deflactores!$O$5</f>
        <v>358.54699440528532</v>
      </c>
      <c r="S58" s="57">
        <f>205.56950974212*Deflactores!$P$5</f>
        <v>376.93599335182466</v>
      </c>
      <c r="T58" s="57">
        <f>154.24486163276*Deflactores!$Q$5</f>
        <v>267.4479288308774</v>
      </c>
      <c r="U58" s="57">
        <f>177.43589015843*Deflactores!$R$5</f>
        <v>295.57043774730096</v>
      </c>
      <c r="V58" s="57">
        <f>131.345124674144*Deflactores!$S$5</f>
        <v>212.04984469850359</v>
      </c>
    </row>
    <row r="59" spans="3:22" x14ac:dyDescent="0.2">
      <c r="C59" s="87" t="s">
        <v>129</v>
      </c>
      <c r="D59" s="56">
        <f>439.52202228726*Deflactores!$A$5</f>
        <v>1640.2590795790866</v>
      </c>
      <c r="E59" s="56">
        <f>843.977621941239*Deflactores!$B$5</f>
        <v>2925.8735280806141</v>
      </c>
      <c r="F59" s="56">
        <f>848.48478433995*Deflactores!$C$5</f>
        <v>2749.2739609701707</v>
      </c>
      <c r="G59" s="56">
        <f>906.7749581923*Deflactores!$D$5</f>
        <v>2759.046991701015</v>
      </c>
      <c r="H59" s="56">
        <f>840.98077032346*Deflactores!$E$5</f>
        <v>2425.5241644379867</v>
      </c>
      <c r="I59" s="56">
        <f>765.64734064211*Deflactores!$F$5</f>
        <v>2106.0005919909586</v>
      </c>
      <c r="J59" s="56">
        <f>1116.68771860601*Deflactores!$G$5</f>
        <v>2939.9288127817244</v>
      </c>
      <c r="K59" s="56">
        <f>1104.7998985502*Deflactores!$H$5</f>
        <v>2751.9242242401633</v>
      </c>
      <c r="L59" s="56">
        <f>3368.4965695054*Deflactores!$I$5</f>
        <v>7792.4963931648854</v>
      </c>
      <c r="M59" s="56">
        <f>2886.48757605585*Deflactores!$J$5</f>
        <v>6546.3967613632003</v>
      </c>
      <c r="N59" s="56">
        <f>1910.59710132039*Deflactores!$K$5</f>
        <v>4199.9408091826881</v>
      </c>
      <c r="O59" s="56">
        <f>1408.3536893518*Deflactores!$L$5</f>
        <v>2984.6629315630212</v>
      </c>
      <c r="P59" s="56">
        <f>1860.63766157418*Deflactores!$M$5</f>
        <v>3849.2471208001602</v>
      </c>
      <c r="Q59" s="56">
        <f>2847.41131691476*Deflactores!$N$5</f>
        <v>5778.5591586632281</v>
      </c>
      <c r="R59" s="56">
        <f>2317.66654041695*Deflactores!$O$5</f>
        <v>4537.421279819866</v>
      </c>
      <c r="S59" s="56">
        <f>1366.15685652527*Deflactores!$P$5</f>
        <v>2505.0100690260479</v>
      </c>
      <c r="T59" s="56">
        <f>960.89072230535*Deflactores!$Q$5</f>
        <v>1666.1056374456884</v>
      </c>
      <c r="U59" s="56">
        <f>920.363495242199*Deflactores!$R$5</f>
        <v>1533.1297458055355</v>
      </c>
      <c r="V59" s="56">
        <f>768.78475440922*Deflactores!$S$5</f>
        <v>1241.1628386169089</v>
      </c>
    </row>
    <row r="60" spans="3:22" x14ac:dyDescent="0.2">
      <c r="C60" s="88" t="s">
        <v>130</v>
      </c>
      <c r="D60" s="57">
        <f>20.777910023*Deflactores!$A$5</f>
        <v>77.541405985860962</v>
      </c>
      <c r="E60" s="57">
        <f>58.99255654247*Deflactores!$B$5</f>
        <v>204.51343146326838</v>
      </c>
      <c r="F60" s="57">
        <f>13.64579514761*Deflactores!$C$5</f>
        <v>44.215323560859851</v>
      </c>
      <c r="G60" s="57">
        <f>19.71005576198*Deflactores!$D$5</f>
        <v>59.971848103041232</v>
      </c>
      <c r="H60" s="57">
        <f>67.6349567456*Deflactores!$E$5</f>
        <v>195.07012257137987</v>
      </c>
      <c r="I60" s="57">
        <f>52.17338736896*Deflactores!$F$5</f>
        <v>143.50887001456167</v>
      </c>
      <c r="J60" s="57">
        <f>72.69782102248*Deflactores!$G$5</f>
        <v>191.3931845845301</v>
      </c>
      <c r="K60" s="57">
        <f>59.55076334925*Deflactores!$H$5</f>
        <v>148.33381904528477</v>
      </c>
      <c r="L60" s="57">
        <f>128.85491375329*Deflactores!$I$5</f>
        <v>298.08593535587835</v>
      </c>
      <c r="M60" s="57">
        <f>117.88778820045*Deflactores!$J$5</f>
        <v>267.36308906418952</v>
      </c>
      <c r="N60" s="57">
        <f>126.14423089435*Deflactores!$K$5</f>
        <v>277.29462313640437</v>
      </c>
      <c r="O60" s="57">
        <f>159.217122064419*Deflactores!$L$5</f>
        <v>337.42194584269032</v>
      </c>
      <c r="P60" s="57">
        <f>293.25471935746*Deflactores!$M$5</f>
        <v>606.67904743621057</v>
      </c>
      <c r="Q60" s="57">
        <f>346.04840091425*Deflactores!$N$5</f>
        <v>702.27337531638602</v>
      </c>
      <c r="R60" s="57">
        <f>312.98886697327*Deflactores!$O$5</f>
        <v>612.75525214068807</v>
      </c>
      <c r="S60" s="57">
        <f>400.464941900219*Deflactores!$P$5</f>
        <v>734.29980383326802</v>
      </c>
      <c r="T60" s="57">
        <f>341.40097011582*Deflactores!$Q$5</f>
        <v>591.9612581696249</v>
      </c>
      <c r="U60" s="57">
        <f>527.29201561002*Deflactores!$R$5</f>
        <v>878.35629948006738</v>
      </c>
      <c r="V60" s="57">
        <f>527.58570957124*Deflactores!$S$5</f>
        <v>851.75957659092603</v>
      </c>
    </row>
    <row r="61" spans="3:22" x14ac:dyDescent="0.2">
      <c r="C61" s="87" t="s">
        <v>131</v>
      </c>
      <c r="D61" s="56">
        <f>99.424475219*Deflactores!$A$5</f>
        <v>371.04374739103429</v>
      </c>
      <c r="E61" s="56">
        <f>109.69989959829*Deflactores!$B$5</f>
        <v>380.30396058307451</v>
      </c>
      <c r="F61" s="56">
        <f>123.526102373839*Deflactores!$C$5</f>
        <v>400.25125143607255</v>
      </c>
      <c r="G61" s="56">
        <f>121.175296792*Deflactores!$D$5</f>
        <v>368.70045325131724</v>
      </c>
      <c r="H61" s="56">
        <f>264.65579382517*Deflactores!$E$5</f>
        <v>763.3099897570396</v>
      </c>
      <c r="I61" s="56">
        <f>470.056424369879*Deflactores!$F$5</f>
        <v>1292.9439644652932</v>
      </c>
      <c r="J61" s="56">
        <f>475.62310579036*Deflactores!$G$5</f>
        <v>1252.183622546992</v>
      </c>
      <c r="K61" s="56">
        <f>618.653069262509*Deflactores!$H$5</f>
        <v>1540.9906988027012</v>
      </c>
      <c r="L61" s="56">
        <f>793.012999575399*Deflactores!$I$5</f>
        <v>1834.5130569129578</v>
      </c>
      <c r="M61" s="56">
        <f>899.55068405228*Deflactores!$J$5</f>
        <v>2040.1320045896348</v>
      </c>
      <c r="N61" s="56">
        <f>959.18785309871*Deflactores!$K$5</f>
        <v>2108.5200040958566</v>
      </c>
      <c r="O61" s="56">
        <f>923.96373155706*Deflactores!$L$5</f>
        <v>1958.1162889247332</v>
      </c>
      <c r="P61" s="56">
        <f>1088.11515320219*Deflactores!$M$5</f>
        <v>2251.0691936757676</v>
      </c>
      <c r="Q61" s="56">
        <f>1472.27276630141*Deflactores!$N$5</f>
        <v>2987.842054016864</v>
      </c>
      <c r="R61" s="56">
        <f>1890.5518975455*Deflactores!$O$5</f>
        <v>3701.2358166863592</v>
      </c>
      <c r="S61" s="56">
        <f>2448.0112399168*Deflactores!$P$5</f>
        <v>4488.7179504977248</v>
      </c>
      <c r="T61" s="56">
        <f>2568.27857323365*Deflactores!$Q$5</f>
        <v>4453.1842279935909</v>
      </c>
      <c r="U61" s="56">
        <f>3237.15191288646*Deflactores!$R$5</f>
        <v>5392.406277512654</v>
      </c>
      <c r="V61" s="56">
        <f>3413.6247766772*Deflactores!$S$5</f>
        <v>5511.1189360792459</v>
      </c>
    </row>
    <row r="62" spans="3:22" x14ac:dyDescent="0.2">
      <c r="C62" s="88" t="s">
        <v>132</v>
      </c>
      <c r="D62" s="57">
        <f>0*Deflactores!$A$5</f>
        <v>0</v>
      </c>
      <c r="E62" s="57">
        <f>0*Deflactores!$B$5</f>
        <v>0</v>
      </c>
      <c r="F62" s="57">
        <f>0*Deflactores!$C$5</f>
        <v>0</v>
      </c>
      <c r="G62" s="57">
        <f>0*Deflactores!$D$5</f>
        <v>0</v>
      </c>
      <c r="H62" s="57">
        <f>2*Deflactores!$E$5</f>
        <v>5.7683225349019001</v>
      </c>
      <c r="I62" s="57">
        <f>7.114266017*Deflactores!$F$5</f>
        <v>19.568602472801597</v>
      </c>
      <c r="J62" s="57">
        <f>1.1967085*Deflactores!$G$5</f>
        <v>3.1506013194473961</v>
      </c>
      <c r="K62" s="57">
        <f>3.01051064264*Deflactores!$H$5</f>
        <v>7.4988214387832848</v>
      </c>
      <c r="L62" s="57">
        <f>2.758*Deflactores!$I$5</f>
        <v>6.3802068990987282</v>
      </c>
      <c r="M62" s="57">
        <f>0.55841199934*Deflactores!$J$5</f>
        <v>1.2664480298857848</v>
      </c>
      <c r="N62" s="57">
        <f>2.35854278671*Deflactores!$K$5</f>
        <v>5.184630549926541</v>
      </c>
      <c r="O62" s="57">
        <f>3.49427210056*Deflactores!$L$5</f>
        <v>7.4052594104655451</v>
      </c>
      <c r="P62" s="57">
        <f>9.22299242554*Deflactores!$M$5</f>
        <v>19.080328089852625</v>
      </c>
      <c r="Q62" s="57">
        <f>6.77195395508*Deflactores!$N$5</f>
        <v>13.743057182049075</v>
      </c>
      <c r="R62" s="57">
        <f>8.19544139536*Deflactores!$O$5</f>
        <v>16.044659374567861</v>
      </c>
      <c r="S62" s="57">
        <f>8.38615291393*Deflactores!$P$5</f>
        <v>15.377002567053472</v>
      </c>
      <c r="T62" s="57">
        <f>14.76139661105*Deflactores!$Q$5</f>
        <v>25.595050029452398</v>
      </c>
      <c r="U62" s="57">
        <f>19.89336937759*Deflactores!$R$5</f>
        <v>33.138120421708123</v>
      </c>
      <c r="V62" s="57">
        <f>19.62933852681*Deflactores!$S$5</f>
        <v>31.690541970788541</v>
      </c>
    </row>
    <row r="63" spans="3:22" x14ac:dyDescent="0.2">
      <c r="C63" s="87" t="s">
        <v>133</v>
      </c>
      <c r="D63" s="56">
        <f>19.1010561143*Deflactores!$A$5</f>
        <v>71.283528770609124</v>
      </c>
      <c r="E63" s="56">
        <f>31.40879010143*Deflactores!$B$5</f>
        <v>108.88694808689225</v>
      </c>
      <c r="F63" s="56">
        <f>18.17713100576*Deflactores!$C$5</f>
        <v>58.897830440359648</v>
      </c>
      <c r="G63" s="56">
        <f>28.331641808*Deflactores!$D$5</f>
        <v>86.204774838671639</v>
      </c>
      <c r="H63" s="56">
        <f>38.50665057368*Deflactores!$E$5</f>
        <v>111.05939012387576</v>
      </c>
      <c r="I63" s="56">
        <f>44.12831130191*Deflactores!$F$5</f>
        <v>121.37996802476255</v>
      </c>
      <c r="J63" s="56">
        <f>49.3477782746*Deflactores!$G$5</f>
        <v>129.91900311876478</v>
      </c>
      <c r="K63" s="56">
        <f>70.1679892061399*Deflactores!$H$5</f>
        <v>174.78005701846536</v>
      </c>
      <c r="L63" s="56">
        <f>75.79614864572*Deflactores!$I$5</f>
        <v>175.34267966444361</v>
      </c>
      <c r="M63" s="56">
        <f>85.38424177695*Deflactores!$J$5</f>
        <v>193.6468143763328</v>
      </c>
      <c r="N63" s="56">
        <f>88.17141688894*Deflactores!$K$5</f>
        <v>193.82146646166208</v>
      </c>
      <c r="O63" s="56">
        <f>112.376240826*Deflactores!$L$5</f>
        <v>238.15409645863372</v>
      </c>
      <c r="P63" s="56">
        <f>122.44791439944*Deflactores!$M$5</f>
        <v>253.3176080888642</v>
      </c>
      <c r="Q63" s="56">
        <f>145.82184665841*Deflactores!$N$5</f>
        <v>295.93201464625821</v>
      </c>
      <c r="R63" s="56">
        <f>139.16425978375*Deflactores!$O$5</f>
        <v>272.44940664310121</v>
      </c>
      <c r="S63" s="56">
        <f>125.52180336825*Deflactores!$P$5</f>
        <v>230.15906249558674</v>
      </c>
      <c r="T63" s="56">
        <f>165.83417220908*Deflactores!$Q$5</f>
        <v>287.54284205783614</v>
      </c>
      <c r="U63" s="56">
        <f>160.89029154666*Deflactores!$R$5</f>
        <v>268.00899107433401</v>
      </c>
      <c r="V63" s="56">
        <f>113.17003312776*Deflactores!$S$5</f>
        <v>182.70710853411745</v>
      </c>
    </row>
    <row r="64" spans="3:22" x14ac:dyDescent="0.2">
      <c r="C64" s="88" t="s">
        <v>134</v>
      </c>
      <c r="D64" s="57">
        <f>861.58858302593*Deflactores!$A$5</f>
        <v>3215.375850373915</v>
      </c>
      <c r="E64" s="57">
        <f>1741.36638585276*Deflactores!$B$5</f>
        <v>6036.9110253621602</v>
      </c>
      <c r="F64" s="57">
        <f>981.04630662233*Deflactores!$C$5</f>
        <v>3178.8019244221309</v>
      </c>
      <c r="G64" s="57">
        <f>1290.40359949958*Deflactores!$D$5</f>
        <v>3926.3150543736642</v>
      </c>
      <c r="H64" s="57">
        <f>1384.61525435362*Deflactores!$E$5</f>
        <v>3993.4536869284561</v>
      </c>
      <c r="I64" s="57">
        <f>1652.47901847495*Deflactores!$F$5</f>
        <v>4545.3325655676936</v>
      </c>
      <c r="J64" s="57">
        <f>841.52576368015*Deflactores!$G$5</f>
        <v>2215.5037600214741</v>
      </c>
      <c r="K64" s="57">
        <f>776.521754038009*Deflactores!$H$5</f>
        <v>1934.2226844796917</v>
      </c>
      <c r="L64" s="57">
        <f>874.246293897039*Deflactores!$I$5</f>
        <v>2022.433733079544</v>
      </c>
      <c r="M64" s="57">
        <f>954.02669478836*Deflactores!$J$5</f>
        <v>2163.6806327607478</v>
      </c>
      <c r="N64" s="57">
        <f>789.88917436802*Deflactores!$K$5</f>
        <v>1736.3617770942876</v>
      </c>
      <c r="O64" s="57">
        <f>1342.99154514663*Deflactores!$L$5</f>
        <v>2846.1437723407125</v>
      </c>
      <c r="P64" s="57">
        <f>2049.59604465662*Deflactores!$M$5</f>
        <v>4240.1601540318798</v>
      </c>
      <c r="Q64" s="57">
        <f>1823.58339900579*Deflactores!$N$5</f>
        <v>3700.794644354005</v>
      </c>
      <c r="R64" s="57">
        <f>2006.54068005587*Deflactores!$O$5</f>
        <v>3928.3133365992417</v>
      </c>
      <c r="S64" s="57">
        <f>2606.73889683716*Deflactores!$P$5</f>
        <v>4779.7638702391223</v>
      </c>
      <c r="T64" s="57">
        <f>1393.94596669665*Deflactores!$Q$5</f>
        <v>2416.9878837376691</v>
      </c>
      <c r="U64" s="57">
        <f>1428.2776986594*Deflactores!$R$5</f>
        <v>2379.2067334321637</v>
      </c>
      <c r="V64" s="57">
        <f>1336.98498892648*Deflactores!$S$5</f>
        <v>2158.4924447667804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>
        <f>0*Deflactores!$O$5</f>
        <v>0</v>
      </c>
      <c r="S65" s="56"/>
      <c r="T65" s="56"/>
      <c r="U65" s="56"/>
      <c r="V65" s="56"/>
    </row>
    <row r="66" spans="3:22" x14ac:dyDescent="0.2">
      <c r="C66" s="88" t="s">
        <v>136</v>
      </c>
      <c r="D66" s="57">
        <f>33.51855518542*Deflactores!$A$5</f>
        <v>125.08841807549959</v>
      </c>
      <c r="E66" s="57">
        <f>138.63791861612*Deflactores!$B$5</f>
        <v>480.62532171657762</v>
      </c>
      <c r="F66" s="57">
        <f>97.73172289339*Deflactores!$C$5</f>
        <v>316.67189072879921</v>
      </c>
      <c r="G66" s="57">
        <f>86.00048478234*Deflactores!$D$5</f>
        <v>261.67394310995542</v>
      </c>
      <c r="H66" s="57">
        <f>215.172174706989*Deflactores!$E$5</f>
        <v>620.59125212308663</v>
      </c>
      <c r="I66" s="57">
        <f>435.269761751489*Deflactores!$F$5</f>
        <v>1197.2592697254422</v>
      </c>
      <c r="J66" s="57">
        <f>1098.0265489335*Deflactores!$G$5</f>
        <v>2890.7991326694478</v>
      </c>
      <c r="K66" s="57">
        <f>1420.59279148005*Deflactores!$H$5</f>
        <v>3538.5264976807657</v>
      </c>
      <c r="L66" s="57">
        <f>2077.28339574255*Deflactores!$I$5</f>
        <v>4805.4742033719549</v>
      </c>
      <c r="M66" s="57">
        <f>1983.83376491108*Deflactores!$J$5</f>
        <v>4499.2270333768365</v>
      </c>
      <c r="N66" s="57">
        <f>2920.58595480099*Deflactores!$K$5</f>
        <v>6420.1333341379941</v>
      </c>
      <c r="O66" s="57">
        <f>2865.19534301589*Deflactores!$L$5</f>
        <v>6072.0843042790248</v>
      </c>
      <c r="P66" s="57">
        <f>4255.57283750492*Deflactores!$M$5</f>
        <v>8803.8374318739516</v>
      </c>
      <c r="Q66" s="57">
        <f>4865.47020415373*Deflactores!$N$5</f>
        <v>9874.0239045897033</v>
      </c>
      <c r="R66" s="57">
        <f>7358.22494047452*Deflactores!$O$5</f>
        <v>14405.595388456504</v>
      </c>
      <c r="S66" s="57">
        <f>8405.2633582762*Deflactores!$P$5</f>
        <v>15412.043825516685</v>
      </c>
      <c r="T66" s="57">
        <f>7227.98690576446*Deflactores!$Q$5</f>
        <v>12532.735982907028</v>
      </c>
      <c r="U66" s="57">
        <f>7610.49497318583*Deflactores!$R$5</f>
        <v>12677.465244994564</v>
      </c>
      <c r="V66" s="57">
        <f>7361.65231787757*Deflactores!$S$5</f>
        <v>11885.003227969957</v>
      </c>
    </row>
    <row r="67" spans="3:22" x14ac:dyDescent="0.2">
      <c r="C67" s="87" t="s">
        <v>137</v>
      </c>
      <c r="D67" s="56">
        <f>15.40921231487*Deflactores!$A$5</f>
        <v>57.505879403030811</v>
      </c>
      <c r="E67" s="56">
        <f>22.53521359798*Deflactores!$B$5</f>
        <v>78.124328420360229</v>
      </c>
      <c r="F67" s="56">
        <f>30.213601169*Deflactores!$C$5</f>
        <v>97.898593462330112</v>
      </c>
      <c r="G67" s="56">
        <f>18.6628678595499*Deflactores!$D$5</f>
        <v>56.785566208241988</v>
      </c>
      <c r="H67" s="56">
        <f>48.99903775582*Deflactores!$E$5</f>
        <v>141.32112683770276</v>
      </c>
      <c r="I67" s="56">
        <f>139.25990758784*Deflactores!$F$5</f>
        <v>383.05030560758797</v>
      </c>
      <c r="J67" s="56">
        <f>40.02939212704*Deflactores!$G$5</f>
        <v>105.38627882406571</v>
      </c>
      <c r="K67" s="56">
        <f>79.99118788793*Deflactores!$H$5</f>
        <v>199.24846839994404</v>
      </c>
      <c r="L67" s="56">
        <f>87.08348911109*Deflactores!$I$5</f>
        <v>201.45419797830507</v>
      </c>
      <c r="M67" s="56">
        <f>74.24212829038*Deflactores!$J$5</f>
        <v>168.3771072595294</v>
      </c>
      <c r="N67" s="56">
        <f>104.17793351069*Deflactores!$K$5</f>
        <v>229.00754641859777</v>
      </c>
      <c r="O67" s="56">
        <f>129.340234307469*Deflactores!$L$5</f>
        <v>274.10515257346572</v>
      </c>
      <c r="P67" s="56">
        <f>161.803760222959*Deflactores!$M$5</f>
        <v>334.73613430243557</v>
      </c>
      <c r="Q67" s="56">
        <f>202.86806681298*Deflactores!$N$5</f>
        <v>411.70206724915636</v>
      </c>
      <c r="R67" s="56">
        <f>398.035031673199*Deflactores!$O$5</f>
        <v>779.25473373008924</v>
      </c>
      <c r="S67" s="56">
        <f>212.33099441312*Deflactores!$P$5</f>
        <v>389.33397466818678</v>
      </c>
      <c r="T67" s="56">
        <f>161.519508798299*Deflactores!$Q$5</f>
        <v>280.06156987411066</v>
      </c>
      <c r="U67" s="56">
        <f>182.96576209382*Deflactores!$R$5</f>
        <v>304.78202773155016</v>
      </c>
      <c r="V67" s="56">
        <f>412.321144302499*Deflactores!$S$5</f>
        <v>665.67095529557787</v>
      </c>
    </row>
    <row r="68" spans="3:22" x14ac:dyDescent="0.2">
      <c r="C68" s="88" t="s">
        <v>138</v>
      </c>
      <c r="D68" s="57">
        <f>6.976741362*Deflactores!$A$5</f>
        <v>26.036609736510968</v>
      </c>
      <c r="E68" s="57">
        <f>17.98057369246*Deflactores!$B$5</f>
        <v>62.334454396391855</v>
      </c>
      <c r="F68" s="57">
        <f>0.20713626815*Deflactores!$C$5</f>
        <v>0.67116624706515293</v>
      </c>
      <c r="G68" s="57">
        <f>23.780309356*Deflactores!$D$5</f>
        <v>72.356421400509348</v>
      </c>
      <c r="H68" s="57">
        <f>0*Deflactores!$E$5</f>
        <v>0</v>
      </c>
      <c r="I68" s="57">
        <f>0*Deflactores!$F$5</f>
        <v>0</v>
      </c>
      <c r="J68" s="57">
        <f>0*Deflactores!$G$5</f>
        <v>0</v>
      </c>
      <c r="K68" s="57">
        <f>0*Deflactores!$H$5</f>
        <v>0</v>
      </c>
      <c r="L68" s="57">
        <f>41.51245946219*Deflactores!$I$5</f>
        <v>96.032661442792218</v>
      </c>
      <c r="M68" s="57">
        <f>2.9899*Deflactores!$J$5</f>
        <v>6.7809305119354919</v>
      </c>
      <c r="N68" s="57">
        <f>9.591098789*Deflactores!$K$5</f>
        <v>21.08348598508044</v>
      </c>
      <c r="O68" s="57">
        <f>0*Deflactores!$L$5</f>
        <v>0</v>
      </c>
      <c r="P68" s="57">
        <f>60.01099712731*Deflactores!$M$5</f>
        <v>124.14945837074539</v>
      </c>
      <c r="Q68" s="57">
        <f>32.47919553503*Deflactores!$N$5</f>
        <v>65.913537573602312</v>
      </c>
      <c r="R68" s="57">
        <f>19.08622883591*Deflactores!$O$5</f>
        <v>37.366143645491711</v>
      </c>
      <c r="S68" s="57">
        <f>16.82887569798*Deflactores!$P$5</f>
        <v>30.857732677234402</v>
      </c>
      <c r="T68" s="57">
        <f>10.5742991878899*Deflactores!$Q$5</f>
        <v>18.334966796965439</v>
      </c>
      <c r="U68" s="57">
        <f>8.47548850454999*Deflactores!$R$5</f>
        <v>14.118360412739982</v>
      </c>
      <c r="V68" s="57">
        <f>7.03642349455999*Deflactores!$S$5</f>
        <v>11.359938276780749</v>
      </c>
    </row>
    <row r="69" spans="3:22" x14ac:dyDescent="0.2">
      <c r="C69" s="87" t="s">
        <v>139</v>
      </c>
      <c r="D69" s="56">
        <f>55.36459150445*Deflactores!$A$5</f>
        <v>206.6159812192727</v>
      </c>
      <c r="E69" s="56">
        <f>102.82566501807*Deflactores!$B$5</f>
        <v>356.47259294820799</v>
      </c>
      <c r="F69" s="56">
        <f>48.59989571413*Deflactores!$C$5</f>
        <v>157.47415894636723</v>
      </c>
      <c r="G69" s="56">
        <f>43.4893480909*Deflactores!$D$5</f>
        <v>132.32517499208421</v>
      </c>
      <c r="H69" s="56">
        <f>101.02952123466*Deflactores!$E$5</f>
        <v>291.38543201411966</v>
      </c>
      <c r="I69" s="56">
        <f>71.5925937668*Deflactores!$F$5</f>
        <v>196.92361855342224</v>
      </c>
      <c r="J69" s="56">
        <f>149.09245059344*Deflactores!$G$5</f>
        <v>392.51903998286781</v>
      </c>
      <c r="K69" s="56">
        <f>258.75655691835*Deflactores!$H$5</f>
        <v>644.53159173804045</v>
      </c>
      <c r="L69" s="56">
        <f>487.16309497873*Deflactores!$I$5</f>
        <v>1126.9765553189202</v>
      </c>
      <c r="M69" s="56">
        <f>410.70882542095*Deflactores!$J$5</f>
        <v>931.46526834278984</v>
      </c>
      <c r="N69" s="56">
        <f>191.17987524425*Deflactores!$K$5</f>
        <v>420.25823203535475</v>
      </c>
      <c r="O69" s="56">
        <f>3743.3923314154*Deflactores!$L$5</f>
        <v>7933.2091180981151</v>
      </c>
      <c r="P69" s="56">
        <f>154.59855419909*Deflactores!$M$5</f>
        <v>319.83015926230604</v>
      </c>
      <c r="Q69" s="56">
        <f>331.921173618399*Deflactores!$N$5</f>
        <v>673.60346795456144</v>
      </c>
      <c r="R69" s="56">
        <f>354.967127632319*Deflactores!$O$5</f>
        <v>694.93836601086878</v>
      </c>
      <c r="S69" s="56">
        <f>345.17542170455*Deflactores!$P$5</f>
        <v>632.91993362272899</v>
      </c>
      <c r="T69" s="56">
        <f>398.1072460012*Deflactores!$Q$5</f>
        <v>690.28528580151931</v>
      </c>
      <c r="U69" s="56">
        <f>431.2875060202*Deflactores!$R$5</f>
        <v>718.43321458534035</v>
      </c>
      <c r="V69" s="56">
        <f>237.59622170355*Deflactores!$S$5</f>
        <v>383.58669222160347</v>
      </c>
    </row>
    <row r="70" spans="3:22" x14ac:dyDescent="0.2">
      <c r="C70" s="88" t="s">
        <v>140</v>
      </c>
      <c r="D70" s="57">
        <f>219.46698163615*Deflactores!$A$5</f>
        <v>819.03224649170477</v>
      </c>
      <c r="E70" s="57">
        <f>361.18454247233*Deflactores!$B$5</f>
        <v>1252.1425498711574</v>
      </c>
      <c r="F70" s="57">
        <f>232.63090600464*Deflactores!$C$5</f>
        <v>753.77438016520807</v>
      </c>
      <c r="G70" s="57">
        <f>334.595588163*Deflactores!$D$5</f>
        <v>1018.0750390349676</v>
      </c>
      <c r="H70" s="57">
        <f>619.353883818*Deflactores!$E$5</f>
        <v>1786.3164825531912</v>
      </c>
      <c r="I70" s="57">
        <f>598.27169132421*Deflactores!$F$5</f>
        <v>1645.6147226261542</v>
      </c>
      <c r="J70" s="57">
        <f>554.872970992919*Deflactores!$G$5</f>
        <v>1460.8265208578259</v>
      </c>
      <c r="K70" s="57">
        <f>2312.74420682185*Deflactores!$H$5</f>
        <v>5760.7688193817858</v>
      </c>
      <c r="L70" s="57">
        <f>1447.29405972253*Deflactores!$I$5</f>
        <v>3348.0912055352765</v>
      </c>
      <c r="M70" s="57">
        <f>6116.0150536541*Deflactores!$J$5</f>
        <v>13870.789353750919</v>
      </c>
      <c r="N70" s="57">
        <f>1074.98448658375*Deflactores!$K$5</f>
        <v>2363.0681797440284</v>
      </c>
      <c r="O70" s="57">
        <f>1652.35286708225*Deflactores!$L$5</f>
        <v>3501.7598132697135</v>
      </c>
      <c r="P70" s="57">
        <f>2019.85289872824*Deflactores!$M$5</f>
        <v>4178.6281743279469</v>
      </c>
      <c r="Q70" s="57">
        <f>2623.8575613442*Deflactores!$N$5</f>
        <v>5324.8773902331104</v>
      </c>
      <c r="R70" s="57">
        <f>2237.311642446*Deflactores!$O$5</f>
        <v>4380.106145121692</v>
      </c>
      <c r="S70" s="57">
        <f>2468.82002595136*Deflactores!$P$5</f>
        <v>4526.8733191816409</v>
      </c>
      <c r="T70" s="57">
        <f>2404.90778839495*Deflactores!$Q$5</f>
        <v>4169.9126974280289</v>
      </c>
      <c r="U70" s="57">
        <f>2959.67941433577*Deflactores!$R$5</f>
        <v>4930.1961362259235</v>
      </c>
      <c r="V70" s="57">
        <f>3263.83068956039*Deflactores!$S$5</f>
        <v>5269.2842049563587</v>
      </c>
    </row>
    <row r="71" spans="3:22" x14ac:dyDescent="0.2">
      <c r="C71" s="87" t="s">
        <v>141</v>
      </c>
      <c r="D71" s="56">
        <f>5.64863593475*Deflactores!$A$5</f>
        <v>21.080232410185992</v>
      </c>
      <c r="E71" s="56">
        <f>20.0888766262399*Deflactores!$B$5</f>
        <v>69.643448832681301</v>
      </c>
      <c r="F71" s="56">
        <f>17.040597778*Deflactores!$C$5</f>
        <v>55.215217308659632</v>
      </c>
      <c r="G71" s="56">
        <f>12.34781983744*Deflactores!$D$5</f>
        <v>37.570749907420904</v>
      </c>
      <c r="H71" s="56">
        <f>22.2047966701899*Deflactores!$E$5</f>
        <v>64.04221450778553</v>
      </c>
      <c r="I71" s="56">
        <f>23.7869984367499*Deflactores!$F$5</f>
        <v>65.42886016879622</v>
      </c>
      <c r="J71" s="56">
        <f>30.1996308465999*Deflactores!$G$5</f>
        <v>79.507245742903919</v>
      </c>
      <c r="K71" s="56">
        <f>37.21121188987*Deflactores!$H$5</f>
        <v>92.68867199159493</v>
      </c>
      <c r="L71" s="56">
        <f>45.32734943506*Deflactores!$I$5</f>
        <v>104.8578200084948</v>
      </c>
      <c r="M71" s="56">
        <f>58.31524640694*Deflactores!$J$5</f>
        <v>132.25580577004447</v>
      </c>
      <c r="N71" s="56">
        <f>70.8266128051599*Deflactores!$K$5</f>
        <v>155.69351659279499</v>
      </c>
      <c r="O71" s="56">
        <f>73.46044401012*Deflactores!$L$5</f>
        <v>155.68153499429445</v>
      </c>
      <c r="P71" s="56">
        <f>74.28506358539*Deflactores!$M$5</f>
        <v>153.67933963166175</v>
      </c>
      <c r="Q71" s="56">
        <f>95.27540191069*Deflactores!$N$5</f>
        <v>193.3526579162708</v>
      </c>
      <c r="R71" s="56">
        <f>73.0700691745*Deflactores!$O$5</f>
        <v>143.05323091502194</v>
      </c>
      <c r="S71" s="56">
        <f>153.2975827367*Deflactores!$P$5</f>
        <v>281.08923691932154</v>
      </c>
      <c r="T71" s="56">
        <f>87.6501313463999*Deflactores!$Q$5</f>
        <v>151.97813296472376</v>
      </c>
      <c r="U71" s="56">
        <f>214.37124976986*Deflactores!$R$5</f>
        <v>357.0968876608822</v>
      </c>
      <c r="V71" s="56">
        <f>218.45234918743*Deflactores!$S$5</f>
        <v>352.6799097731315</v>
      </c>
    </row>
    <row r="72" spans="3:22" x14ac:dyDescent="0.2">
      <c r="C72" s="88" t="s">
        <v>142</v>
      </c>
      <c r="D72" s="57">
        <f>318.10798131315*Deflactores!$A$5</f>
        <v>1187.1521293066116</v>
      </c>
      <c r="E72" s="57">
        <f>1022.83150860517*Deflactores!$B$5</f>
        <v>3545.9182292430351</v>
      </c>
      <c r="F72" s="57">
        <f>811.92508892651*Deflactores!$C$5</f>
        <v>2630.8126514967648</v>
      </c>
      <c r="G72" s="57">
        <f>364.0211898864*Deflactores!$D$5</f>
        <v>1107.6084091180899</v>
      </c>
      <c r="H72" s="57">
        <f>232.3155134236*Deflactores!$E$5</f>
        <v>670.03540564432842</v>
      </c>
      <c r="I72" s="57">
        <f>126.20888414071*Deflactores!$F$5</f>
        <v>347.15197272407926</v>
      </c>
      <c r="J72" s="57">
        <f>224.06681407523*Deflactores!$G$5</f>
        <v>589.90572898061146</v>
      </c>
      <c r="K72" s="57">
        <f>345.60666410874*Deflactores!$H$5</f>
        <v>860.86480662041777</v>
      </c>
      <c r="L72" s="57">
        <f>545.00926632428*Deflactores!$I$5</f>
        <v>1260.7947357051876</v>
      </c>
      <c r="M72" s="57">
        <f>1018.08438016179*Deflactores!$J$5</f>
        <v>2308.95997764608</v>
      </c>
      <c r="N72" s="57">
        <f>799.51100983529*Deflactores!$K$5</f>
        <v>1757.5128295115142</v>
      </c>
      <c r="O72" s="57">
        <f>775.02236804989*Deflactores!$L$5</f>
        <v>1642.4713128101716</v>
      </c>
      <c r="P72" s="57">
        <f>855.36378436331*Deflactores!$M$5</f>
        <v>1769.5581747021056</v>
      </c>
      <c r="Q72" s="57">
        <f>412.401456028499*Deflactores!$N$5</f>
        <v>836.93079276009416</v>
      </c>
      <c r="R72" s="57">
        <f>250.70895280581*Deflactores!$O$5</f>
        <v>490.82649193260852</v>
      </c>
      <c r="S72" s="57">
        <f>218.83972360682*Deflactores!$P$5</f>
        <v>401.26849894254536</v>
      </c>
      <c r="T72" s="57">
        <f>365.19623246981*Deflactores!$Q$5</f>
        <v>633.22028984948702</v>
      </c>
      <c r="U72" s="57">
        <f>342.14897024862*Deflactores!$R$5</f>
        <v>569.94738111255901</v>
      </c>
      <c r="V72" s="57">
        <f>288.44382243044*Deflactores!$S$5</f>
        <v>465.67748823842038</v>
      </c>
    </row>
    <row r="73" spans="3:22" x14ac:dyDescent="0.2">
      <c r="C73" s="87" t="s">
        <v>143</v>
      </c>
      <c r="D73" s="56">
        <f>718.83400763482*Deflactores!$A$5</f>
        <v>2682.6278273779517</v>
      </c>
      <c r="E73" s="56">
        <f>722.37718287329*Deflactores!$B$5</f>
        <v>2504.313173371751</v>
      </c>
      <c r="F73" s="56">
        <f>932.78088231035*Deflactores!$C$5</f>
        <v>3022.4115250594259</v>
      </c>
      <c r="G73" s="56">
        <f>758.92303201324*Deflactores!$D$5</f>
        <v>2309.1774750628792</v>
      </c>
      <c r="H73" s="56">
        <f>633.89435920078*Deflactores!$E$5</f>
        <v>1828.2535584625293</v>
      </c>
      <c r="I73" s="56">
        <f>551.2099915281*Deflactores!$F$5</f>
        <v>1516.1661340010201</v>
      </c>
      <c r="J73" s="56">
        <f>48.00364836342*Deflactores!$G$5</f>
        <v>126.38028214229271</v>
      </c>
      <c r="K73" s="56">
        <f>132.29978147938*Deflactores!$H$5</f>
        <v>329.54290998085463</v>
      </c>
      <c r="L73" s="56">
        <f>82.8717276501*Deflactores!$I$5</f>
        <v>191.71093854002859</v>
      </c>
      <c r="M73" s="56">
        <f>48.50818394186*Deflactores!$J$5</f>
        <v>110.01392172645832</v>
      </c>
      <c r="N73" s="56">
        <f>47.92771045118*Deflactores!$K$5</f>
        <v>105.35635528573292</v>
      </c>
      <c r="O73" s="56">
        <f>66.8277242546*Deflactores!$L$5</f>
        <v>141.62509949842291</v>
      </c>
      <c r="P73" s="56">
        <f>382.216795287749*Deflactores!$M$5</f>
        <v>790.72187410099696</v>
      </c>
      <c r="Q73" s="56">
        <f>125.762035803839*Deflactores!$N$5</f>
        <v>255.22247505633618</v>
      </c>
      <c r="R73" s="56">
        <f>122.41872268299*Deflactores!$O$5</f>
        <v>239.66576194789312</v>
      </c>
      <c r="S73" s="56">
        <f>136.3901192927*Deflactores!$P$5</f>
        <v>250.08740432109937</v>
      </c>
      <c r="T73" s="56">
        <f>78.56124793909*Deflactores!$Q$5</f>
        <v>136.21875520043986</v>
      </c>
      <c r="U73" s="56">
        <f>62.6304179163499*Deflactores!$R$5</f>
        <v>104.3289495902047</v>
      </c>
      <c r="V73" s="56">
        <f>726.19727391496*Deflactores!$S$5</f>
        <v>1172.4075753567556</v>
      </c>
    </row>
    <row r="74" spans="3:22" x14ac:dyDescent="0.2">
      <c r="C74" s="88" t="s">
        <v>144</v>
      </c>
      <c r="D74" s="57">
        <f>15.2193574071399*Deflactores!$A$5</f>
        <v>56.797356916293118</v>
      </c>
      <c r="E74" s="57">
        <f>45.32678188888*Deflactores!$B$5</f>
        <v>157.13737875740898</v>
      </c>
      <c r="F74" s="57">
        <f>30.92432823204*Deflactores!$C$5</f>
        <v>100.20150265273206</v>
      </c>
      <c r="G74" s="57">
        <f>37.2056596771999*Deflactores!$D$5</f>
        <v>113.20577666951921</v>
      </c>
      <c r="H74" s="57">
        <f>67.48196439365*Deflactores!$E$5</f>
        <v>194.62886795566948</v>
      </c>
      <c r="I74" s="57">
        <f>68.95384151998*Deflactores!$F$5</f>
        <v>189.66542865458473</v>
      </c>
      <c r="J74" s="57">
        <f>80.74833162888*Deflactores!$G$5</f>
        <v>212.58794449368852</v>
      </c>
      <c r="K74" s="57">
        <f>87.14270982288*Deflactores!$H$5</f>
        <v>217.06205299458415</v>
      </c>
      <c r="L74" s="57">
        <f>95.53384608263*Deflactores!$I$5</f>
        <v>221.00279328275272</v>
      </c>
      <c r="M74" s="57">
        <f>86.6913067308*Deflactores!$J$5</f>
        <v>196.61116657093561</v>
      </c>
      <c r="N74" s="57">
        <f>132.322731976669*Deflactores!$K$5</f>
        <v>290.87641849099674</v>
      </c>
      <c r="O74" s="57">
        <f>179.644728939399*Deflactores!$L$5</f>
        <v>380.7132876989794</v>
      </c>
      <c r="P74" s="57">
        <f>108.201749797299*Deflactores!$M$5</f>
        <v>223.84544958657855</v>
      </c>
      <c r="Q74" s="57">
        <f>278.88190536155*Deflactores!$N$5</f>
        <v>565.96515538140625</v>
      </c>
      <c r="R74" s="57">
        <f>250.50582259173*Deflactores!$O$5</f>
        <v>490.42881291370395</v>
      </c>
      <c r="S74" s="57">
        <f>209.56169389352*Deflactores!$P$5</f>
        <v>384.25613484867932</v>
      </c>
      <c r="T74" s="57">
        <f>157.6644854495*Deflactores!$Q$5</f>
        <v>273.37727582815597</v>
      </c>
      <c r="U74" s="57">
        <f>230.93068023465*Deflactores!$R$5</f>
        <v>384.68137525780389</v>
      </c>
      <c r="V74" s="57">
        <f>214.92697770978*Deflactores!$S$5</f>
        <v>346.98838162395327</v>
      </c>
    </row>
    <row r="75" spans="3:22" x14ac:dyDescent="0.2">
      <c r="C75" s="87" t="s">
        <v>145</v>
      </c>
      <c r="D75" s="56">
        <f>24.325811986*Deflactores!$A$5</f>
        <v>90.78187657248327</v>
      </c>
      <c r="E75" s="56">
        <f>0*Deflactores!$B$5</f>
        <v>0</v>
      </c>
      <c r="F75" s="56">
        <f>10.4926*Deflactores!$C$5</f>
        <v>33.998290240780435</v>
      </c>
      <c r="G75" s="56">
        <f>5.234205173*Deflactores!$D$5</f>
        <v>15.926132394857056</v>
      </c>
      <c r="H75" s="56">
        <f>10*Deflactores!$E$5</f>
        <v>28.841612674509499</v>
      </c>
      <c r="I75" s="56">
        <f>54.690459181*Deflactores!$F$5</f>
        <v>150.43236395864611</v>
      </c>
      <c r="J75" s="56">
        <f>77.98032648*Deflactores!$G$5</f>
        <v>205.30055523030609</v>
      </c>
      <c r="K75" s="56">
        <f>82.525718539*Deflactores!$H$5</f>
        <v>205.56168068835177</v>
      </c>
      <c r="L75" s="56">
        <f>98.726422448*Deflactores!$I$5</f>
        <v>228.3883254626777</v>
      </c>
      <c r="M75" s="56">
        <f>104.918153958*Deflactores!$J$5</f>
        <v>237.94866431310336</v>
      </c>
      <c r="N75" s="56">
        <f>60.434590227*Deflactores!$K$5</f>
        <v>132.84941215769535</v>
      </c>
      <c r="O75" s="56">
        <f>42.363929773*Deflactores!$L$5</f>
        <v>89.780040187921514</v>
      </c>
      <c r="P75" s="56">
        <f>45.199365*Deflactores!$M$5</f>
        <v>93.507472831141101</v>
      </c>
      <c r="Q75" s="56">
        <f>46.3516336*Deflactores!$N$5</f>
        <v>94.066373645132373</v>
      </c>
      <c r="R75" s="56">
        <f>47.529700032*Deflactores!$O$5</f>
        <v>93.05146732189263</v>
      </c>
      <c r="S75" s="56">
        <f>49.885251471*Deflactores!$P$5</f>
        <v>91.470504747593012</v>
      </c>
      <c r="T75" s="56">
        <f>35.162183767*Deflactores!$Q$5</f>
        <v>60.968340352528969</v>
      </c>
      <c r="U75" s="56">
        <f>50.295496*Deflactores!$R$5</f>
        <v>83.781594333390544</v>
      </c>
      <c r="V75" s="56">
        <f>49.896445673*Deflactores!$S$5</f>
        <v>80.555205853406207</v>
      </c>
    </row>
    <row r="76" spans="3:22" x14ac:dyDescent="0.2">
      <c r="C76" s="88" t="s">
        <v>146</v>
      </c>
      <c r="D76" s="57">
        <f>0*Deflactores!$A$5</f>
        <v>0</v>
      </c>
      <c r="E76" s="57">
        <f>0*Deflactores!$B$5</f>
        <v>0</v>
      </c>
      <c r="F76" s="57">
        <f>0*Deflactores!$C$5</f>
        <v>0</v>
      </c>
      <c r="G76" s="57">
        <f>0*Deflactores!$D$5</f>
        <v>0</v>
      </c>
      <c r="H76" s="57">
        <f>1.86046955664*Deflactores!$E$5</f>
        <v>5.3658942345327292</v>
      </c>
      <c r="I76" s="57">
        <f>1.00402834921*Deflactores!$F$5</f>
        <v>2.7616948241975909</v>
      </c>
      <c r="J76" s="57">
        <f>1.96082205932999*Deflactores!$G$5</f>
        <v>5.1623002321172011</v>
      </c>
      <c r="K76" s="57">
        <f>1.90845864181*Deflactores!$H$5</f>
        <v>4.7537418986455329</v>
      </c>
      <c r="L76" s="57">
        <f>6.46691510307*Deflactores!$I$5</f>
        <v>14.96020897624836</v>
      </c>
      <c r="M76" s="57">
        <f>7.46237018448*Deflactores!$J$5</f>
        <v>16.924249531856624</v>
      </c>
      <c r="N76" s="57">
        <f>4.4124287392*Deflactores!$K$5</f>
        <v>9.6995538811240749</v>
      </c>
      <c r="O76" s="57">
        <f>3.65644287386*Deflactores!$L$5</f>
        <v>7.7489409013516832</v>
      </c>
      <c r="P76" s="57">
        <f>13.82591733092*Deflactores!$M$5</f>
        <v>28.602759998654953</v>
      </c>
      <c r="Q76" s="57">
        <f>15.4398285184599*Deflactores!$N$5</f>
        <v>31.333710715952403</v>
      </c>
      <c r="R76" s="57">
        <f>44.0926587177359*Deflactores!$O$5</f>
        <v>86.322585437030824</v>
      </c>
      <c r="S76" s="57">
        <f>32.102720879817*Deflactores!$P$5</f>
        <v>58.864133106656062</v>
      </c>
      <c r="T76" s="57">
        <f>60.28553626688*Deflactores!$Q$5</f>
        <v>104.53017132864666</v>
      </c>
      <c r="U76" s="57">
        <f>49.2473584113499*Deflactores!$R$5</f>
        <v>82.035620136061596</v>
      </c>
      <c r="V76" s="57">
        <f>58.3394641086*Deflactores!$S$5</f>
        <v>94.186018207479222</v>
      </c>
    </row>
    <row r="77" spans="3:22" x14ac:dyDescent="0.2">
      <c r="C77" s="90" t="s">
        <v>147</v>
      </c>
      <c r="D77" s="58">
        <f>597.07131979618*Deflactores!$A$5</f>
        <v>2228.2197564423159</v>
      </c>
      <c r="E77" s="58">
        <f>1133.73253047342*Deflactores!$B$5</f>
        <v>3930.3862005324368</v>
      </c>
      <c r="F77" s="58">
        <f>954.26999568777*Deflactores!$C$5</f>
        <v>3092.0408937213938</v>
      </c>
      <c r="G77" s="58">
        <f>1175.39528480148*Deflactores!$D$5</f>
        <v>3576.3788967618843</v>
      </c>
      <c r="H77" s="58">
        <f>1571.24315885272*Deflactores!$E$5</f>
        <v>4531.7186605102952</v>
      </c>
      <c r="I77" s="58">
        <f>1606.52801086515*Deflactores!$F$5</f>
        <v>4418.9390628518586</v>
      </c>
      <c r="J77" s="58">
        <f>2172.23391631723*Deflactores!$G$5</f>
        <v>5718.888971622956</v>
      </c>
      <c r="K77" s="58">
        <f>2473.03173740458*Deflactores!$H$5</f>
        <v>6160.0258602568729</v>
      </c>
      <c r="L77" s="58">
        <f>1726.70258820499*Deflactores!$I$5</f>
        <v>3994.4596685848828</v>
      </c>
      <c r="M77" s="58">
        <f>1959.84380743553*Deflactores!$J$5</f>
        <v>4444.8191151768997</v>
      </c>
      <c r="N77" s="58">
        <f>2359.8953462305*Deflactores!$K$5</f>
        <v>5187.6037931723667</v>
      </c>
      <c r="O77" s="58">
        <f>3563.09870421238*Deflactores!$L$5</f>
        <v>7551.1206484342447</v>
      </c>
      <c r="P77" s="58">
        <f>3820.44606671218*Deflactores!$M$5</f>
        <v>7903.656539996281</v>
      </c>
      <c r="Q77" s="58">
        <f>4836.80132428942*Deflactores!$N$5</f>
        <v>9815.8430519238409</v>
      </c>
      <c r="R77" s="58">
        <f>7267.82870355578*Deflactores!$O$5</f>
        <v>14228.621780796386</v>
      </c>
      <c r="S77" s="58">
        <f>7512.29984477692*Deflactores!$P$5</f>
        <v>13774.689679904201</v>
      </c>
      <c r="T77" s="58">
        <f>7411.97484807425*Deflactores!$Q$5</f>
        <v>12851.755972161291</v>
      </c>
      <c r="U77" s="58">
        <f>3504.0536629721*Deflactores!$R$5</f>
        <v>5837.0078011271562</v>
      </c>
      <c r="V77" s="58">
        <f>3660.66230100003*Deflactores!$S$5</f>
        <v>5909.9481183372072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20.4014959273*Deflactores!$S$5</f>
        <v>32.93714977037699</v>
      </c>
    </row>
    <row r="79" spans="3:22" x14ac:dyDescent="0.2">
      <c r="C79" s="87" t="s">
        <v>149</v>
      </c>
      <c r="D79" s="56">
        <f>1.4*Deflactores!$A$5</f>
        <v>5.2246818019732331</v>
      </c>
      <c r="E79" s="56">
        <f>9*Deflactores!$B$5</f>
        <v>31.200900436384938</v>
      </c>
      <c r="F79" s="56">
        <f>1.97282699538*Deflactores!$C$5</f>
        <v>6.392385565424779</v>
      </c>
      <c r="G79" s="56">
        <f>0.379426182659999*Deflactores!$D$5</f>
        <v>1.1544812286475421</v>
      </c>
      <c r="H79" s="56">
        <f>1.18604916086*Deflactores!$E$5</f>
        <v>3.4207570510451131</v>
      </c>
      <c r="I79" s="56">
        <f>3.97975123461999*Deflactores!$F$5</f>
        <v>10.946761010176596</v>
      </c>
      <c r="J79" s="56">
        <f>2.47133676066*Deflactores!$G$5</f>
        <v>6.506343741131821</v>
      </c>
      <c r="K79" s="56">
        <f>2.00386460649*Deflactores!$H$5</f>
        <v>4.9913867297904595</v>
      </c>
      <c r="L79" s="56">
        <f>2.15647255439*Deflactores!$I$5</f>
        <v>4.98866608746778</v>
      </c>
      <c r="M79" s="56">
        <f>3.38139765407*Deflactores!$J$5</f>
        <v>7.6688258889830294</v>
      </c>
      <c r="N79" s="56">
        <f>12.6106598777099*Deflactores!$K$5</f>
        <v>27.721189891115078</v>
      </c>
      <c r="O79" s="56">
        <f>21.16685130071*Deflactores!$L$5</f>
        <v>44.857990526664224</v>
      </c>
      <c r="P79" s="56">
        <f>10.440482841*Deflactores!$M$5</f>
        <v>21.59904603966897</v>
      </c>
      <c r="Q79" s="56">
        <f>7.61581647891*Deflactores!$N$5</f>
        <v>15.455598495193154</v>
      </c>
      <c r="R79" s="56">
        <f>9.0004156819*Deflactores!$O$5</f>
        <v>17.620601121907114</v>
      </c>
      <c r="S79" s="56">
        <f>10.9542433684*Deflactores!$P$5</f>
        <v>20.085899950168891</v>
      </c>
      <c r="T79" s="56">
        <f>13.71766981318*Deflactores!$Q$5</f>
        <v>23.785313436604184</v>
      </c>
      <c r="U79" s="56">
        <f>15.94363078064*Deflactores!$R$5</f>
        <v>26.558696354539165</v>
      </c>
      <c r="V79" s="56">
        <f>15.32345948355*Deflactores!$S$5</f>
        <v>24.738925116496841</v>
      </c>
    </row>
    <row r="80" spans="3:22" x14ac:dyDescent="0.2">
      <c r="C80" s="88" t="s">
        <v>150</v>
      </c>
      <c r="D80" s="57">
        <f>403.30809704587*Deflactores!$A$5</f>
        <v>1505.1117680171512</v>
      </c>
      <c r="E80" s="57">
        <f>785.94453023135*Deflactores!$B$5</f>
        <v>2724.6863373632982</v>
      </c>
      <c r="F80" s="57">
        <f>567.83045296122*Deflactores!$C$5</f>
        <v>1839.8933102690828</v>
      </c>
      <c r="G80" s="57">
        <f>338.132208813249*Deflactores!$D$5</f>
        <v>1028.8359257110947</v>
      </c>
      <c r="H80" s="57">
        <f>595.46185758951*Deflactores!$E$5</f>
        <v>1717.4080259040584</v>
      </c>
      <c r="I80" s="57">
        <f>1041.27247365135*Deflactores!$F$5</f>
        <v>2864.1390487878416</v>
      </c>
      <c r="J80" s="57">
        <f>1569.42598475235*Deflactores!$G$5</f>
        <v>4131.8630045126138</v>
      </c>
      <c r="K80" s="57">
        <f>2209.5773285366*Deflactores!$H$5</f>
        <v>5503.7924819789841</v>
      </c>
      <c r="L80" s="57">
        <f>1691.89294821801*Deflactores!$I$5</f>
        <v>3913.9329444369232</v>
      </c>
      <c r="M80" s="57">
        <f>2687.45920755256*Deflactores!$J$5</f>
        <v>6095.0112512375445</v>
      </c>
      <c r="N80" s="57">
        <f>2784.19118222846*Deflactores!$K$5</f>
        <v>6120.3056147874986</v>
      </c>
      <c r="O80" s="57">
        <f>4192.90741864326*Deflactores!$L$5</f>
        <v>8885.8469591256853</v>
      </c>
      <c r="P80" s="57">
        <f>6535.30921120401*Deflactores!$M$5</f>
        <v>13520.106941983922</v>
      </c>
      <c r="Q80" s="57">
        <f>7097.6354265043*Deflactores!$N$5</f>
        <v>14403.997748775826</v>
      </c>
      <c r="R80" s="57">
        <f>5870.60139993367*Deflactores!$O$5</f>
        <v>11493.194233458296</v>
      </c>
      <c r="S80" s="57">
        <f>5320.0642694273*Deflactores!$P$5</f>
        <v>9754.9666417346598</v>
      </c>
      <c r="T80" s="57">
        <f>4046.2031607634*Deflactores!$Q$5</f>
        <v>7015.7841468430724</v>
      </c>
      <c r="U80" s="57">
        <f>3885.84263791489*Deflactores!$R$5</f>
        <v>6472.9869953599327</v>
      </c>
      <c r="V80" s="57">
        <f>3120.84024262776*Deflactores!$S$5</f>
        <v>5038.4335956120231</v>
      </c>
    </row>
    <row r="81" spans="3:22" x14ac:dyDescent="0.2">
      <c r="C81" s="87" t="s">
        <v>151</v>
      </c>
      <c r="D81" s="56">
        <f>141.593552588*Deflactores!$A$5</f>
        <v>528.41518391661691</v>
      </c>
      <c r="E81" s="56">
        <f>149.3276983725*Deflactores!$B$5</f>
        <v>517.68429436832162</v>
      </c>
      <c r="F81" s="56">
        <f>132.952113059*Deflactores!$C$5</f>
        <v>430.79356192983022</v>
      </c>
      <c r="G81" s="56">
        <f>180.8746133005*Deflactores!$D$5</f>
        <v>550.3477496739572</v>
      </c>
      <c r="H81" s="56">
        <f>222.92307995768*Deflactores!$E$5</f>
        <v>642.94611283481174</v>
      </c>
      <c r="I81" s="56">
        <f>174.35206345525*Deflactores!$F$5</f>
        <v>479.57529447390448</v>
      </c>
      <c r="J81" s="56">
        <f>196.2975417139*Deflactores!$G$5</f>
        <v>516.79694255375773</v>
      </c>
      <c r="K81" s="56">
        <f>367.54313335697*Deflactores!$H$5</f>
        <v>915.50592416371421</v>
      </c>
      <c r="L81" s="56">
        <f>429.39915759823*Deflactores!$I$5</f>
        <v>993.34861050594964</v>
      </c>
      <c r="M81" s="56">
        <f>692.95606381532*Deflactores!$J$5</f>
        <v>1571.5866472310183</v>
      </c>
      <c r="N81" s="56">
        <f>619.85669036762*Deflactores!$K$5</f>
        <v>1362.5904738998786</v>
      </c>
      <c r="O81" s="56">
        <f>806.44353048476*Deflactores!$L$5</f>
        <v>1709.0608204708078</v>
      </c>
      <c r="P81" s="56">
        <f>1713.8504980374*Deflactores!$M$5</f>
        <v>3545.5769983022951</v>
      </c>
      <c r="Q81" s="56">
        <f>2092.226253567*Deflactores!$N$5</f>
        <v>4245.9805886580207</v>
      </c>
      <c r="R81" s="56">
        <f>2185.42250531032*Deflactores!$O$5</f>
        <v>4278.519971733449</v>
      </c>
      <c r="S81" s="56">
        <f>2280.40329289248*Deflactores!$P$5</f>
        <v>4181.3889692469247</v>
      </c>
      <c r="T81" s="56">
        <f>1485.76237457173*Deflactores!$Q$5</f>
        <v>2576.1899982129421</v>
      </c>
      <c r="U81" s="56">
        <f>1899.18062441549*Deflactores!$R$5</f>
        <v>3163.6308078284769</v>
      </c>
      <c r="V81" s="56">
        <f>1828.57377922835*Deflactores!$S$5</f>
        <v>2952.1368750237134</v>
      </c>
    </row>
    <row r="82" spans="3:22" x14ac:dyDescent="0.2">
      <c r="C82" s="79" t="s">
        <v>202</v>
      </c>
      <c r="D82" s="44">
        <f t="shared" ref="D82:V82" si="1">+SUM(D53:D81)</f>
        <v>16065.124959478266</v>
      </c>
      <c r="E82" s="44">
        <f t="shared" si="1"/>
        <v>27900.695723016219</v>
      </c>
      <c r="F82" s="44">
        <f t="shared" si="1"/>
        <v>21033.547863720964</v>
      </c>
      <c r="G82" s="44">
        <f t="shared" si="1"/>
        <v>18818.946603756049</v>
      </c>
      <c r="H82" s="44">
        <f t="shared" si="1"/>
        <v>21956.953518755327</v>
      </c>
      <c r="I82" s="44">
        <f t="shared" si="1"/>
        <v>23537.203806330919</v>
      </c>
      <c r="J82" s="44">
        <f t="shared" si="1"/>
        <v>26029.54468106258</v>
      </c>
      <c r="K82" s="44">
        <f t="shared" si="1"/>
        <v>34754.600372302368</v>
      </c>
      <c r="L82" s="44">
        <f t="shared" si="1"/>
        <v>36674.231997569826</v>
      </c>
      <c r="M82" s="44">
        <f t="shared" si="1"/>
        <v>50179.509558836216</v>
      </c>
      <c r="N82" s="44">
        <f t="shared" si="1"/>
        <v>37943.062779687803</v>
      </c>
      <c r="O82" s="44">
        <f t="shared" si="1"/>
        <v>51591.232568772626</v>
      </c>
      <c r="P82" s="44">
        <f t="shared" si="1"/>
        <v>58527.830053073114</v>
      </c>
      <c r="Q82" s="44">
        <f t="shared" si="1"/>
        <v>67018.44663444921</v>
      </c>
      <c r="R82" s="44">
        <f t="shared" si="1"/>
        <v>72523.978103468166</v>
      </c>
      <c r="S82" s="44">
        <f t="shared" si="1"/>
        <v>70584.22754072964</v>
      </c>
      <c r="T82" s="44">
        <f t="shared" si="1"/>
        <v>56045.877353974276</v>
      </c>
      <c r="U82" s="44">
        <f t="shared" si="1"/>
        <v>51738.891646419572</v>
      </c>
      <c r="V82" s="44">
        <f t="shared" si="1"/>
        <v>48613.444109063857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7.25" customHeight="1" x14ac:dyDescent="0.2">
      <c r="D87" s="164" t="s">
        <v>212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1.25" hidden="1" customHeight="1" x14ac:dyDescent="0.2">
      <c r="H88" s="27"/>
      <c r="I88" s="27"/>
      <c r="J88" s="27"/>
      <c r="L88" s="179"/>
      <c r="M88" s="160"/>
      <c r="N88" s="160"/>
      <c r="O88" s="160"/>
      <c r="P88" s="160"/>
      <c r="Q88" s="160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ht="12" thickBot="1" x14ac:dyDescent="0.25">
      <c r="C90" s="181" t="s">
        <v>120</v>
      </c>
      <c r="D90" s="155">
        <v>2000</v>
      </c>
      <c r="E90" s="155">
        <v>2001</v>
      </c>
      <c r="F90" s="155">
        <v>2002</v>
      </c>
      <c r="G90" s="155">
        <v>2003</v>
      </c>
      <c r="H90" s="155">
        <v>2004</v>
      </c>
      <c r="I90" s="155">
        <v>2005</v>
      </c>
      <c r="J90" s="155">
        <v>2006</v>
      </c>
      <c r="K90" s="155">
        <v>2007</v>
      </c>
      <c r="L90" s="155">
        <v>2008</v>
      </c>
      <c r="M90" s="155">
        <v>2009</v>
      </c>
      <c r="N90" s="155">
        <v>2010</v>
      </c>
      <c r="O90" s="155">
        <v>2011</v>
      </c>
      <c r="P90" s="155">
        <v>2012</v>
      </c>
      <c r="Q90" s="155">
        <v>2013</v>
      </c>
      <c r="R90" s="155">
        <v>2014</v>
      </c>
      <c r="S90" s="155">
        <v>2015</v>
      </c>
      <c r="T90" s="155">
        <v>2016</v>
      </c>
      <c r="U90" s="155">
        <v>2017</v>
      </c>
      <c r="V90" s="155">
        <v>2018</v>
      </c>
    </row>
    <row r="91" spans="3:22" ht="12" customHeight="1" thickBot="1" x14ac:dyDescent="0.25">
      <c r="C91" s="162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</row>
    <row r="92" spans="3:22" x14ac:dyDescent="0.2">
      <c r="C92" s="87" t="s">
        <v>123</v>
      </c>
      <c r="D92" s="60">
        <f t="shared" ref="D92:V92" si="2">+IFERROR(IF(D53&gt;0,+((D53/D13)*100)," "),"")</f>
        <v>83.499578546971691</v>
      </c>
      <c r="E92" s="60">
        <f t="shared" si="2"/>
        <v>95.970805572162092</v>
      </c>
      <c r="F92" s="60">
        <f t="shared" si="2"/>
        <v>85.268227128814786</v>
      </c>
      <c r="G92" s="60">
        <f t="shared" si="2"/>
        <v>99.386412996114828</v>
      </c>
      <c r="H92" s="60">
        <f t="shared" si="2"/>
        <v>98.012359430472344</v>
      </c>
      <c r="I92" s="60">
        <f t="shared" si="2"/>
        <v>98.888457930560335</v>
      </c>
      <c r="J92" s="60">
        <f t="shared" si="2"/>
        <v>99.032273072453606</v>
      </c>
      <c r="K92" s="60">
        <f t="shared" si="2"/>
        <v>99.512901057454656</v>
      </c>
      <c r="L92" s="60">
        <f t="shared" si="2"/>
        <v>99.685015271855406</v>
      </c>
      <c r="M92" s="60">
        <f t="shared" si="2"/>
        <v>92.319468740893669</v>
      </c>
      <c r="N92" s="60">
        <f t="shared" si="2"/>
        <v>91.686436396000673</v>
      </c>
      <c r="O92" s="60">
        <f t="shared" si="2"/>
        <v>96.38543248764941</v>
      </c>
      <c r="P92" s="60">
        <f t="shared" si="2"/>
        <v>94.548200572681267</v>
      </c>
      <c r="Q92" s="60">
        <f t="shared" si="2"/>
        <v>94.065768957244273</v>
      </c>
      <c r="R92" s="60">
        <f t="shared" si="2"/>
        <v>95.437823437484752</v>
      </c>
      <c r="S92" s="60">
        <f t="shared" si="2"/>
        <v>96.43835362046903</v>
      </c>
      <c r="T92" s="60">
        <f t="shared" si="2"/>
        <v>93.40806731157339</v>
      </c>
      <c r="U92" s="60">
        <f t="shared" si="2"/>
        <v>96.80760079500746</v>
      </c>
      <c r="V92" s="60">
        <f t="shared" si="2"/>
        <v>89.591003763940179</v>
      </c>
    </row>
    <row r="93" spans="3:22" x14ac:dyDescent="0.2">
      <c r="C93" s="88" t="s">
        <v>124</v>
      </c>
      <c r="D93" s="62">
        <f t="shared" ref="D93:V93" si="3">+IFERROR(IF(D54&gt;0,+((D54/D14)*100)," "),"")</f>
        <v>56.612814919961011</v>
      </c>
      <c r="E93" s="62">
        <f t="shared" si="3"/>
        <v>92.133907854870245</v>
      </c>
      <c r="F93" s="62">
        <f t="shared" si="3"/>
        <v>79.694098939888477</v>
      </c>
      <c r="G93" s="62">
        <f t="shared" si="3"/>
        <v>99.282079504857435</v>
      </c>
      <c r="H93" s="62">
        <f t="shared" si="3"/>
        <v>98.791904706074646</v>
      </c>
      <c r="I93" s="62">
        <f t="shared" si="3"/>
        <v>98.868565393447923</v>
      </c>
      <c r="J93" s="62">
        <f t="shared" si="3"/>
        <v>99.159449807066252</v>
      </c>
      <c r="K93" s="62">
        <f t="shared" si="3"/>
        <v>98.841048710923815</v>
      </c>
      <c r="L93" s="62">
        <f t="shared" si="3"/>
        <v>96.363816031456153</v>
      </c>
      <c r="M93" s="62">
        <f t="shared" si="3"/>
        <v>95.433253934047926</v>
      </c>
      <c r="N93" s="62">
        <f t="shared" si="3"/>
        <v>90.17130460288962</v>
      </c>
      <c r="O93" s="62">
        <f t="shared" si="3"/>
        <v>96.127739025001162</v>
      </c>
      <c r="P93" s="62">
        <f t="shared" si="3"/>
        <v>90.687140970345069</v>
      </c>
      <c r="Q93" s="62">
        <f t="shared" si="3"/>
        <v>89.207199660008541</v>
      </c>
      <c r="R93" s="62">
        <f t="shared" si="3"/>
        <v>92.735596190289641</v>
      </c>
      <c r="S93" s="62">
        <f t="shared" si="3"/>
        <v>63.697517781231525</v>
      </c>
      <c r="T93" s="62">
        <f t="shared" si="3"/>
        <v>95.140844750331325</v>
      </c>
      <c r="U93" s="62">
        <f t="shared" si="3"/>
        <v>95.357759213486176</v>
      </c>
      <c r="V93" s="62">
        <f t="shared" si="3"/>
        <v>98.081648396575119</v>
      </c>
    </row>
    <row r="94" spans="3:22" x14ac:dyDescent="0.2">
      <c r="C94" s="87" t="s">
        <v>125</v>
      </c>
      <c r="D94" s="60">
        <f t="shared" ref="D94:V94" si="4">+IFERROR(IF(D55&gt;0,+((D55/D15)*100)," "),"")</f>
        <v>75.799697171663553</v>
      </c>
      <c r="E94" s="60">
        <f t="shared" si="4"/>
        <v>99.993732566432556</v>
      </c>
      <c r="F94" s="60">
        <f t="shared" si="4"/>
        <v>89.028134389336515</v>
      </c>
      <c r="G94" s="60">
        <f t="shared" si="4"/>
        <v>99.993294208022348</v>
      </c>
      <c r="H94" s="60">
        <f t="shared" si="4"/>
        <v>99.998011971882335</v>
      </c>
      <c r="I94" s="60">
        <f t="shared" si="4"/>
        <v>99.853439023408271</v>
      </c>
      <c r="J94" s="60">
        <f t="shared" si="4"/>
        <v>99.97709916027695</v>
      </c>
      <c r="K94" s="60">
        <f t="shared" si="4"/>
        <v>99.434080624051276</v>
      </c>
      <c r="L94" s="60">
        <f t="shared" si="4"/>
        <v>99.770452577781583</v>
      </c>
      <c r="M94" s="60">
        <f t="shared" si="4"/>
        <v>84.09081720385619</v>
      </c>
      <c r="N94" s="60">
        <f t="shared" si="4"/>
        <v>98.728726735528824</v>
      </c>
      <c r="O94" s="60">
        <f t="shared" si="4"/>
        <v>96.893782597576475</v>
      </c>
      <c r="P94" s="60">
        <f t="shared" si="4"/>
        <v>96.831623104969125</v>
      </c>
      <c r="Q94" s="60">
        <f t="shared" si="4"/>
        <v>98.911474162748064</v>
      </c>
      <c r="R94" s="60">
        <f t="shared" si="4"/>
        <v>99.501530553938196</v>
      </c>
      <c r="S94" s="60">
        <f t="shared" si="4"/>
        <v>99.545563452982975</v>
      </c>
      <c r="T94" s="60">
        <f t="shared" si="4"/>
        <v>99.899632305461651</v>
      </c>
      <c r="U94" s="60">
        <f t="shared" si="4"/>
        <v>99.939707188785704</v>
      </c>
      <c r="V94" s="60">
        <f t="shared" si="4"/>
        <v>99.062791312966525</v>
      </c>
    </row>
    <row r="95" spans="3:22" x14ac:dyDescent="0.2">
      <c r="C95" s="88" t="s">
        <v>126</v>
      </c>
      <c r="D95" s="62">
        <f t="shared" ref="D95:V95" si="5">+IFERROR(IF(D56&gt;0,+((D56/D16)*100)," "),"")</f>
        <v>56.049171062203293</v>
      </c>
      <c r="E95" s="62">
        <f t="shared" si="5"/>
        <v>89.440629157238362</v>
      </c>
      <c r="F95" s="62">
        <f t="shared" si="5"/>
        <v>78.980557895639819</v>
      </c>
      <c r="G95" s="62">
        <f t="shared" si="5"/>
        <v>99.755942920293933</v>
      </c>
      <c r="H95" s="62">
        <f t="shared" si="5"/>
        <v>97.688960143756475</v>
      </c>
      <c r="I95" s="62">
        <f t="shared" si="5"/>
        <v>95.947434476336639</v>
      </c>
      <c r="J95" s="62">
        <f t="shared" si="5"/>
        <v>96.571991636931486</v>
      </c>
      <c r="K95" s="62">
        <f t="shared" si="5"/>
        <v>94.215247070190046</v>
      </c>
      <c r="L95" s="62">
        <f t="shared" si="5"/>
        <v>97.801684115717961</v>
      </c>
      <c r="M95" s="62">
        <f t="shared" si="5"/>
        <v>89.235405884912652</v>
      </c>
      <c r="N95" s="62">
        <f t="shared" si="5"/>
        <v>94.504248558667939</v>
      </c>
      <c r="O95" s="62">
        <f t="shared" si="5"/>
        <v>97.769339744925489</v>
      </c>
      <c r="P95" s="62">
        <f t="shared" si="5"/>
        <v>98.805365425440399</v>
      </c>
      <c r="Q95" s="62">
        <f t="shared" si="5"/>
        <v>98.030693869282985</v>
      </c>
      <c r="R95" s="62">
        <f t="shared" si="5"/>
        <v>98.605684940397538</v>
      </c>
      <c r="S95" s="62">
        <f t="shared" si="5"/>
        <v>97.44947938097819</v>
      </c>
      <c r="T95" s="62">
        <f t="shared" si="5"/>
        <v>98.881303789283947</v>
      </c>
      <c r="U95" s="62">
        <f t="shared" si="5"/>
        <v>98.776605714603079</v>
      </c>
      <c r="V95" s="62">
        <f t="shared" si="5"/>
        <v>98.222952481862279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>
        <f t="shared" si="6"/>
        <v>86.275959820053004</v>
      </c>
      <c r="F96" s="60" t="str">
        <f t="shared" si="6"/>
        <v xml:space="preserve"> </v>
      </c>
      <c r="G96" s="60">
        <f t="shared" si="6"/>
        <v>88.085089411764699</v>
      </c>
      <c r="H96" s="60" t="str">
        <f t="shared" si="6"/>
        <v xml:space="preserve"> </v>
      </c>
      <c r="I96" s="60">
        <f t="shared" si="6"/>
        <v>93.504525142857148</v>
      </c>
      <c r="J96" s="60">
        <f t="shared" si="6"/>
        <v>99.179170724705884</v>
      </c>
      <c r="K96" s="60">
        <f t="shared" si="6"/>
        <v>99.880070805755395</v>
      </c>
      <c r="L96" s="60">
        <f t="shared" si="6"/>
        <v>92.445057314136108</v>
      </c>
      <c r="M96" s="60">
        <f t="shared" si="6"/>
        <v>51.310286938032789</v>
      </c>
      <c r="N96" s="60">
        <f t="shared" si="6"/>
        <v>81.089578230025012</v>
      </c>
      <c r="O96" s="60">
        <f t="shared" si="6"/>
        <v>50.102299924000008</v>
      </c>
      <c r="P96" s="60">
        <f t="shared" si="6"/>
        <v>21.117925840680694</v>
      </c>
      <c r="Q96" s="60">
        <f t="shared" si="6"/>
        <v>61.527879768864246</v>
      </c>
      <c r="R96" s="60">
        <f t="shared" si="6"/>
        <v>88.509262768303714</v>
      </c>
      <c r="S96" s="60">
        <f t="shared" si="6"/>
        <v>97.20887210326535</v>
      </c>
      <c r="T96" s="60">
        <f t="shared" si="6"/>
        <v>99.405504612837532</v>
      </c>
      <c r="U96" s="60">
        <f t="shared" si="6"/>
        <v>97.590751183191372</v>
      </c>
      <c r="V96" s="60">
        <f t="shared" si="6"/>
        <v>98.646078351136751</v>
      </c>
    </row>
    <row r="97" spans="3:22" x14ac:dyDescent="0.2">
      <c r="C97" s="88" t="s">
        <v>128</v>
      </c>
      <c r="D97" s="62">
        <f t="shared" ref="D97:V97" si="7">+IFERROR(IF(D58&gt;0,+((D58/D18)*100)," "),"")</f>
        <v>47.006401678489169</v>
      </c>
      <c r="E97" s="62">
        <f t="shared" si="7"/>
        <v>99.977527370358686</v>
      </c>
      <c r="F97" s="62">
        <f t="shared" si="7"/>
        <v>69.934964040993719</v>
      </c>
      <c r="G97" s="62">
        <f t="shared" si="7"/>
        <v>99.988132591651052</v>
      </c>
      <c r="H97" s="62">
        <f t="shared" si="7"/>
        <v>99.955961439400895</v>
      </c>
      <c r="I97" s="62">
        <f t="shared" si="7"/>
        <v>99.909575657387578</v>
      </c>
      <c r="J97" s="62">
        <f t="shared" si="7"/>
        <v>99.886005351692447</v>
      </c>
      <c r="K97" s="62">
        <f t="shared" si="7"/>
        <v>87.340521653072088</v>
      </c>
      <c r="L97" s="62">
        <f t="shared" si="7"/>
        <v>99.375130634056745</v>
      </c>
      <c r="M97" s="62">
        <f t="shared" si="7"/>
        <v>93.617326573495191</v>
      </c>
      <c r="N97" s="62">
        <f t="shared" si="7"/>
        <v>99.448619714921122</v>
      </c>
      <c r="O97" s="62">
        <f t="shared" si="7"/>
        <v>96.662122931751995</v>
      </c>
      <c r="P97" s="62">
        <f t="shared" si="7"/>
        <v>99.531661104632875</v>
      </c>
      <c r="Q97" s="62">
        <f t="shared" si="7"/>
        <v>99.428205194542087</v>
      </c>
      <c r="R97" s="62">
        <f t="shared" si="7"/>
        <v>99.805101558907225</v>
      </c>
      <c r="S97" s="62">
        <f t="shared" si="7"/>
        <v>99.917903642776807</v>
      </c>
      <c r="T97" s="62">
        <f t="shared" si="7"/>
        <v>99.197415620059388</v>
      </c>
      <c r="U97" s="62">
        <f t="shared" si="7"/>
        <v>99.902724857383546</v>
      </c>
      <c r="V97" s="62">
        <f t="shared" si="7"/>
        <v>99.062786853757956</v>
      </c>
    </row>
    <row r="98" spans="3:22" x14ac:dyDescent="0.2">
      <c r="C98" s="87" t="s">
        <v>129</v>
      </c>
      <c r="D98" s="60">
        <f t="shared" ref="D98:V98" si="8">+IFERROR(IF(D59&gt;0,+((D59/D19)*100)," "),"")</f>
        <v>93.549944747174536</v>
      </c>
      <c r="E98" s="60">
        <f t="shared" si="8"/>
        <v>97.671686764710117</v>
      </c>
      <c r="F98" s="60">
        <f t="shared" si="8"/>
        <v>85.067378746894491</v>
      </c>
      <c r="G98" s="60">
        <f t="shared" si="8"/>
        <v>99.095720182878111</v>
      </c>
      <c r="H98" s="60">
        <f t="shared" si="8"/>
        <v>97.072609713429429</v>
      </c>
      <c r="I98" s="60">
        <f t="shared" si="8"/>
        <v>99.549876577693993</v>
      </c>
      <c r="J98" s="60">
        <f t="shared" si="8"/>
        <v>99.60792040448716</v>
      </c>
      <c r="K98" s="60">
        <f t="shared" si="8"/>
        <v>99.152402817863077</v>
      </c>
      <c r="L98" s="60">
        <f t="shared" si="8"/>
        <v>99.748775986385994</v>
      </c>
      <c r="M98" s="60">
        <f t="shared" si="8"/>
        <v>92.807379377792245</v>
      </c>
      <c r="N98" s="60">
        <f t="shared" si="8"/>
        <v>92.006429475162662</v>
      </c>
      <c r="O98" s="60">
        <f t="shared" si="8"/>
        <v>96.8420563971425</v>
      </c>
      <c r="P98" s="60">
        <f t="shared" si="8"/>
        <v>99.546843924664998</v>
      </c>
      <c r="Q98" s="60">
        <f t="shared" si="8"/>
        <v>99.414240322684748</v>
      </c>
      <c r="R98" s="60">
        <f t="shared" si="8"/>
        <v>99.472316217290157</v>
      </c>
      <c r="S98" s="60">
        <f t="shared" si="8"/>
        <v>99.333929601499861</v>
      </c>
      <c r="T98" s="60">
        <f t="shared" si="8"/>
        <v>98.392060212484708</v>
      </c>
      <c r="U98" s="60">
        <f t="shared" si="8"/>
        <v>99.615943703568647</v>
      </c>
      <c r="V98" s="60">
        <f t="shared" si="8"/>
        <v>99.168690271307966</v>
      </c>
    </row>
    <row r="99" spans="3:22" x14ac:dyDescent="0.2">
      <c r="C99" s="88" t="s">
        <v>130</v>
      </c>
      <c r="D99" s="62">
        <f t="shared" ref="D99:V99" si="9">+IFERROR(IF(D60&gt;0,+((D60/D20)*100)," "),"")</f>
        <v>82.945914155517272</v>
      </c>
      <c r="E99" s="62">
        <f t="shared" si="9"/>
        <v>99.649588754172285</v>
      </c>
      <c r="F99" s="62">
        <f t="shared" si="9"/>
        <v>81.263668101536439</v>
      </c>
      <c r="G99" s="62">
        <f t="shared" si="9"/>
        <v>97.366091024399353</v>
      </c>
      <c r="H99" s="62">
        <f t="shared" si="9"/>
        <v>99.76540216774346</v>
      </c>
      <c r="I99" s="62">
        <f t="shared" si="9"/>
        <v>99.853372954947375</v>
      </c>
      <c r="J99" s="62">
        <f t="shared" si="9"/>
        <v>98.467172366709775</v>
      </c>
      <c r="K99" s="62">
        <f t="shared" si="9"/>
        <v>96.754545545991888</v>
      </c>
      <c r="L99" s="62">
        <f t="shared" si="9"/>
        <v>98.824212161617623</v>
      </c>
      <c r="M99" s="62">
        <f t="shared" si="9"/>
        <v>97.816104061092474</v>
      </c>
      <c r="N99" s="62">
        <f t="shared" si="9"/>
        <v>98.255010683988928</v>
      </c>
      <c r="O99" s="62">
        <f t="shared" si="9"/>
        <v>99.494533428579729</v>
      </c>
      <c r="P99" s="62">
        <f t="shared" si="9"/>
        <v>94.143725387640885</v>
      </c>
      <c r="Q99" s="62">
        <f t="shared" si="9"/>
        <v>95.051529652547359</v>
      </c>
      <c r="R99" s="62">
        <f t="shared" si="9"/>
        <v>95.509726926351391</v>
      </c>
      <c r="S99" s="62">
        <f t="shared" si="9"/>
        <v>98.230277215616184</v>
      </c>
      <c r="T99" s="62">
        <f t="shared" si="9"/>
        <v>98.887004591858982</v>
      </c>
      <c r="U99" s="62">
        <f t="shared" si="9"/>
        <v>98.732996833185581</v>
      </c>
      <c r="V99" s="62">
        <f t="shared" si="9"/>
        <v>99.334745993127711</v>
      </c>
    </row>
    <row r="100" spans="3:22" x14ac:dyDescent="0.2">
      <c r="C100" s="87" t="s">
        <v>131</v>
      </c>
      <c r="D100" s="60">
        <f t="shared" ref="D100:V100" si="10">+IFERROR(IF(D61&gt;0,+((D61/D21)*100)," "),"")</f>
        <v>84.78688299958975</v>
      </c>
      <c r="E100" s="60">
        <f t="shared" si="10"/>
        <v>81.618669784316708</v>
      </c>
      <c r="F100" s="60">
        <f t="shared" si="10"/>
        <v>90.434996537957772</v>
      </c>
      <c r="G100" s="60">
        <f t="shared" si="10"/>
        <v>99.973196286026209</v>
      </c>
      <c r="H100" s="60">
        <f t="shared" si="10"/>
        <v>98.955067863361776</v>
      </c>
      <c r="I100" s="60">
        <f t="shared" si="10"/>
        <v>98.933090952767827</v>
      </c>
      <c r="J100" s="60">
        <f t="shared" si="10"/>
        <v>93.439097495705397</v>
      </c>
      <c r="K100" s="60">
        <f t="shared" si="10"/>
        <v>98.740532823698217</v>
      </c>
      <c r="L100" s="60">
        <f t="shared" si="10"/>
        <v>95.119786587804086</v>
      </c>
      <c r="M100" s="60">
        <f t="shared" si="10"/>
        <v>93.695064273525006</v>
      </c>
      <c r="N100" s="60">
        <f t="shared" si="10"/>
        <v>92.916296773658686</v>
      </c>
      <c r="O100" s="60">
        <f t="shared" si="10"/>
        <v>98.117210651830618</v>
      </c>
      <c r="P100" s="60">
        <f t="shared" si="10"/>
        <v>90.067508266138532</v>
      </c>
      <c r="Q100" s="60">
        <f t="shared" si="10"/>
        <v>94.639010332374582</v>
      </c>
      <c r="R100" s="60">
        <f t="shared" si="10"/>
        <v>99.581987970960355</v>
      </c>
      <c r="S100" s="60">
        <f t="shared" si="10"/>
        <v>99.741137756663122</v>
      </c>
      <c r="T100" s="60">
        <f t="shared" si="10"/>
        <v>99.310801853263214</v>
      </c>
      <c r="U100" s="60">
        <f t="shared" si="10"/>
        <v>99.295450917407564</v>
      </c>
      <c r="V100" s="60">
        <f t="shared" si="10"/>
        <v>99.91953470687389</v>
      </c>
    </row>
    <row r="101" spans="3:22" x14ac:dyDescent="0.2">
      <c r="C101" s="88" t="s">
        <v>132</v>
      </c>
      <c r="D101" s="62" t="str">
        <f t="shared" ref="D101:V101" si="11">+IFERROR(IF(D62&gt;0,+((D62/D22)*100)," "),"")</f>
        <v xml:space="preserve"> </v>
      </c>
      <c r="E101" s="62" t="str">
        <f t="shared" si="11"/>
        <v xml:space="preserve"> </v>
      </c>
      <c r="F101" s="62" t="str">
        <f t="shared" si="11"/>
        <v xml:space="preserve"> </v>
      </c>
      <c r="G101" s="62" t="str">
        <f t="shared" si="11"/>
        <v xml:space="preserve"> </v>
      </c>
      <c r="H101" s="62">
        <f t="shared" si="11"/>
        <v>100</v>
      </c>
      <c r="I101" s="62">
        <f t="shared" si="11"/>
        <v>100</v>
      </c>
      <c r="J101" s="62">
        <f t="shared" si="11"/>
        <v>100</v>
      </c>
      <c r="K101" s="62">
        <f t="shared" si="11"/>
        <v>96.361161442039887</v>
      </c>
      <c r="L101" s="62">
        <f t="shared" si="11"/>
        <v>100</v>
      </c>
      <c r="M101" s="62">
        <f t="shared" si="11"/>
        <v>99.999999881807682</v>
      </c>
      <c r="N101" s="62">
        <f t="shared" si="11"/>
        <v>68.700735694399128</v>
      </c>
      <c r="O101" s="62">
        <f t="shared" si="11"/>
        <v>87.356802513999995</v>
      </c>
      <c r="P101" s="62">
        <f t="shared" si="11"/>
        <v>93.995714264589125</v>
      </c>
      <c r="Q101" s="62">
        <f t="shared" si="11"/>
        <v>97.183690983037209</v>
      </c>
      <c r="R101" s="62">
        <f t="shared" si="11"/>
        <v>90.263234073887318</v>
      </c>
      <c r="S101" s="62">
        <f t="shared" si="11"/>
        <v>93.115772389997602</v>
      </c>
      <c r="T101" s="62">
        <f t="shared" si="11"/>
        <v>97.145640251936143</v>
      </c>
      <c r="U101" s="62">
        <f t="shared" si="11"/>
        <v>97.038168422983219</v>
      </c>
      <c r="V101" s="62">
        <f t="shared" si="11"/>
        <v>91.296367393771462</v>
      </c>
    </row>
    <row r="102" spans="3:22" x14ac:dyDescent="0.2">
      <c r="C102" s="87" t="s">
        <v>133</v>
      </c>
      <c r="D102" s="60">
        <f t="shared" ref="D102:V102" si="12">+IFERROR(IF(D63&gt;0,+((D63/D23)*100)," "),"")</f>
        <v>67.232714102531617</v>
      </c>
      <c r="E102" s="60">
        <f t="shared" si="12"/>
        <v>82.200445175163566</v>
      </c>
      <c r="F102" s="60">
        <f t="shared" si="12"/>
        <v>62.98455957578436</v>
      </c>
      <c r="G102" s="60">
        <f t="shared" si="12"/>
        <v>96.368893120620584</v>
      </c>
      <c r="H102" s="60">
        <f t="shared" si="12"/>
        <v>98.02552289793843</v>
      </c>
      <c r="I102" s="60">
        <f t="shared" si="12"/>
        <v>99.494694501489704</v>
      </c>
      <c r="J102" s="60">
        <f t="shared" si="12"/>
        <v>99.657313404231417</v>
      </c>
      <c r="K102" s="60">
        <f t="shared" si="12"/>
        <v>96.845681784622798</v>
      </c>
      <c r="L102" s="60">
        <f t="shared" si="12"/>
        <v>81.047196507436837</v>
      </c>
      <c r="M102" s="60">
        <f t="shared" si="12"/>
        <v>87.261004674390875</v>
      </c>
      <c r="N102" s="60">
        <f t="shared" si="12"/>
        <v>77.426784251337779</v>
      </c>
      <c r="O102" s="60">
        <f t="shared" si="12"/>
        <v>91.371711732851978</v>
      </c>
      <c r="P102" s="60">
        <f t="shared" si="12"/>
        <v>91.530680978516628</v>
      </c>
      <c r="Q102" s="60">
        <f t="shared" si="12"/>
        <v>97.771295532658712</v>
      </c>
      <c r="R102" s="60">
        <f t="shared" si="12"/>
        <v>92.90999243177626</v>
      </c>
      <c r="S102" s="60">
        <f t="shared" si="12"/>
        <v>79.968529961169438</v>
      </c>
      <c r="T102" s="60">
        <f t="shared" si="12"/>
        <v>95.310089876818267</v>
      </c>
      <c r="U102" s="60">
        <f t="shared" si="12"/>
        <v>98.776368538099135</v>
      </c>
      <c r="V102" s="60">
        <f t="shared" si="12"/>
        <v>96.973015256876565</v>
      </c>
    </row>
    <row r="103" spans="3:22" x14ac:dyDescent="0.2">
      <c r="C103" s="88" t="s">
        <v>134</v>
      </c>
      <c r="D103" s="62">
        <f t="shared" ref="D103:V103" si="13">+IFERROR(IF(D64&gt;0,+((D64/D24)*100)," "),"")</f>
        <v>98.744926126290849</v>
      </c>
      <c r="E103" s="62">
        <f t="shared" si="13"/>
        <v>97.570821764817964</v>
      </c>
      <c r="F103" s="62">
        <f t="shared" si="13"/>
        <v>86.64605623762499</v>
      </c>
      <c r="G103" s="62">
        <f t="shared" si="13"/>
        <v>99.592927599457809</v>
      </c>
      <c r="H103" s="62">
        <f t="shared" si="13"/>
        <v>92.634285125472019</v>
      </c>
      <c r="I103" s="62">
        <f t="shared" si="13"/>
        <v>85.783019250957153</v>
      </c>
      <c r="J103" s="62">
        <f t="shared" si="13"/>
        <v>98.51786725912622</v>
      </c>
      <c r="K103" s="62">
        <f t="shared" si="13"/>
        <v>82.815802701547753</v>
      </c>
      <c r="L103" s="62">
        <f t="shared" si="13"/>
        <v>90.209493144400653</v>
      </c>
      <c r="M103" s="62">
        <f t="shared" si="13"/>
        <v>94.795775743073435</v>
      </c>
      <c r="N103" s="62">
        <f t="shared" si="13"/>
        <v>96.645227303295698</v>
      </c>
      <c r="O103" s="62">
        <f t="shared" si="13"/>
        <v>94.671610036365109</v>
      </c>
      <c r="P103" s="62">
        <f t="shared" si="13"/>
        <v>83.155916647350153</v>
      </c>
      <c r="Q103" s="62">
        <f t="shared" si="13"/>
        <v>70.711711297971092</v>
      </c>
      <c r="R103" s="62">
        <f t="shared" si="13"/>
        <v>69.370895338297601</v>
      </c>
      <c r="S103" s="62">
        <f t="shared" si="13"/>
        <v>84.102178815640656</v>
      </c>
      <c r="T103" s="62">
        <f t="shared" si="13"/>
        <v>69.038220819864222</v>
      </c>
      <c r="U103" s="62">
        <f t="shared" si="13"/>
        <v>94.863755458716227</v>
      </c>
      <c r="V103" s="62">
        <f t="shared" si="13"/>
        <v>88.513912577988378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49.020157206779139</v>
      </c>
      <c r="E105" s="62">
        <f t="shared" si="15"/>
        <v>96.252141463296127</v>
      </c>
      <c r="F105" s="62">
        <f t="shared" si="15"/>
        <v>90.821142184566355</v>
      </c>
      <c r="G105" s="62">
        <f t="shared" si="15"/>
        <v>99.912369434709063</v>
      </c>
      <c r="H105" s="62">
        <f t="shared" si="15"/>
        <v>99.921600952437757</v>
      </c>
      <c r="I105" s="62">
        <f t="shared" si="15"/>
        <v>99.715425944105974</v>
      </c>
      <c r="J105" s="62">
        <f t="shared" si="15"/>
        <v>99.789929342412748</v>
      </c>
      <c r="K105" s="62">
        <f t="shared" si="15"/>
        <v>95.181946118085008</v>
      </c>
      <c r="L105" s="62">
        <f t="shared" si="15"/>
        <v>99.881637790190254</v>
      </c>
      <c r="M105" s="62">
        <f t="shared" si="15"/>
        <v>98.750443108979852</v>
      </c>
      <c r="N105" s="62">
        <f t="shared" si="15"/>
        <v>99.863933299983643</v>
      </c>
      <c r="O105" s="62">
        <f t="shared" si="15"/>
        <v>98.914277776388843</v>
      </c>
      <c r="P105" s="62">
        <f t="shared" si="15"/>
        <v>96.063615769789351</v>
      </c>
      <c r="Q105" s="62">
        <f t="shared" si="15"/>
        <v>98.035690920699764</v>
      </c>
      <c r="R105" s="62">
        <f t="shared" si="15"/>
        <v>98.364962909901024</v>
      </c>
      <c r="S105" s="62">
        <f t="shared" si="15"/>
        <v>98.962107477345739</v>
      </c>
      <c r="T105" s="62">
        <f t="shared" si="15"/>
        <v>98.840131140494535</v>
      </c>
      <c r="U105" s="62">
        <f t="shared" si="15"/>
        <v>98.570244703552888</v>
      </c>
      <c r="V105" s="62">
        <f t="shared" si="15"/>
        <v>98.768137562400454</v>
      </c>
    </row>
    <row r="106" spans="3:22" x14ac:dyDescent="0.2">
      <c r="C106" s="87" t="s">
        <v>137</v>
      </c>
      <c r="D106" s="60">
        <f t="shared" ref="D106:V106" si="16">+IFERROR(IF(D67&gt;0,+((D67/D27)*100)," "),"")</f>
        <v>39.889237159901633</v>
      </c>
      <c r="E106" s="60">
        <f t="shared" si="16"/>
        <v>96.759182473078582</v>
      </c>
      <c r="F106" s="60">
        <f t="shared" si="16"/>
        <v>83.91830139438872</v>
      </c>
      <c r="G106" s="60">
        <f t="shared" si="16"/>
        <v>99.117679428274997</v>
      </c>
      <c r="H106" s="60">
        <f t="shared" si="16"/>
        <v>99.346783602600823</v>
      </c>
      <c r="I106" s="60">
        <f t="shared" si="16"/>
        <v>99.889071436149393</v>
      </c>
      <c r="J106" s="60">
        <f t="shared" si="16"/>
        <v>99.931078530693753</v>
      </c>
      <c r="K106" s="60">
        <f t="shared" si="16"/>
        <v>96.491288561260404</v>
      </c>
      <c r="L106" s="60">
        <f t="shared" si="16"/>
        <v>97.805296988115145</v>
      </c>
      <c r="M106" s="60">
        <f t="shared" si="16"/>
        <v>88.868272324493603</v>
      </c>
      <c r="N106" s="60">
        <f t="shared" si="16"/>
        <v>85.355239918212703</v>
      </c>
      <c r="O106" s="60">
        <f t="shared" si="16"/>
        <v>94.215982630756187</v>
      </c>
      <c r="P106" s="60">
        <f t="shared" si="16"/>
        <v>95.72060618021527</v>
      </c>
      <c r="Q106" s="60">
        <f t="shared" si="16"/>
        <v>92.14864574597658</v>
      </c>
      <c r="R106" s="60">
        <f t="shared" si="16"/>
        <v>99.006175917868148</v>
      </c>
      <c r="S106" s="60">
        <f t="shared" si="16"/>
        <v>99.310902244955528</v>
      </c>
      <c r="T106" s="60">
        <f t="shared" si="16"/>
        <v>99.037103086342711</v>
      </c>
      <c r="U106" s="60">
        <f t="shared" si="16"/>
        <v>99.262405182568116</v>
      </c>
      <c r="V106" s="60">
        <f t="shared" si="16"/>
        <v>99.479363630027038</v>
      </c>
    </row>
    <row r="107" spans="3:22" x14ac:dyDescent="0.2">
      <c r="C107" s="88" t="s">
        <v>138</v>
      </c>
      <c r="D107" s="62">
        <f t="shared" ref="D107:V107" si="17">+IFERROR(IF(D68&gt;0,+((D68/D28)*100)," "),"")</f>
        <v>99.667733742857152</v>
      </c>
      <c r="E107" s="62">
        <f t="shared" si="17"/>
        <v>99.892076069222213</v>
      </c>
      <c r="F107" s="62">
        <f t="shared" si="17"/>
        <v>3.4522711358333331</v>
      </c>
      <c r="G107" s="62">
        <f t="shared" si="17"/>
        <v>99.726068011002383</v>
      </c>
      <c r="H107" s="62" t="str">
        <f t="shared" si="17"/>
        <v xml:space="preserve"> </v>
      </c>
      <c r="I107" s="62" t="str">
        <f t="shared" si="17"/>
        <v xml:space="preserve"> </v>
      </c>
      <c r="J107" s="62" t="str">
        <f t="shared" si="17"/>
        <v xml:space="preserve"> </v>
      </c>
      <c r="K107" s="62" t="str">
        <f t="shared" si="17"/>
        <v xml:space="preserve"> </v>
      </c>
      <c r="L107" s="62">
        <f t="shared" si="17"/>
        <v>92.249909915977796</v>
      </c>
      <c r="M107" s="62">
        <f t="shared" si="17"/>
        <v>16.16162162162162</v>
      </c>
      <c r="N107" s="62">
        <f t="shared" si="17"/>
        <v>61.878056703225802</v>
      </c>
      <c r="O107" s="62" t="str">
        <f t="shared" si="17"/>
        <v xml:space="preserve"> </v>
      </c>
      <c r="P107" s="62">
        <f t="shared" si="17"/>
        <v>91.689835183055777</v>
      </c>
      <c r="Q107" s="62">
        <f t="shared" si="17"/>
        <v>93.907036566804038</v>
      </c>
      <c r="R107" s="62">
        <f t="shared" si="17"/>
        <v>94.422709640588494</v>
      </c>
      <c r="S107" s="62">
        <f t="shared" si="17"/>
        <v>99.750315322031895</v>
      </c>
      <c r="T107" s="62">
        <f t="shared" si="17"/>
        <v>99.363833752019389</v>
      </c>
      <c r="U107" s="62">
        <f t="shared" si="17"/>
        <v>98.199524011969729</v>
      </c>
      <c r="V107" s="62">
        <f t="shared" si="17"/>
        <v>99.974759094086423</v>
      </c>
    </row>
    <row r="108" spans="3:22" x14ac:dyDescent="0.2">
      <c r="C108" s="87" t="s">
        <v>139</v>
      </c>
      <c r="D108" s="60">
        <f t="shared" ref="D108:V108" si="18">+IFERROR(IF(D69&gt;0,+((D69/D29)*100)," "),"")</f>
        <v>88.118639719003156</v>
      </c>
      <c r="E108" s="60">
        <f t="shared" si="18"/>
        <v>75.906266622918267</v>
      </c>
      <c r="F108" s="60">
        <f t="shared" si="18"/>
        <v>43.751690398015562</v>
      </c>
      <c r="G108" s="60">
        <f t="shared" si="18"/>
        <v>99.67946029757357</v>
      </c>
      <c r="H108" s="60">
        <f t="shared" si="18"/>
        <v>95.501296353368815</v>
      </c>
      <c r="I108" s="60">
        <f t="shared" si="18"/>
        <v>92.546863058032926</v>
      </c>
      <c r="J108" s="60">
        <f t="shared" si="18"/>
        <v>95.044451025932858</v>
      </c>
      <c r="K108" s="60">
        <f t="shared" si="18"/>
        <v>67.659918814908565</v>
      </c>
      <c r="L108" s="60">
        <f t="shared" si="18"/>
        <v>99.205790705548068</v>
      </c>
      <c r="M108" s="60">
        <f t="shared" si="18"/>
        <v>97.753825786599862</v>
      </c>
      <c r="N108" s="60">
        <f t="shared" si="18"/>
        <v>89.107675326300352</v>
      </c>
      <c r="O108" s="60">
        <f t="shared" si="18"/>
        <v>98.873749599816378</v>
      </c>
      <c r="P108" s="60">
        <f t="shared" si="18"/>
        <v>68.962459802932884</v>
      </c>
      <c r="Q108" s="60">
        <f t="shared" si="18"/>
        <v>82.258537002246527</v>
      </c>
      <c r="R108" s="60">
        <f t="shared" si="18"/>
        <v>96.897180052918458</v>
      </c>
      <c r="S108" s="60">
        <f t="shared" si="18"/>
        <v>93.503650525951826</v>
      </c>
      <c r="T108" s="60">
        <f t="shared" si="18"/>
        <v>95.023687938320293</v>
      </c>
      <c r="U108" s="60">
        <f t="shared" si="18"/>
        <v>76.206025539354059</v>
      </c>
      <c r="V108" s="60">
        <f t="shared" si="18"/>
        <v>50.781666494640163</v>
      </c>
    </row>
    <row r="109" spans="3:22" x14ac:dyDescent="0.2">
      <c r="C109" s="88" t="s">
        <v>140</v>
      </c>
      <c r="D109" s="62">
        <f t="shared" ref="D109:V109" si="19">+IFERROR(IF(D70&gt;0,+((D70/D30)*100)," "),"")</f>
        <v>86.591490303266951</v>
      </c>
      <c r="E109" s="62">
        <f t="shared" si="19"/>
        <v>73.482387180843702</v>
      </c>
      <c r="F109" s="62">
        <f t="shared" si="19"/>
        <v>78.225775202707695</v>
      </c>
      <c r="G109" s="62">
        <f t="shared" si="19"/>
        <v>99.790931413534096</v>
      </c>
      <c r="H109" s="62">
        <f t="shared" si="19"/>
        <v>98.306083212121393</v>
      </c>
      <c r="I109" s="62">
        <f t="shared" si="19"/>
        <v>93.556230795644481</v>
      </c>
      <c r="J109" s="62">
        <f t="shared" si="19"/>
        <v>77.658885656579713</v>
      </c>
      <c r="K109" s="62">
        <f t="shared" si="19"/>
        <v>60.789078698413924</v>
      </c>
      <c r="L109" s="62">
        <f t="shared" si="19"/>
        <v>98.358946066448823</v>
      </c>
      <c r="M109" s="62">
        <f t="shared" si="19"/>
        <v>89.127500200370108</v>
      </c>
      <c r="N109" s="62">
        <f t="shared" si="19"/>
        <v>98.304416641328473</v>
      </c>
      <c r="O109" s="62">
        <f t="shared" si="19"/>
        <v>98.683694155568602</v>
      </c>
      <c r="P109" s="62">
        <f t="shared" si="19"/>
        <v>98.82828724677502</v>
      </c>
      <c r="Q109" s="62">
        <f t="shared" si="19"/>
        <v>98.442770575659949</v>
      </c>
      <c r="R109" s="62">
        <f t="shared" si="19"/>
        <v>98.818116487974365</v>
      </c>
      <c r="S109" s="62">
        <f t="shared" si="19"/>
        <v>99.626477813563568</v>
      </c>
      <c r="T109" s="62">
        <f t="shared" si="19"/>
        <v>97.468909439579804</v>
      </c>
      <c r="U109" s="62">
        <f t="shared" si="19"/>
        <v>97.921056348047287</v>
      </c>
      <c r="V109" s="62">
        <f t="shared" si="19"/>
        <v>99.087827883106655</v>
      </c>
    </row>
    <row r="110" spans="3:22" x14ac:dyDescent="0.2">
      <c r="C110" s="87" t="s">
        <v>141</v>
      </c>
      <c r="D110" s="60">
        <f t="shared" ref="D110:V110" si="20">+IFERROR(IF(D71&gt;0,+((D71/D31)*100)," "),"")</f>
        <v>70.918216381042058</v>
      </c>
      <c r="E110" s="60">
        <f t="shared" si="20"/>
        <v>96.711325949547003</v>
      </c>
      <c r="F110" s="60">
        <f t="shared" si="20"/>
        <v>81.1457037047619</v>
      </c>
      <c r="G110" s="60">
        <f t="shared" si="20"/>
        <v>66.425466648137927</v>
      </c>
      <c r="H110" s="60">
        <f t="shared" si="20"/>
        <v>91.455567912074045</v>
      </c>
      <c r="I110" s="60">
        <f t="shared" si="20"/>
        <v>76.491429471604434</v>
      </c>
      <c r="J110" s="60">
        <f t="shared" si="20"/>
        <v>85.251763565367568</v>
      </c>
      <c r="K110" s="60">
        <f t="shared" si="20"/>
        <v>80.675238841380008</v>
      </c>
      <c r="L110" s="60">
        <f t="shared" si="20"/>
        <v>86.51209943090825</v>
      </c>
      <c r="M110" s="60">
        <f t="shared" si="20"/>
        <v>86.872869031329174</v>
      </c>
      <c r="N110" s="60">
        <f t="shared" si="20"/>
        <v>70.628800674874554</v>
      </c>
      <c r="O110" s="60">
        <f t="shared" si="20"/>
        <v>84.106348753927847</v>
      </c>
      <c r="P110" s="60">
        <f t="shared" si="20"/>
        <v>88.218768398452042</v>
      </c>
      <c r="Q110" s="60">
        <f t="shared" si="20"/>
        <v>85.475621863984202</v>
      </c>
      <c r="R110" s="60">
        <f t="shared" si="20"/>
        <v>93.037051132911515</v>
      </c>
      <c r="S110" s="60">
        <f t="shared" si="20"/>
        <v>94.438213354530632</v>
      </c>
      <c r="T110" s="60">
        <f t="shared" si="20"/>
        <v>93.456825408231524</v>
      </c>
      <c r="U110" s="60">
        <f t="shared" si="20"/>
        <v>92.937369628521566</v>
      </c>
      <c r="V110" s="60">
        <f t="shared" si="20"/>
        <v>97.076964476470465</v>
      </c>
    </row>
    <row r="111" spans="3:22" x14ac:dyDescent="0.2">
      <c r="C111" s="88" t="s">
        <v>142</v>
      </c>
      <c r="D111" s="62">
        <f t="shared" ref="D111:V111" si="21">+IFERROR(IF(D72&gt;0,+((D72/D32)*100)," "),"")</f>
        <v>68.301782214679534</v>
      </c>
      <c r="E111" s="62">
        <f t="shared" si="21"/>
        <v>97.221168000343866</v>
      </c>
      <c r="F111" s="62">
        <f t="shared" si="21"/>
        <v>95.576641035701954</v>
      </c>
      <c r="G111" s="62">
        <f t="shared" si="21"/>
        <v>94.770997342968244</v>
      </c>
      <c r="H111" s="62">
        <f t="shared" si="21"/>
        <v>81.965710914831092</v>
      </c>
      <c r="I111" s="62">
        <f t="shared" si="21"/>
        <v>50.462471001886492</v>
      </c>
      <c r="J111" s="62">
        <f t="shared" si="21"/>
        <v>68.076495665443375</v>
      </c>
      <c r="K111" s="62">
        <f t="shared" si="21"/>
        <v>96.022853149064417</v>
      </c>
      <c r="L111" s="62">
        <f t="shared" si="21"/>
        <v>95.261905139940382</v>
      </c>
      <c r="M111" s="62">
        <f t="shared" si="21"/>
        <v>93.440676027754989</v>
      </c>
      <c r="N111" s="62">
        <f t="shared" si="21"/>
        <v>93.560709043824289</v>
      </c>
      <c r="O111" s="62">
        <f t="shared" si="21"/>
        <v>92.340542513100587</v>
      </c>
      <c r="P111" s="62">
        <f t="shared" si="21"/>
        <v>92.356606692016683</v>
      </c>
      <c r="Q111" s="62">
        <f t="shared" si="21"/>
        <v>82.716293059934713</v>
      </c>
      <c r="R111" s="62">
        <f t="shared" si="21"/>
        <v>84.977840545900818</v>
      </c>
      <c r="S111" s="62">
        <f t="shared" si="21"/>
        <v>94.243504776708022</v>
      </c>
      <c r="T111" s="62">
        <f t="shared" si="21"/>
        <v>96.645884341200315</v>
      </c>
      <c r="U111" s="62">
        <f t="shared" si="21"/>
        <v>98.328334166882172</v>
      </c>
      <c r="V111" s="62">
        <f t="shared" si="21"/>
        <v>95.507127865626543</v>
      </c>
    </row>
    <row r="112" spans="3:22" x14ac:dyDescent="0.2">
      <c r="C112" s="87" t="s">
        <v>143</v>
      </c>
      <c r="D112" s="60">
        <f t="shared" ref="D112:V112" si="22">+IFERROR(IF(D73&gt;0,+((D73/D33)*100)," "),"")</f>
        <v>97.013386543100481</v>
      </c>
      <c r="E112" s="60">
        <f t="shared" si="22"/>
        <v>93.612083979960275</v>
      </c>
      <c r="F112" s="60">
        <f t="shared" si="22"/>
        <v>83.622869502516579</v>
      </c>
      <c r="G112" s="60">
        <f t="shared" si="22"/>
        <v>99.924967153624038</v>
      </c>
      <c r="H112" s="60">
        <f t="shared" si="22"/>
        <v>91.142120457163969</v>
      </c>
      <c r="I112" s="60">
        <f t="shared" si="22"/>
        <v>94.319397369063424</v>
      </c>
      <c r="J112" s="60">
        <f t="shared" si="22"/>
        <v>99.940643232884725</v>
      </c>
      <c r="K112" s="60">
        <f t="shared" si="22"/>
        <v>96.332225193342154</v>
      </c>
      <c r="L112" s="60">
        <f t="shared" si="22"/>
        <v>70.761160334801943</v>
      </c>
      <c r="M112" s="60">
        <f t="shared" si="22"/>
        <v>82.935342815502196</v>
      </c>
      <c r="N112" s="60">
        <f t="shared" si="22"/>
        <v>61.35926926803846</v>
      </c>
      <c r="O112" s="60">
        <f t="shared" si="22"/>
        <v>78.141440481139583</v>
      </c>
      <c r="P112" s="60">
        <f t="shared" si="22"/>
        <v>97.631421808896462</v>
      </c>
      <c r="Q112" s="60">
        <f t="shared" si="22"/>
        <v>92.871405171319537</v>
      </c>
      <c r="R112" s="60">
        <f t="shared" si="22"/>
        <v>94.496115775340357</v>
      </c>
      <c r="S112" s="60">
        <f t="shared" si="22"/>
        <v>97.633556789039346</v>
      </c>
      <c r="T112" s="60">
        <f t="shared" si="22"/>
        <v>94.280968620127894</v>
      </c>
      <c r="U112" s="60">
        <f t="shared" si="22"/>
        <v>98.764378334549519</v>
      </c>
      <c r="V112" s="60">
        <f t="shared" si="22"/>
        <v>99.772442966490843</v>
      </c>
    </row>
    <row r="113" spans="3:22" x14ac:dyDescent="0.2">
      <c r="C113" s="88" t="s">
        <v>144</v>
      </c>
      <c r="D113" s="62">
        <f t="shared" ref="D113:V113" si="23">+IFERROR(IF(D74&gt;0,+((D74/D34)*100)," "),"")</f>
        <v>64.306202573593779</v>
      </c>
      <c r="E113" s="62">
        <f t="shared" si="23"/>
        <v>95.727100082111917</v>
      </c>
      <c r="F113" s="62">
        <f t="shared" si="23"/>
        <v>74.108725222530509</v>
      </c>
      <c r="G113" s="62">
        <f t="shared" si="23"/>
        <v>98.989168990600689</v>
      </c>
      <c r="H113" s="62">
        <f t="shared" si="23"/>
        <v>99.854783472304717</v>
      </c>
      <c r="I113" s="62">
        <f t="shared" si="23"/>
        <v>98.440711182170517</v>
      </c>
      <c r="J113" s="62">
        <f t="shared" si="23"/>
        <v>97.130078225063187</v>
      </c>
      <c r="K113" s="62">
        <f t="shared" si="23"/>
        <v>93.757785705437882</v>
      </c>
      <c r="L113" s="62">
        <f t="shared" si="23"/>
        <v>91.882871309739173</v>
      </c>
      <c r="M113" s="62">
        <f t="shared" si="23"/>
        <v>98.942190202622427</v>
      </c>
      <c r="N113" s="62">
        <f t="shared" si="23"/>
        <v>87.054594863804141</v>
      </c>
      <c r="O113" s="62">
        <f t="shared" si="23"/>
        <v>77.956680575776872</v>
      </c>
      <c r="P113" s="62">
        <f t="shared" si="23"/>
        <v>53.813245988879324</v>
      </c>
      <c r="Q113" s="62">
        <f t="shared" si="23"/>
        <v>84.02333639863707</v>
      </c>
      <c r="R113" s="62">
        <f t="shared" si="23"/>
        <v>93.340369066456617</v>
      </c>
      <c r="S113" s="62">
        <f t="shared" si="23"/>
        <v>83.860590254407171</v>
      </c>
      <c r="T113" s="62">
        <f t="shared" si="23"/>
        <v>95.238760081132483</v>
      </c>
      <c r="U113" s="62">
        <f t="shared" si="23"/>
        <v>97.863583735279619</v>
      </c>
      <c r="V113" s="62">
        <f t="shared" si="23"/>
        <v>96.299697311447062</v>
      </c>
    </row>
    <row r="114" spans="3:22" x14ac:dyDescent="0.2">
      <c r="C114" s="87" t="s">
        <v>145</v>
      </c>
      <c r="D114" s="60">
        <f t="shared" ref="D114:V114" si="24">+IFERROR(IF(D75&gt;0,+((D75/D35)*100)," "),"")</f>
        <v>81.463732171915154</v>
      </c>
      <c r="E114" s="60" t="str">
        <f t="shared" si="24"/>
        <v xml:space="preserve"> </v>
      </c>
      <c r="F114" s="60">
        <f t="shared" si="24"/>
        <v>100</v>
      </c>
      <c r="G114" s="60">
        <f t="shared" si="24"/>
        <v>94.214050774666902</v>
      </c>
      <c r="H114" s="60">
        <f t="shared" si="24"/>
        <v>100</v>
      </c>
      <c r="I114" s="60">
        <f t="shared" si="24"/>
        <v>95.94817400175441</v>
      </c>
      <c r="J114" s="60">
        <f t="shared" si="24"/>
        <v>99.985632955557918</v>
      </c>
      <c r="K114" s="60">
        <f t="shared" si="24"/>
        <v>99.861941172332095</v>
      </c>
      <c r="L114" s="60">
        <f t="shared" si="24"/>
        <v>99.088022076047039</v>
      </c>
      <c r="M114" s="60">
        <f t="shared" si="24"/>
        <v>99.648729160018235</v>
      </c>
      <c r="N114" s="60">
        <f t="shared" si="24"/>
        <v>85.74714844920544</v>
      </c>
      <c r="O114" s="60">
        <f t="shared" si="24"/>
        <v>95.054370550615545</v>
      </c>
      <c r="P114" s="60">
        <f t="shared" si="24"/>
        <v>98.462522941074454</v>
      </c>
      <c r="Q114" s="60">
        <f t="shared" si="24"/>
        <v>99.702492472432169</v>
      </c>
      <c r="R114" s="60">
        <f t="shared" si="24"/>
        <v>98.748649613562705</v>
      </c>
      <c r="S114" s="60">
        <f t="shared" si="24"/>
        <v>99.258598007788578</v>
      </c>
      <c r="T114" s="60">
        <f t="shared" si="24"/>
        <v>99.89256751988637</v>
      </c>
      <c r="U114" s="60">
        <f t="shared" si="24"/>
        <v>99.983382327368034</v>
      </c>
      <c r="V114" s="60">
        <f t="shared" si="24"/>
        <v>99.79289134599999</v>
      </c>
    </row>
    <row r="115" spans="3:22" x14ac:dyDescent="0.2">
      <c r="C115" s="88" t="s">
        <v>146</v>
      </c>
      <c r="D115" s="62" t="str">
        <f t="shared" ref="D115:V115" si="25">+IFERROR(IF(D76&gt;0,+((D76/D36)*100)," "),"")</f>
        <v xml:space="preserve"> </v>
      </c>
      <c r="E115" s="62" t="str">
        <f t="shared" si="25"/>
        <v xml:space="preserve"> </v>
      </c>
      <c r="F115" s="62" t="str">
        <f t="shared" si="25"/>
        <v xml:space="preserve"> </v>
      </c>
      <c r="G115" s="62" t="str">
        <f t="shared" si="25"/>
        <v xml:space="preserve"> </v>
      </c>
      <c r="H115" s="62">
        <f t="shared" si="25"/>
        <v>93.023477831999983</v>
      </c>
      <c r="I115" s="62">
        <f t="shared" si="25"/>
        <v>97.007569971980672</v>
      </c>
      <c r="J115" s="62">
        <f t="shared" si="25"/>
        <v>99.734089129472295</v>
      </c>
      <c r="K115" s="62">
        <f t="shared" si="25"/>
        <v>63.464936980254741</v>
      </c>
      <c r="L115" s="62">
        <f t="shared" si="25"/>
        <v>85.575163465263998</v>
      </c>
      <c r="M115" s="62">
        <f t="shared" si="25"/>
        <v>73.861451663631328</v>
      </c>
      <c r="N115" s="62">
        <f t="shared" si="25"/>
        <v>75.736847566083085</v>
      </c>
      <c r="O115" s="62">
        <f t="shared" si="25"/>
        <v>94.165410091681707</v>
      </c>
      <c r="P115" s="62">
        <f t="shared" si="25"/>
        <v>92.662590481914691</v>
      </c>
      <c r="Q115" s="62">
        <f t="shared" si="25"/>
        <v>98.155298909471696</v>
      </c>
      <c r="R115" s="62">
        <f t="shared" si="25"/>
        <v>99.227564968308059</v>
      </c>
      <c r="S115" s="62">
        <f t="shared" si="25"/>
        <v>98.660131258107171</v>
      </c>
      <c r="T115" s="62">
        <f t="shared" si="25"/>
        <v>97.70751420888169</v>
      </c>
      <c r="U115" s="62">
        <f t="shared" si="25"/>
        <v>99.973654394969586</v>
      </c>
      <c r="V115" s="62">
        <f t="shared" si="25"/>
        <v>98.888433993977756</v>
      </c>
    </row>
    <row r="116" spans="3:22" x14ac:dyDescent="0.2">
      <c r="C116" s="90" t="s">
        <v>147</v>
      </c>
      <c r="D116" s="61">
        <f t="shared" ref="D116:V116" si="26">+IFERROR(IF(D77&gt;0,+((D77/D37)*100)," "),"")</f>
        <v>66.505762715018378</v>
      </c>
      <c r="E116" s="61">
        <f t="shared" si="26"/>
        <v>91.740745704908207</v>
      </c>
      <c r="F116" s="61">
        <f t="shared" si="26"/>
        <v>82.519102374591</v>
      </c>
      <c r="G116" s="61">
        <f t="shared" si="26"/>
        <v>98.383898441034347</v>
      </c>
      <c r="H116" s="61">
        <f t="shared" si="26"/>
        <v>96.303444958470507</v>
      </c>
      <c r="I116" s="61">
        <f t="shared" si="26"/>
        <v>95.09762427995939</v>
      </c>
      <c r="J116" s="61">
        <f t="shared" si="26"/>
        <v>93.901145282111514</v>
      </c>
      <c r="K116" s="61">
        <f t="shared" si="26"/>
        <v>92.704046103943753</v>
      </c>
      <c r="L116" s="61">
        <f t="shared" si="26"/>
        <v>98.31898610047466</v>
      </c>
      <c r="M116" s="61">
        <f t="shared" si="26"/>
        <v>96.721424163228164</v>
      </c>
      <c r="N116" s="61">
        <f t="shared" si="26"/>
        <v>92.576248428183604</v>
      </c>
      <c r="O116" s="61">
        <f t="shared" si="26"/>
        <v>99.275607758191256</v>
      </c>
      <c r="P116" s="61">
        <f t="shared" si="26"/>
        <v>97.988302076554717</v>
      </c>
      <c r="Q116" s="61">
        <f t="shared" si="26"/>
        <v>97.351636022388448</v>
      </c>
      <c r="R116" s="61">
        <f t="shared" si="26"/>
        <v>98.810094242202183</v>
      </c>
      <c r="S116" s="61">
        <f t="shared" si="26"/>
        <v>98.653027134578835</v>
      </c>
      <c r="T116" s="61">
        <f t="shared" si="26"/>
        <v>99.367115674487778</v>
      </c>
      <c r="U116" s="61">
        <f t="shared" si="26"/>
        <v>98.52522433297473</v>
      </c>
      <c r="V116" s="61">
        <f t="shared" si="26"/>
        <v>98.597339573933368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>
        <f t="shared" si="27"/>
        <v>93.221827626375472</v>
      </c>
    </row>
    <row r="118" spans="3:22" x14ac:dyDescent="0.2">
      <c r="C118" s="87" t="s">
        <v>149</v>
      </c>
      <c r="D118" s="60">
        <f t="shared" ref="D118:V118" si="28">+IFERROR(IF(D79&gt;0,+((D79/D39)*100)," "),"")</f>
        <v>80</v>
      </c>
      <c r="E118" s="60">
        <f t="shared" si="28"/>
        <v>100</v>
      </c>
      <c r="F118" s="60">
        <f t="shared" si="28"/>
        <v>98.641349769000001</v>
      </c>
      <c r="G118" s="60">
        <f t="shared" si="28"/>
        <v>99.473739393488856</v>
      </c>
      <c r="H118" s="60">
        <f t="shared" si="28"/>
        <v>97.058032803600653</v>
      </c>
      <c r="I118" s="60">
        <f t="shared" si="28"/>
        <v>99.981812940671162</v>
      </c>
      <c r="J118" s="60">
        <f t="shared" si="28"/>
        <v>99.464426288442013</v>
      </c>
      <c r="K118" s="60">
        <f t="shared" si="28"/>
        <v>91.084754840454551</v>
      </c>
      <c r="L118" s="60">
        <f t="shared" si="28"/>
        <v>98.469066410502307</v>
      </c>
      <c r="M118" s="60">
        <f t="shared" si="28"/>
        <v>25.87342301683373</v>
      </c>
      <c r="N118" s="60">
        <f t="shared" si="28"/>
        <v>80.285326924661248</v>
      </c>
      <c r="O118" s="60">
        <f t="shared" si="28"/>
        <v>67.478907873635961</v>
      </c>
      <c r="P118" s="60">
        <f t="shared" si="28"/>
        <v>58.193427573713841</v>
      </c>
      <c r="Q118" s="60">
        <f t="shared" si="28"/>
        <v>41.944244527785429</v>
      </c>
      <c r="R118" s="60">
        <f t="shared" si="28"/>
        <v>96.778663246236562</v>
      </c>
      <c r="S118" s="60">
        <f t="shared" si="28"/>
        <v>93.874739638358037</v>
      </c>
      <c r="T118" s="60">
        <f t="shared" si="28"/>
        <v>99.051699134811173</v>
      </c>
      <c r="U118" s="60">
        <f t="shared" si="28"/>
        <v>97.466871137302846</v>
      </c>
      <c r="V118" s="60">
        <f t="shared" si="28"/>
        <v>98.001147886607825</v>
      </c>
    </row>
    <row r="119" spans="3:22" x14ac:dyDescent="0.2">
      <c r="C119" s="88" t="s">
        <v>150</v>
      </c>
      <c r="D119" s="62">
        <f t="shared" ref="D119:V119" si="29">+IFERROR(IF(D80&gt;0,+((D80/D40)*100)," "),"")</f>
        <v>67.344893471422381</v>
      </c>
      <c r="E119" s="62">
        <f t="shared" si="29"/>
        <v>84.396956705970297</v>
      </c>
      <c r="F119" s="62">
        <f t="shared" si="29"/>
        <v>79.62306759776736</v>
      </c>
      <c r="G119" s="62">
        <f t="shared" si="29"/>
        <v>98.750286549253531</v>
      </c>
      <c r="H119" s="62">
        <f t="shared" si="29"/>
        <v>98.286636981608183</v>
      </c>
      <c r="I119" s="62">
        <f t="shared" si="29"/>
        <v>98.643313927448233</v>
      </c>
      <c r="J119" s="62">
        <f t="shared" si="29"/>
        <v>80.693789633245331</v>
      </c>
      <c r="K119" s="62">
        <f t="shared" si="29"/>
        <v>97.944987855234601</v>
      </c>
      <c r="L119" s="62">
        <f t="shared" si="29"/>
        <v>98.109303627564699</v>
      </c>
      <c r="M119" s="62">
        <f t="shared" si="29"/>
        <v>98.153289242194916</v>
      </c>
      <c r="N119" s="62">
        <f t="shared" si="29"/>
        <v>97.757578694568011</v>
      </c>
      <c r="O119" s="62">
        <f t="shared" si="29"/>
        <v>96.852141619373526</v>
      </c>
      <c r="P119" s="62">
        <f t="shared" si="29"/>
        <v>96.052742630147876</v>
      </c>
      <c r="Q119" s="62">
        <f t="shared" si="29"/>
        <v>99.30036571731128</v>
      </c>
      <c r="R119" s="62">
        <f t="shared" si="29"/>
        <v>98.393859644393572</v>
      </c>
      <c r="S119" s="62">
        <f t="shared" si="29"/>
        <v>97.740505096385604</v>
      </c>
      <c r="T119" s="62">
        <f t="shared" si="29"/>
        <v>99.974165307030006</v>
      </c>
      <c r="U119" s="62">
        <f t="shared" si="29"/>
        <v>98.848092892740709</v>
      </c>
      <c r="V119" s="62">
        <f t="shared" si="29"/>
        <v>99.706045513503256</v>
      </c>
    </row>
    <row r="120" spans="3:22" x14ac:dyDescent="0.2">
      <c r="C120" s="87" t="s">
        <v>151</v>
      </c>
      <c r="D120" s="60">
        <f t="shared" ref="D120:V120" si="30">+IFERROR(IF(D81&gt;0,+((D81/D41)*100)," "),"")</f>
        <v>99.2455262397214</v>
      </c>
      <c r="E120" s="60">
        <f t="shared" si="30"/>
        <v>99.70601087849208</v>
      </c>
      <c r="F120" s="60">
        <f t="shared" si="30"/>
        <v>89.566230840070062</v>
      </c>
      <c r="G120" s="60">
        <f t="shared" si="30"/>
        <v>92.727829064672108</v>
      </c>
      <c r="H120" s="60">
        <f t="shared" si="30"/>
        <v>99.95581314511999</v>
      </c>
      <c r="I120" s="60">
        <f t="shared" si="30"/>
        <v>98.769048834584339</v>
      </c>
      <c r="J120" s="60">
        <f t="shared" si="30"/>
        <v>99.441510493363722</v>
      </c>
      <c r="K120" s="60">
        <f t="shared" si="30"/>
        <v>99.470401449788895</v>
      </c>
      <c r="L120" s="60">
        <f t="shared" si="30"/>
        <v>99.099702042159464</v>
      </c>
      <c r="M120" s="60">
        <f t="shared" si="30"/>
        <v>97.021688286558373</v>
      </c>
      <c r="N120" s="60">
        <f t="shared" si="30"/>
        <v>99.466619411220492</v>
      </c>
      <c r="O120" s="60">
        <f t="shared" si="30"/>
        <v>98.702553903290806</v>
      </c>
      <c r="P120" s="60">
        <f t="shared" si="30"/>
        <v>99.880675592097504</v>
      </c>
      <c r="Q120" s="60">
        <f t="shared" si="30"/>
        <v>98.23533223106304</v>
      </c>
      <c r="R120" s="60">
        <f t="shared" si="30"/>
        <v>99.514945346193556</v>
      </c>
      <c r="S120" s="60">
        <f t="shared" si="30"/>
        <v>99.755266498961049</v>
      </c>
      <c r="T120" s="60">
        <f t="shared" si="30"/>
        <v>99.46465299638615</v>
      </c>
      <c r="U120" s="60">
        <f t="shared" si="30"/>
        <v>99.916072261317723</v>
      </c>
      <c r="V120" s="60">
        <f t="shared" si="30"/>
        <v>99.411453341819808</v>
      </c>
    </row>
    <row r="121" spans="3:22" x14ac:dyDescent="0.2">
      <c r="C121" s="91" t="s">
        <v>202</v>
      </c>
      <c r="D121" s="64">
        <f t="shared" ref="D121:V121" si="31">+IFERROR(IF(D82&gt;0,+((D82/D42)*100)," "),"")</f>
        <v>81.49217727245275</v>
      </c>
      <c r="E121" s="64">
        <f t="shared" si="31"/>
        <v>92.690470932268113</v>
      </c>
      <c r="F121" s="64">
        <f t="shared" si="31"/>
        <v>84.398883113041634</v>
      </c>
      <c r="G121" s="64">
        <f t="shared" si="31"/>
        <v>98.629699765105045</v>
      </c>
      <c r="H121" s="64">
        <f t="shared" si="31"/>
        <v>95.592236171062453</v>
      </c>
      <c r="I121" s="64">
        <f t="shared" si="31"/>
        <v>93.379688818657513</v>
      </c>
      <c r="J121" s="64">
        <f t="shared" si="31"/>
        <v>91.978695521283484</v>
      </c>
      <c r="K121" s="64">
        <f t="shared" si="31"/>
        <v>86.52412993161596</v>
      </c>
      <c r="L121" s="64">
        <f t="shared" si="31"/>
        <v>97.745332109147299</v>
      </c>
      <c r="M121" s="64">
        <f t="shared" si="31"/>
        <v>93.361637334800648</v>
      </c>
      <c r="N121" s="64">
        <f t="shared" si="31"/>
        <v>94.823412184142171</v>
      </c>
      <c r="O121" s="64">
        <f t="shared" si="31"/>
        <v>97.229893461519026</v>
      </c>
      <c r="P121" s="64">
        <f t="shared" si="31"/>
        <v>94.782790537151286</v>
      </c>
      <c r="Q121" s="64">
        <f t="shared" si="31"/>
        <v>95.103684073174648</v>
      </c>
      <c r="R121" s="64">
        <f t="shared" si="31"/>
        <v>96.022540629275426</v>
      </c>
      <c r="S121" s="64">
        <f t="shared" si="31"/>
        <v>96.893303457872108</v>
      </c>
      <c r="T121" s="64">
        <f t="shared" si="31"/>
        <v>96.752945416540101</v>
      </c>
      <c r="U121" s="64">
        <f t="shared" si="31"/>
        <v>97.97356564399368</v>
      </c>
      <c r="V121" s="64">
        <f t="shared" si="31"/>
        <v>97.28731896101857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D127" s="164" t="s">
        <v>213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x14ac:dyDescent="0.2"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3:22" x14ac:dyDescent="0.2">
      <c r="C129" s="181" t="s">
        <v>120</v>
      </c>
      <c r="D129" s="155">
        <v>2000</v>
      </c>
      <c r="E129" s="155">
        <v>2001</v>
      </c>
      <c r="F129" s="155">
        <v>2002</v>
      </c>
      <c r="G129" s="155">
        <v>2003</v>
      </c>
      <c r="H129" s="155">
        <v>2004</v>
      </c>
      <c r="I129" s="155">
        <v>2005</v>
      </c>
      <c r="J129" s="155">
        <v>2006</v>
      </c>
      <c r="K129" s="155">
        <v>2007</v>
      </c>
      <c r="L129" s="155">
        <v>2008</v>
      </c>
      <c r="M129" s="155">
        <v>2009</v>
      </c>
      <c r="N129" s="155">
        <v>2010</v>
      </c>
      <c r="O129" s="155">
        <v>2011</v>
      </c>
      <c r="P129" s="155">
        <v>2012</v>
      </c>
      <c r="Q129" s="155">
        <v>2013</v>
      </c>
      <c r="R129" s="155">
        <v>2014</v>
      </c>
      <c r="S129" s="155">
        <v>2015</v>
      </c>
      <c r="T129" s="155">
        <v>2016</v>
      </c>
      <c r="U129" s="155">
        <v>2017</v>
      </c>
      <c r="V129" s="155">
        <v>2018</v>
      </c>
    </row>
    <row r="130" spans="3:22" ht="12" customHeight="1" thickBot="1" x14ac:dyDescent="0.25">
      <c r="C130" s="162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</row>
    <row r="131" spans="3:22" x14ac:dyDescent="0.2">
      <c r="C131" s="87" t="s">
        <v>123</v>
      </c>
      <c r="D131" s="56">
        <f>184.67945691558*Deflactores!$A$5</f>
        <v>689.2081412465219</v>
      </c>
      <c r="E131" s="56">
        <f>251.22436433154*Deflactores!$B$5</f>
        <v>870.93626430027496</v>
      </c>
      <c r="F131" s="56">
        <f>230.73979158523*Deflactores!$C$5</f>
        <v>747.64676099459007</v>
      </c>
      <c r="G131" s="56">
        <f>129.39295663393*Deflactores!$D$5</f>
        <v>393.70435246672872</v>
      </c>
      <c r="H131" s="56">
        <f>220.40300738359*Deflactores!$E$5</f>
        <v>635.67781712545604</v>
      </c>
      <c r="I131" s="56">
        <f>284.069803589789*Deflactores!$F$5</f>
        <v>781.36648920523623</v>
      </c>
      <c r="J131" s="56">
        <f>462.580384506129*Deflactores!$G$5</f>
        <v>1217.8457575721188</v>
      </c>
      <c r="K131" s="56">
        <f>862.04481320096*Deflactores!$H$5</f>
        <v>2147.2503816676594</v>
      </c>
      <c r="L131" s="56">
        <f>1048.00320780541*Deflactores!$I$5</f>
        <v>2424.3935085995922</v>
      </c>
      <c r="M131" s="56">
        <f>1051.70189328562*Deflactores!$J$5</f>
        <v>2385.2026681965235</v>
      </c>
      <c r="N131" s="56">
        <f>931.5722528668*Deflactores!$K$5</f>
        <v>2047.8144339346131</v>
      </c>
      <c r="O131" s="56">
        <f>1052.96177117086*Deflactores!$L$5</f>
        <v>2231.4962431156523</v>
      </c>
      <c r="P131" s="56">
        <f>1500.73953405479*Deflactores!$M$5</f>
        <v>3104.6976258902669</v>
      </c>
      <c r="Q131" s="56">
        <f>1889.98064265102*Deflactores!$N$5</f>
        <v>3835.5417383537101</v>
      </c>
      <c r="R131" s="56">
        <f>2714.40790689171*Deflactores!$O$5</f>
        <v>5314.1433351434644</v>
      </c>
      <c r="S131" s="56">
        <f>2802.57555008745*Deflactores!$P$5</f>
        <v>5138.8535208405028</v>
      </c>
      <c r="T131" s="56">
        <f>1560.91919835822*Deflactores!$Q$5</f>
        <v>2706.5057613860522</v>
      </c>
      <c r="U131" s="56">
        <f>1996.57773876564*Deflactores!$R$5</f>
        <v>3325.8736759319572</v>
      </c>
      <c r="V131" s="56">
        <f>877.959083228069*Deflactores!$S$5</f>
        <v>1417.4190912074366</v>
      </c>
    </row>
    <row r="132" spans="3:22" x14ac:dyDescent="0.2">
      <c r="C132" s="88" t="s">
        <v>124</v>
      </c>
      <c r="D132" s="57">
        <f>21.37412865531*Deflactores!$A$5</f>
        <v>79.766443584594839</v>
      </c>
      <c r="E132" s="57">
        <f>33.58266301322*Deflactores!$B$5</f>
        <v>116.42325834046046</v>
      </c>
      <c r="F132" s="57">
        <f>33.74139865185*Deflactores!$C$5</f>
        <v>109.32941925695003</v>
      </c>
      <c r="G132" s="57">
        <f>53.18036131022*Deflactores!$D$5</f>
        <v>161.81205112130931</v>
      </c>
      <c r="H132" s="57">
        <f>46.0294290108499*Deflactores!$E$5</f>
        <v>132.75629631597639</v>
      </c>
      <c r="I132" s="57">
        <f>67.62138069866*Deflactores!$F$5</f>
        <v>186.00034274682034</v>
      </c>
      <c r="J132" s="57">
        <f>118.87005602673*Deflactores!$G$5</f>
        <v>312.95186368326245</v>
      </c>
      <c r="K132" s="57">
        <f>354.11123667931*Deflactores!$H$5</f>
        <v>882.04867829208649</v>
      </c>
      <c r="L132" s="57">
        <f>373.67583675123*Deflactores!$I$5</f>
        <v>864.44131677544885</v>
      </c>
      <c r="M132" s="57">
        <f>340.760282099399*Deflactores!$J$5</f>
        <v>772.82577816768458</v>
      </c>
      <c r="N132" s="57">
        <f>410.3836519125*Deflactores!$K$5</f>
        <v>902.11957607262252</v>
      </c>
      <c r="O132" s="57">
        <f>219.09251307469*Deflactores!$L$5</f>
        <v>464.31326683141765</v>
      </c>
      <c r="P132" s="57">
        <f>106.054193829091*Deflactores!$M$5</f>
        <v>219.40263205251443</v>
      </c>
      <c r="Q132" s="57">
        <f>136.13782281665*Deflactores!$N$5</f>
        <v>276.27917969013771</v>
      </c>
      <c r="R132" s="57">
        <f>146.305244668261*Deflactores!$O$5</f>
        <v>286.42969941119856</v>
      </c>
      <c r="S132" s="57">
        <f>196.632446251506*Deflactores!$P$5</f>
        <v>360.54883112767556</v>
      </c>
      <c r="T132" s="57">
        <f>186.063070737816*Deflactores!$Q$5</f>
        <v>322.61809161085824</v>
      </c>
      <c r="U132" s="57">
        <f>202.3894201023*Deflactores!$R$5</f>
        <v>337.13770895869192</v>
      </c>
      <c r="V132" s="57">
        <f>159.783188754449*Deflactores!$S$5</f>
        <v>257.96161406729743</v>
      </c>
    </row>
    <row r="133" spans="3:22" x14ac:dyDescent="0.2">
      <c r="C133" s="87" t="s">
        <v>125</v>
      </c>
      <c r="D133" s="56">
        <f>20.545483391*Deflactores!$A$5</f>
        <v>76.674009418357883</v>
      </c>
      <c r="E133" s="56">
        <f>33.18002699995*Deflactores!$B$5</f>
        <v>115.02741321133378</v>
      </c>
      <c r="F133" s="56">
        <f>17.17255298646*Deflactores!$C$5</f>
        <v>55.642780684372603</v>
      </c>
      <c r="G133" s="56">
        <f>9.92716810509*Deflactores!$D$5</f>
        <v>30.205425336250112</v>
      </c>
      <c r="H133" s="56">
        <f>34.54573320167*Deflactores!$E$5</f>
        <v>99.63546565595091</v>
      </c>
      <c r="I133" s="56">
        <f>27.05380612204*Deflactores!$F$5</f>
        <v>74.414588393714681</v>
      </c>
      <c r="J133" s="56">
        <f>38.0651045518*Deflactores!$G$5</f>
        <v>100.21485485045369</v>
      </c>
      <c r="K133" s="56">
        <f>68.71513163497*Deflactores!$H$5</f>
        <v>171.16116281896387</v>
      </c>
      <c r="L133" s="56">
        <f>123.780734702*Deflactores!$I$5</f>
        <v>286.3476060628027</v>
      </c>
      <c r="M133" s="56">
        <f>130.95984248537*Deflactores!$J$5</f>
        <v>297.00979689866261</v>
      </c>
      <c r="N133" s="56">
        <f>310.11040079419*Deflactores!$K$5</f>
        <v>681.69543790651312</v>
      </c>
      <c r="O133" s="56">
        <f>351.51111180104*Deflactores!$L$5</f>
        <v>744.9422636922551</v>
      </c>
      <c r="P133" s="56">
        <f>374.33902296769*Deflactores!$M$5</f>
        <v>774.42450839269929</v>
      </c>
      <c r="Q133" s="56">
        <f>398.39529388994*Deflactores!$N$5</f>
        <v>808.50657599074168</v>
      </c>
      <c r="R133" s="56">
        <f>336.17126917952*Deflactores!$O$5</f>
        <v>658.14069618694782</v>
      </c>
      <c r="S133" s="56">
        <f>328.274931341819*Deflactores!$P$5</f>
        <v>601.93088699319526</v>
      </c>
      <c r="T133" s="56">
        <f>281.088120646199*Deflactores!$Q$5</f>
        <v>487.38372798943868</v>
      </c>
      <c r="U133" s="56">
        <f>356.684413090219*Deflactores!$R$5</f>
        <v>594.16033599844047</v>
      </c>
      <c r="V133" s="56">
        <f>247.07504864002*Deflactores!$S$5</f>
        <v>398.88976330847521</v>
      </c>
    </row>
    <row r="134" spans="3:22" x14ac:dyDescent="0.2">
      <c r="C134" s="88" t="s">
        <v>126</v>
      </c>
      <c r="D134" s="57">
        <f>52.47501717977*Deflactores!$A$5</f>
        <v>195.83233379812651</v>
      </c>
      <c r="E134" s="57">
        <f>67.6145702039*Deflactores!$B$5</f>
        <v>234.40394144231595</v>
      </c>
      <c r="F134" s="57">
        <f>45.2477557202099*Deflactores!$C$5</f>
        <v>146.61250135520552</v>
      </c>
      <c r="G134" s="57">
        <f>25.71650102841*Deflactores!$D$5</f>
        <v>78.247677837243103</v>
      </c>
      <c r="H134" s="57">
        <f>13.2360909442499*Deflactores!$E$5</f>
        <v>38.175020833863833</v>
      </c>
      <c r="I134" s="57">
        <f>15.2200634325399*Deflactores!$F$5</f>
        <v>41.864525477470274</v>
      </c>
      <c r="J134" s="57">
        <f>26.62199281256*Deflactores!$G$5</f>
        <v>70.088317816386052</v>
      </c>
      <c r="K134" s="57">
        <f>76.00194425202*Deflactores!$H$5</f>
        <v>189.31174029880745</v>
      </c>
      <c r="L134" s="57">
        <f>59.728931699*Deflactores!$I$5</f>
        <v>138.17365558439323</v>
      </c>
      <c r="M134" s="57">
        <f>149.23988166931*Deflactores!$J$5</f>
        <v>338.467931104407</v>
      </c>
      <c r="N134" s="57">
        <f>185.25690115858*Deflactores!$K$5</f>
        <v>407.23814498668008</v>
      </c>
      <c r="O134" s="57">
        <f>176.51099676584*Deflactores!$L$5</f>
        <v>374.07210492892341</v>
      </c>
      <c r="P134" s="57">
        <f>260.73603094218*Deflactores!$M$5</f>
        <v>539.40508521359664</v>
      </c>
      <c r="Q134" s="57">
        <f>303.41323646085*Deflactores!$N$5</f>
        <v>615.74923369702367</v>
      </c>
      <c r="R134" s="57">
        <f>216.720995418859*Deflactores!$O$5</f>
        <v>424.28642742556411</v>
      </c>
      <c r="S134" s="57">
        <f>218.52685574213*Deflactores!$P$5</f>
        <v>400.69481873329289</v>
      </c>
      <c r="T134" s="57">
        <f>205.616803038199*Deflactores!$Q$5</f>
        <v>356.52265834515879</v>
      </c>
      <c r="U134" s="57">
        <f>238.901588567529*Deflactores!$R$5</f>
        <v>397.95921247038274</v>
      </c>
      <c r="V134" s="57">
        <f>62.00884598359*Deflactores!$S$5</f>
        <v>100.11004362267079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7.4222326*Deflactores!$D$5</f>
        <v>22.58365026705156</v>
      </c>
      <c r="H135" s="56">
        <f>0*Deflactores!$E$5</f>
        <v>0</v>
      </c>
      <c r="I135" s="56">
        <f>4.468227078*Deflactores!$F$5</f>
        <v>12.29036969360628</v>
      </c>
      <c r="J135" s="56">
        <f>37.905725492*Deflactores!$G$5</f>
        <v>99.795254023603917</v>
      </c>
      <c r="K135" s="56">
        <f>12.99541459514*Deflactores!$H$5</f>
        <v>32.370021281989615</v>
      </c>
      <c r="L135" s="56">
        <f>13.60924860814*Deflactores!$I$5</f>
        <v>31.482894075853732</v>
      </c>
      <c r="M135" s="56">
        <f>10.39842512527*Deflactores!$J$5</f>
        <v>23.583062379350476</v>
      </c>
      <c r="N135" s="56">
        <f>26.66466349089*Deflactores!$K$5</f>
        <v>58.615188037874496</v>
      </c>
      <c r="O135" s="56">
        <f>13.969757142*Deflactores!$L$5</f>
        <v>29.605500819794393</v>
      </c>
      <c r="P135" s="56">
        <f>5.50236868371*Deflactores!$M$5</f>
        <v>11.383181825650304</v>
      </c>
      <c r="Q135" s="56">
        <f>36.250531477*Deflactores!$N$5</f>
        <v>73.567116709994764</v>
      </c>
      <c r="R135" s="56">
        <f>50.0090147194*Deflactores!$O$5</f>
        <v>97.905355931750577</v>
      </c>
      <c r="S135" s="56">
        <f>52.21069267632*Deflactores!$P$5</f>
        <v>95.734476052521217</v>
      </c>
      <c r="T135" s="56">
        <f>62.44311337586*Deflactores!$Q$5</f>
        <v>108.27123293018954</v>
      </c>
      <c r="U135" s="56">
        <f>64.75029318367*Deflactores!$R$5</f>
        <v>107.86021071314899</v>
      </c>
      <c r="V135" s="56">
        <f>47.1439929030099*Deflactores!$S$5</f>
        <v>76.111514594485328</v>
      </c>
    </row>
    <row r="136" spans="3:22" x14ac:dyDescent="0.2">
      <c r="C136" s="88" t="s">
        <v>128</v>
      </c>
      <c r="D136" s="57">
        <f>10.7002177127399*Deflactores!$A$5</f>
        <v>39.932309114931293</v>
      </c>
      <c r="E136" s="57">
        <f>16.21797608455*Deflactores!$B$5</f>
        <v>56.22393967707962</v>
      </c>
      <c r="F136" s="57">
        <f>9.35359502551*Deflactores!$C$5</f>
        <v>30.307668115815815</v>
      </c>
      <c r="G136" s="57">
        <f>8.57728974945*Deflactores!$D$5</f>
        <v>26.098146255985711</v>
      </c>
      <c r="H136" s="57">
        <f>23.7032799705299*Deflactores!$E$5</f>
        <v>68.36408200254823</v>
      </c>
      <c r="I136" s="57">
        <f>27.3304373868199*Deflactores!$F$5</f>
        <v>75.175494331037058</v>
      </c>
      <c r="J136" s="57">
        <f>41.35425781829*Deflactores!$G$5</f>
        <v>108.8742824564815</v>
      </c>
      <c r="K136" s="57">
        <f>46.0481399475099*Deflactores!$H$5</f>
        <v>114.70040137498773</v>
      </c>
      <c r="L136" s="57">
        <f>63.76696157882*Deflactores!$I$5</f>
        <v>147.51501385052606</v>
      </c>
      <c r="M136" s="57">
        <f>71.43695210838*Deflactores!$J$5</f>
        <v>162.01512031552508</v>
      </c>
      <c r="N136" s="57">
        <f>83.33697348174*Deflactores!$K$5</f>
        <v>183.19422530152875</v>
      </c>
      <c r="O136" s="57">
        <f>92.95075846535*Deflactores!$L$5</f>
        <v>196.98651365047689</v>
      </c>
      <c r="P136" s="57">
        <f>170.16675716227*Deflactores!$M$5</f>
        <v>352.03732225252156</v>
      </c>
      <c r="Q136" s="57">
        <f>177.014539922909*Deflactores!$N$5</f>
        <v>359.23471428652209</v>
      </c>
      <c r="R136" s="57">
        <f>177.183341762499*Deflactores!$O$5</f>
        <v>346.88142203499501</v>
      </c>
      <c r="S136" s="57">
        <f>201.65425819191*Deflactores!$P$5</f>
        <v>369.75691687228243</v>
      </c>
      <c r="T136" s="57">
        <f>151.09620904219*Deflactores!$Q$5</f>
        <v>261.98842369701515</v>
      </c>
      <c r="U136" s="57">
        <f>154.38958106477*Deflactores!$R$5</f>
        <v>257.18019064909259</v>
      </c>
      <c r="V136" s="57">
        <f>104.17822494029*Deflactores!$S$5</f>
        <v>168.1903037844769</v>
      </c>
    </row>
    <row r="137" spans="3:22" x14ac:dyDescent="0.2">
      <c r="C137" s="87" t="s">
        <v>129</v>
      </c>
      <c r="D137" s="56">
        <f>367.62471420271*Deflactores!$A$5</f>
        <v>1371.9443958932213</v>
      </c>
      <c r="E137" s="56">
        <f>478.42842365187*Deflactores!$B$5</f>
        <v>1658.5997346998431</v>
      </c>
      <c r="F137" s="56">
        <f>586.924552173229*Deflactores!$C$5</f>
        <v>1901.7623157487676</v>
      </c>
      <c r="G137" s="56">
        <f>484.422939741729*Deflactores!$D$5</f>
        <v>1473.9551886940596</v>
      </c>
      <c r="H137" s="56">
        <f>479.591862101679*Deflactores!$E$5</f>
        <v>1383.2202728583397</v>
      </c>
      <c r="I137" s="56">
        <f>432.15973769685*Deflactores!$F$5</f>
        <v>1188.7047928109362</v>
      </c>
      <c r="J137" s="56">
        <f>770.780578778649*Deflactores!$G$5</f>
        <v>2029.2513243654903</v>
      </c>
      <c r="K137" s="56">
        <f>1037.54297204679*Deflactores!$H$5</f>
        <v>2584.3952757531501</v>
      </c>
      <c r="L137" s="56">
        <f>3157.3379508106*Deflactores!$I$5</f>
        <v>7304.0135520478716</v>
      </c>
      <c r="M137" s="56">
        <f>2671.49444722709*Deflactores!$J$5</f>
        <v>6058.8040435025978</v>
      </c>
      <c r="N137" s="56">
        <f>1622.33791363501*Deflactores!$K$5</f>
        <v>3566.2794657497893</v>
      </c>
      <c r="O137" s="56">
        <f>1192.10282727465*Deflactores!$L$5</f>
        <v>2526.3718525249983</v>
      </c>
      <c r="P137" s="56">
        <f>1702.93143862937*Deflactores!$M$5</f>
        <v>3522.9878833680923</v>
      </c>
      <c r="Q137" s="56">
        <f>2581.07992805472*Deflactores!$N$5</f>
        <v>5238.0641212254204</v>
      </c>
      <c r="R137" s="56">
        <f>1913.1500643216*Deflactores!$O$5</f>
        <v>3745.4774713966817</v>
      </c>
      <c r="S137" s="56">
        <f>1216.86416876483*Deflactores!$P$5</f>
        <v>2231.2642804033148</v>
      </c>
      <c r="T137" s="56">
        <f>867.424687795991*Deflactores!$Q$5</f>
        <v>1504.0432057967225</v>
      </c>
      <c r="U137" s="56">
        <f>810.614612412895*Deflactores!$R$5</f>
        <v>1350.3114596562637</v>
      </c>
      <c r="V137" s="56">
        <f>519.006862392118*Deflactores!$S$5</f>
        <v>837.90947582366755</v>
      </c>
    </row>
    <row r="138" spans="3:22" x14ac:dyDescent="0.2">
      <c r="C138" s="88" t="s">
        <v>130</v>
      </c>
      <c r="D138" s="57">
        <f>20.777910023*Deflactores!$A$5</f>
        <v>77.541405985860962</v>
      </c>
      <c r="E138" s="57">
        <f>35.37455426187*Deflactores!$B$5</f>
        <v>122.63532727845583</v>
      </c>
      <c r="F138" s="57">
        <f>10.96235268833*Deflactores!$C$5</f>
        <v>35.520390410350437</v>
      </c>
      <c r="G138" s="57">
        <f>9.89428243546*Deflactores!$D$5</f>
        <v>30.105364006762571</v>
      </c>
      <c r="H138" s="57">
        <f>57.64286058155*Deflactores!$E$5</f>
        <v>166.25130583438167</v>
      </c>
      <c r="I138" s="57">
        <f>45.7637279675*Deflactores!$F$5</f>
        <v>125.87836863697646</v>
      </c>
      <c r="J138" s="57">
        <f>68.56015490047*Deflactores!$G$5</f>
        <v>180.49985814501915</v>
      </c>
      <c r="K138" s="57">
        <f>55.71820258425*Deflactores!$H$5</f>
        <v>138.78736920951241</v>
      </c>
      <c r="L138" s="57">
        <f>121.537643698309*Deflactores!$I$5</f>
        <v>281.1585615751103</v>
      </c>
      <c r="M138" s="57">
        <f>102.06483399845*Deflactores!$J$5</f>
        <v>231.47748990124103</v>
      </c>
      <c r="N138" s="57">
        <f>111.83176094635*Deflactores!$K$5</f>
        <v>245.83245532862131</v>
      </c>
      <c r="O138" s="57">
        <f>134.81585283081*Deflactores!$L$5</f>
        <v>285.70939358022417</v>
      </c>
      <c r="P138" s="57">
        <f>264.16768379326*Deflactores!$M$5</f>
        <v>546.50441472272303</v>
      </c>
      <c r="Q138" s="57">
        <f>321.37163963124*Deflactores!$N$5</f>
        <v>652.19415983002273</v>
      </c>
      <c r="R138" s="57">
        <f>290.49069110278*Deflactores!$O$5</f>
        <v>568.70935504044076</v>
      </c>
      <c r="S138" s="57">
        <f>350.12694987756*Deflactores!$P$5</f>
        <v>641.99914577264565</v>
      </c>
      <c r="T138" s="57">
        <f>227.25612097164*Deflactores!$Q$5</f>
        <v>394.04345937119746</v>
      </c>
      <c r="U138" s="57">
        <f>416.07362905724*Deflactores!$R$5</f>
        <v>693.09013281219643</v>
      </c>
      <c r="V138" s="57">
        <f>366.45051589856*Deflactores!$S$5</f>
        <v>591.61522118736843</v>
      </c>
    </row>
    <row r="139" spans="3:22" x14ac:dyDescent="0.2">
      <c r="C139" s="87" t="s">
        <v>131</v>
      </c>
      <c r="D139" s="56">
        <f>86.35499660579*Deflactores!$A$5</f>
        <v>322.26955662552245</v>
      </c>
      <c r="E139" s="56">
        <f>48.34773094472*Deflactores!$B$5</f>
        <v>167.61030439237064</v>
      </c>
      <c r="F139" s="56">
        <f>73.49965372703*Deflactores!$C$5</f>
        <v>238.15475287425662</v>
      </c>
      <c r="G139" s="56">
        <f>89.46247996286*Deflactores!$D$5</f>
        <v>272.20776663673115</v>
      </c>
      <c r="H139" s="56">
        <f>132.24746799054*Deflactores!$E$5</f>
        <v>381.42302489677479</v>
      </c>
      <c r="I139" s="56">
        <f>245.776260190299*Deflactores!$F$5</f>
        <v>676.03571772874488</v>
      </c>
      <c r="J139" s="56">
        <f>268.05839330821*Deflactores!$G$5</f>
        <v>705.72334670121882</v>
      </c>
      <c r="K139" s="56">
        <f>575.782773028959*Deflactores!$H$5</f>
        <v>1434.2059255054965</v>
      </c>
      <c r="L139" s="56">
        <f>734.569457056539*Deflactores!$I$5</f>
        <v>1699.3129506088967</v>
      </c>
      <c r="M139" s="56">
        <f>821.58213335127*Deflactores!$J$5</f>
        <v>1863.3035740669191</v>
      </c>
      <c r="N139" s="56">
        <f>870.45607203817*Deflactores!$K$5</f>
        <v>1913.4667256782986</v>
      </c>
      <c r="O139" s="56">
        <f>821.62902903368*Deflactores!$L$5</f>
        <v>1741.2427893604024</v>
      </c>
      <c r="P139" s="56">
        <f>934.378423592749*Deflactores!$M$5</f>
        <v>1933.0219585629891</v>
      </c>
      <c r="Q139" s="56">
        <f>1442.17352733773*Deflactores!$N$5</f>
        <v>2926.7584192257991</v>
      </c>
      <c r="R139" s="56">
        <f>1823.6576369933*Deflactores!$O$5</f>
        <v>3570.27330070994</v>
      </c>
      <c r="S139" s="56">
        <f>2396.58243904718*Deflactores!$P$5</f>
        <v>4394.4171654883048</v>
      </c>
      <c r="T139" s="56">
        <f>2531.92850159937*Deflactores!$Q$5</f>
        <v>4390.1561875873658</v>
      </c>
      <c r="U139" s="56">
        <f>3205.4284345738*Deflactores!$R$5</f>
        <v>5339.5617128455642</v>
      </c>
      <c r="V139" s="56">
        <f>3207.51566118486*Deflactores!$S$5</f>
        <v>5178.3665325201036</v>
      </c>
    </row>
    <row r="140" spans="3:22" x14ac:dyDescent="0.2">
      <c r="C140" s="88" t="s">
        <v>132</v>
      </c>
      <c r="D140" s="57">
        <f>0*Deflactores!$A$5</f>
        <v>0</v>
      </c>
      <c r="E140" s="57">
        <f>0*Deflactores!$B$5</f>
        <v>0</v>
      </c>
      <c r="F140" s="57">
        <f>0*Deflactores!$C$5</f>
        <v>0</v>
      </c>
      <c r="G140" s="57">
        <f>0*Deflactores!$D$5</f>
        <v>0</v>
      </c>
      <c r="H140" s="57">
        <f>1.05439496959*Deflactores!$E$5</f>
        <v>3.0410451318865999</v>
      </c>
      <c r="I140" s="57">
        <f>0.6801182*Deflactores!$F$5</f>
        <v>1.8707429070707706</v>
      </c>
      <c r="J140" s="57">
        <f>0*Deflactores!$G$5</f>
        <v>0</v>
      </c>
      <c r="K140" s="57">
        <f>3.00562964263999*Deflactores!$H$5</f>
        <v>7.4866634523857742</v>
      </c>
      <c r="L140" s="57">
        <f>2.758*Deflactores!$I$5</f>
        <v>6.3802068990987282</v>
      </c>
      <c r="M140" s="57">
        <f>0.55841199934*Deflactores!$J$5</f>
        <v>1.2664480298857848</v>
      </c>
      <c r="N140" s="57">
        <f>2.04147545971*Deflactores!$K$5</f>
        <v>4.4876421555625612</v>
      </c>
      <c r="O140" s="57">
        <f>3.29327210056*Deflactores!$L$5</f>
        <v>6.9792888224094423</v>
      </c>
      <c r="P140" s="57">
        <f>9.22299242554*Deflactores!$M$5</f>
        <v>19.080328089852625</v>
      </c>
      <c r="Q140" s="57">
        <f>6.77195395508*Deflactores!$N$5</f>
        <v>13.743057182049075</v>
      </c>
      <c r="R140" s="57">
        <f>8.18454140836*Deflactores!$O$5</f>
        <v>16.023319879821276</v>
      </c>
      <c r="S140" s="57">
        <f>8.38615291393*Deflactores!$P$5</f>
        <v>15.377002567053472</v>
      </c>
      <c r="T140" s="57">
        <f>14.75203270557*Deflactores!$Q$5</f>
        <v>25.578813785989347</v>
      </c>
      <c r="U140" s="57">
        <f>17.52813157709*Deflactores!$R$5</f>
        <v>29.198137527345338</v>
      </c>
      <c r="V140" s="57">
        <f>15.9303262798*Deflactores!$S$5</f>
        <v>25.718679867324099</v>
      </c>
    </row>
    <row r="141" spans="3:22" x14ac:dyDescent="0.2">
      <c r="C141" s="87" t="s">
        <v>133</v>
      </c>
      <c r="D141" s="56">
        <f>18.9942303141999*Deflactores!$A$5</f>
        <v>70.884863903634681</v>
      </c>
      <c r="E141" s="56">
        <f>24.84059606474*Deflactores!$B$5</f>
        <v>86.116551621823149</v>
      </c>
      <c r="F141" s="56">
        <f>9.08884023026*Deflactores!$C$5</f>
        <v>29.44980539622793</v>
      </c>
      <c r="G141" s="56">
        <f>18.127861628*Deflactores!$D$5</f>
        <v>55.157701079895553</v>
      </c>
      <c r="H141" s="56">
        <f>27.4849532404*Deflactores!$E$5</f>
        <v>79.271037573662156</v>
      </c>
      <c r="I141" s="56">
        <f>31.44458854022*Deflactores!$F$5</f>
        <v>86.491937691676824</v>
      </c>
      <c r="J141" s="56">
        <f>24.91284371669*Deflactores!$G$5</f>
        <v>65.588602642155792</v>
      </c>
      <c r="K141" s="56">
        <f>63.54693293979*Deflactores!$H$5</f>
        <v>158.28779886987581</v>
      </c>
      <c r="L141" s="56">
        <f>62.2405618561199*Deflactores!$I$5</f>
        <v>143.98392391522748</v>
      </c>
      <c r="M141" s="56">
        <f>61.16919722886*Deflactores!$J$5</f>
        <v>138.72841094343514</v>
      </c>
      <c r="N141" s="56">
        <f>44.74750414356*Deflactores!$K$5</f>
        <v>98.365515488183362</v>
      </c>
      <c r="O141" s="56">
        <f>74.1280923941799*Deflactores!$L$5</f>
        <v>157.09645327674571</v>
      </c>
      <c r="P141" s="56">
        <f>82.2443504821699*Deflactores!$M$5</f>
        <v>170.1453409406603</v>
      </c>
      <c r="Q141" s="56">
        <f>104.79522355333*Deflactores!$N$5</f>
        <v>212.67225962436666</v>
      </c>
      <c r="R141" s="56">
        <f>102.717955829888*Deflactores!$O$5</f>
        <v>201.09650395103156</v>
      </c>
      <c r="S141" s="56">
        <f>94.74230301589*Deflactores!$P$5</f>
        <v>173.72121062376075</v>
      </c>
      <c r="T141" s="56">
        <f>119.26817912314*Deflactores!$Q$5</f>
        <v>206.80123243171346</v>
      </c>
      <c r="U141" s="56">
        <f>140.2388892108*Deflactores!$R$5</f>
        <v>233.60814904031457</v>
      </c>
      <c r="V141" s="56">
        <f>72.7597986213*Deflactores!$S$5</f>
        <v>117.46689522141273</v>
      </c>
    </row>
    <row r="142" spans="3:22" x14ac:dyDescent="0.2">
      <c r="C142" s="88" t="s">
        <v>134</v>
      </c>
      <c r="D142" s="57">
        <f>794.06290513312*Deflactores!$A$5</f>
        <v>2963.3757214792931</v>
      </c>
      <c r="E142" s="57">
        <f>1549.01134655751*Deflactores!$B$5</f>
        <v>5370.0609776412712</v>
      </c>
      <c r="F142" s="57">
        <f>799.276473046079*Deflactores!$C$5</f>
        <v>2589.8284041370025</v>
      </c>
      <c r="G142" s="57">
        <f>1091.60765851729*Deflactores!$D$5</f>
        <v>3321.4380251017096</v>
      </c>
      <c r="H142" s="57">
        <f>878.35700501242*Deflactores!$E$5</f>
        <v>2533.3232528510416</v>
      </c>
      <c r="I142" s="57">
        <f>1159.20720119732*Deflactores!$F$5</f>
        <v>3188.5320073264415</v>
      </c>
      <c r="J142" s="57">
        <f>288.017010802069*Deflactores!$G$5</f>
        <v>758.26884680462592</v>
      </c>
      <c r="K142" s="57">
        <f>754.137479986299*Deflactores!$H$5</f>
        <v>1878.4661388049799</v>
      </c>
      <c r="L142" s="57">
        <f>822.77831632528*Deflactores!$I$5</f>
        <v>1903.3705185813587</v>
      </c>
      <c r="M142" s="57">
        <f>931.225196314899*Deflactores!$J$5</f>
        <v>2111.9680749104709</v>
      </c>
      <c r="N142" s="57">
        <f>781.2887324115*Deflactores!$K$5</f>
        <v>1717.4559873151486</v>
      </c>
      <c r="O142" s="57">
        <f>1250.14489851794*Deflactores!$L$5</f>
        <v>2649.3778983931493</v>
      </c>
      <c r="P142" s="57">
        <f>2007.88559711569*Deflactores!$M$5</f>
        <v>4153.8704784975389</v>
      </c>
      <c r="Q142" s="57">
        <f>1797.26716078647*Deflactores!$N$5</f>
        <v>3647.3882613420183</v>
      </c>
      <c r="R142" s="57">
        <f>994.38366584675*Deflactores!$O$5</f>
        <v>1946.7587450723731</v>
      </c>
      <c r="S142" s="57">
        <f>1088.80745514937*Deflactores!$P$5</f>
        <v>1996.4571603563506</v>
      </c>
      <c r="T142" s="57">
        <f>508.86420545209*Deflactores!$Q$5</f>
        <v>882.32876196782456</v>
      </c>
      <c r="U142" s="57">
        <f>785.91634922207*Deflactores!$R$5</f>
        <v>1309.1694085391416</v>
      </c>
      <c r="V142" s="57">
        <f>713.90217923927*Deflactores!$S$5</f>
        <v>1152.5577870756786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>
        <f>0*Deflactores!$O$5</f>
        <v>0</v>
      </c>
      <c r="S143" s="56"/>
      <c r="T143" s="56"/>
      <c r="U143" s="56"/>
      <c r="V143" s="56"/>
    </row>
    <row r="144" spans="3:22" x14ac:dyDescent="0.2">
      <c r="C144" s="88" t="s">
        <v>136</v>
      </c>
      <c r="D144" s="57">
        <f>33.4246182484199*Deflactores!$A$5</f>
        <v>124.73785335744421</v>
      </c>
      <c r="E144" s="57">
        <f>112.01748541679*Deflactores!$B$5</f>
        <v>388.33848995816294</v>
      </c>
      <c r="F144" s="57">
        <f>54.90162316789*Deflactores!$C$5</f>
        <v>177.89311697309338</v>
      </c>
      <c r="G144" s="57">
        <f>78.90098910788*Deflactores!$D$5</f>
        <v>240.07228549221244</v>
      </c>
      <c r="H144" s="57">
        <f>117.83424383787*Deflactores!$E$5</f>
        <v>339.85296205655544</v>
      </c>
      <c r="I144" s="57">
        <f>265.88418715495*Deflactores!$F$5</f>
        <v>731.34487096860516</v>
      </c>
      <c r="J144" s="57">
        <f>832.65815331671*Deflactores!$G$5</f>
        <v>2192.1578032480415</v>
      </c>
      <c r="K144" s="57">
        <f>1360.65866521294*Deflactores!$H$5</f>
        <v>3389.2377675228727</v>
      </c>
      <c r="L144" s="57">
        <f>1612.19915051017*Deflactores!$I$5</f>
        <v>3729.5736558397739</v>
      </c>
      <c r="M144" s="57">
        <f>1688.25794350155*Deflactores!$J$5</f>
        <v>3828.8771534523316</v>
      </c>
      <c r="N144" s="57">
        <f>2375.78228457641*Deflactores!$K$5</f>
        <v>5222.5270120162795</v>
      </c>
      <c r="O144" s="57">
        <f>2562.84038129972*Deflactores!$L$5</f>
        <v>5431.3165388864018</v>
      </c>
      <c r="P144" s="57">
        <f>3849.30127032875*Deflactores!$M$5</f>
        <v>7963.3515637695909</v>
      </c>
      <c r="Q144" s="57">
        <f>4393.35592133724*Deflactores!$N$5</f>
        <v>8915.9114265298213</v>
      </c>
      <c r="R144" s="57">
        <f>6817.73920719107*Deflactores!$O$5</f>
        <v>13347.457202970088</v>
      </c>
      <c r="S144" s="57">
        <f>8085.79663895351*Deflactores!$P$5</f>
        <v>14826.263836345104</v>
      </c>
      <c r="T144" s="57">
        <f>6291.45613261085*Deflactores!$Q$5</f>
        <v>10908.868497695998</v>
      </c>
      <c r="U144" s="57">
        <f>7412.36833899714*Deflactores!$R$5</f>
        <v>12347.428430321599</v>
      </c>
      <c r="V144" s="57">
        <f>6792.62740217713*Deflactores!$S$5</f>
        <v>10966.342217116233</v>
      </c>
    </row>
    <row r="145" spans="3:22" x14ac:dyDescent="0.2">
      <c r="C145" s="87" t="s">
        <v>137</v>
      </c>
      <c r="D145" s="56">
        <f>15.20326097287*Deflactores!$A$5</f>
        <v>56.737286382574119</v>
      </c>
      <c r="E145" s="56">
        <f>15.47183287826*Deflactores!$B$5</f>
        <v>53.637235244775255</v>
      </c>
      <c r="F145" s="56">
        <f>15.045303542*Deflactores!$C$5</f>
        <v>48.750033031046435</v>
      </c>
      <c r="G145" s="56">
        <f>8.57688425155*Deflactores!$D$5</f>
        <v>26.096912446261452</v>
      </c>
      <c r="H145" s="56">
        <f>31.774897087*Deflactores!$E$5</f>
        <v>91.643927455565418</v>
      </c>
      <c r="I145" s="56">
        <f>107.53678467688*Deflactores!$F$5</f>
        <v>295.79222726795138</v>
      </c>
      <c r="J145" s="56">
        <f>38.405280164*Deflactores!$G$5</f>
        <v>101.11044281748255</v>
      </c>
      <c r="K145" s="56">
        <f>67.50755666793*Deflactores!$H$5</f>
        <v>168.15323820859388</v>
      </c>
      <c r="L145" s="56">
        <f>80.9714420946799*Deflactores!$I$5</f>
        <v>187.31492149472439</v>
      </c>
      <c r="M145" s="56">
        <f>68.37216846038*Deflactores!$J$5</f>
        <v>155.06435776453534</v>
      </c>
      <c r="N145" s="56">
        <f>98.01590672569*Deflactores!$K$5</f>
        <v>215.46196543571403</v>
      </c>
      <c r="O145" s="56">
        <f>125.34798816265*Deflactores!$L$5</f>
        <v>265.64455835469329</v>
      </c>
      <c r="P145" s="56">
        <f>148.753216566299*Deflactores!$M$5</f>
        <v>307.73745066148717</v>
      </c>
      <c r="Q145" s="56">
        <f>190.44771387034*Deflactores!$N$5</f>
        <v>386.49610426650986</v>
      </c>
      <c r="R145" s="56">
        <f>392.338398918499*Deflactores!$O$5</f>
        <v>768.10212733320679</v>
      </c>
      <c r="S145" s="56">
        <f>195.66514468188*Deflactores!$P$5</f>
        <v>358.77516936978577</v>
      </c>
      <c r="T145" s="56">
        <f>150.59614564046*Deflactores!$Q$5</f>
        <v>261.12135480628456</v>
      </c>
      <c r="U145" s="56">
        <f>166.46193413387*Deflactores!$R$5</f>
        <v>277.29016207645054</v>
      </c>
      <c r="V145" s="56">
        <f>385.765787908379*Deflactores!$S$5</f>
        <v>622.79871916761556</v>
      </c>
    </row>
    <row r="146" spans="3:22" x14ac:dyDescent="0.2">
      <c r="C146" s="88" t="s">
        <v>138</v>
      </c>
      <c r="D146" s="57">
        <f>3.840644976*Deflactores!$A$5</f>
        <v>14.332962795676519</v>
      </c>
      <c r="E146" s="57">
        <f>17.09997932237*Deflactores!$B$5</f>
        <v>59.281639144611951</v>
      </c>
      <c r="F146" s="57">
        <f>0.0569237327999999*Deflactores!$C$5</f>
        <v>0.18444518892581721</v>
      </c>
      <c r="G146" s="57">
        <f>0*Deflactores!$D$5</f>
        <v>0</v>
      </c>
      <c r="H146" s="57">
        <f>0*Deflactores!$E$5</f>
        <v>0</v>
      </c>
      <c r="I146" s="57">
        <f>0*Deflactores!$F$5</f>
        <v>0</v>
      </c>
      <c r="J146" s="57">
        <f>0*Deflactores!$G$5</f>
        <v>0</v>
      </c>
      <c r="K146" s="57">
        <f>0*Deflactores!$H$5</f>
        <v>0</v>
      </c>
      <c r="L146" s="57">
        <f>33.74286260452*Deflactores!$I$5</f>
        <v>78.058899486837916</v>
      </c>
      <c r="M146" s="57">
        <f>1.031*Deflactores!$J$5</f>
        <v>2.338251900667411</v>
      </c>
      <c r="N146" s="57">
        <f>7.00459289*Deflactores!$K$5</f>
        <v>15.397739015772022</v>
      </c>
      <c r="O146" s="57">
        <f>0*Deflactores!$L$5</f>
        <v>0</v>
      </c>
      <c r="P146" s="57">
        <f>51.56805910132*Deflactores!$M$5</f>
        <v>106.6828900222682</v>
      </c>
      <c r="Q146" s="57">
        <f>30.68837414953*Deflactores!$N$5</f>
        <v>62.279230419859687</v>
      </c>
      <c r="R146" s="57">
        <f>16.94319640491*Deflactores!$O$5</f>
        <v>33.170613017511833</v>
      </c>
      <c r="S146" s="57">
        <f>15.94781464683*Deflactores!$P$5</f>
        <v>29.24220310314805</v>
      </c>
      <c r="T146" s="57">
        <f>10.34211277051*Deflactores!$Q$5</f>
        <v>17.932374608327322</v>
      </c>
      <c r="U146" s="57">
        <f>7.8715181802*Deflactores!$R$5</f>
        <v>13.112274366703232</v>
      </c>
      <c r="V146" s="57">
        <f>6.81710210028*Deflactores!$S$5</f>
        <v>11.005855339088837</v>
      </c>
    </row>
    <row r="147" spans="3:22" x14ac:dyDescent="0.2">
      <c r="C147" s="87" t="s">
        <v>139</v>
      </c>
      <c r="D147" s="56">
        <f>49.37433274589*Deflactores!$A$5</f>
        <v>184.26084127287328</v>
      </c>
      <c r="E147" s="56">
        <f>69.43043797207*Deflactores!$B$5</f>
        <v>240.69913138012848</v>
      </c>
      <c r="F147" s="56">
        <f>31.99676152454*Deflactores!$C$5</f>
        <v>103.6764181495861</v>
      </c>
      <c r="G147" s="56">
        <f>32.8171071202199*Deflactores!$D$5</f>
        <v>99.852714125317746</v>
      </c>
      <c r="H147" s="56">
        <f>63.53752694582*Deflactores!$E$5</f>
        <v>183.2524742467551</v>
      </c>
      <c r="I147" s="56">
        <f>55.77688332361*Deflactores!$F$5</f>
        <v>153.42069783775432</v>
      </c>
      <c r="J147" s="56">
        <f>126.60637566381*Deflactores!$G$5</f>
        <v>333.3194459777402</v>
      </c>
      <c r="K147" s="56">
        <f>255.516440337329*Deflactores!$H$5</f>
        <v>636.46084940689536</v>
      </c>
      <c r="L147" s="56">
        <f>388.017782609409*Deflactores!$I$5</f>
        <v>897.61919274022546</v>
      </c>
      <c r="M147" s="56">
        <f>370.76505785083*Deflactores!$J$5</f>
        <v>840.87497693575733</v>
      </c>
      <c r="N147" s="56">
        <f>159.3029048068*Deflactores!$K$5</f>
        <v>350.18517010051113</v>
      </c>
      <c r="O147" s="56">
        <f>3727.64215112957*Deflactores!$L$5</f>
        <v>7899.8304436784902</v>
      </c>
      <c r="P147" s="56">
        <f>113.90326157708*Deflactores!$M$5</f>
        <v>235.64061436033816</v>
      </c>
      <c r="Q147" s="56">
        <f>266.28839904059*Deflactores!$N$5</f>
        <v>540.40779355651978</v>
      </c>
      <c r="R147" s="56">
        <f>278.23840221125*Deflactores!$O$5</f>
        <v>544.72238565832799</v>
      </c>
      <c r="S147" s="56">
        <f>225.681547217509*Deflactores!$P$5</f>
        <v>413.81379120046927</v>
      </c>
      <c r="T147" s="56">
        <f>174.21574677872*Deflactores!$Q$5</f>
        <v>302.07580435727954</v>
      </c>
      <c r="U147" s="56">
        <f>198.08385212129*Deflactores!$R$5</f>
        <v>329.96554885195366</v>
      </c>
      <c r="V147" s="56">
        <f>147.90354626882*Deflactores!$S$5</f>
        <v>238.78255165138376</v>
      </c>
    </row>
    <row r="148" spans="3:22" x14ac:dyDescent="0.2">
      <c r="C148" s="88" t="s">
        <v>140</v>
      </c>
      <c r="D148" s="57">
        <f>219.26970435415*Deflactores!$A$5</f>
        <v>818.29602433084187</v>
      </c>
      <c r="E148" s="57">
        <f>355.5610603325*Deflactores!$B$5</f>
        <v>1232.6472491655325</v>
      </c>
      <c r="F148" s="57">
        <f>225.97373119664*Deflactores!$C$5</f>
        <v>732.20369593956377</v>
      </c>
      <c r="G148" s="57">
        <f>319.69119284475*Deflactores!$D$5</f>
        <v>972.72538894326351</v>
      </c>
      <c r="H148" s="57">
        <f>532.1055598802*Deflactores!$E$5</f>
        <v>1534.6782460017748</v>
      </c>
      <c r="I148" s="57">
        <f>511.99050342498*Deflactores!$F$5</f>
        <v>1408.2884456994011</v>
      </c>
      <c r="J148" s="57">
        <f>469.6264606191*Deflactores!$G$5</f>
        <v>1236.3961202531336</v>
      </c>
      <c r="K148" s="57">
        <f>2266.07496961886*Deflactores!$H$5</f>
        <v>5644.5213391328689</v>
      </c>
      <c r="L148" s="57">
        <f>1400.77522577299*Deflactores!$I$5</f>
        <v>3240.4770701825273</v>
      </c>
      <c r="M148" s="57">
        <f>6069.52557341323*Deflactores!$J$5</f>
        <v>13765.353742175503</v>
      </c>
      <c r="N148" s="57">
        <f>1011.90016551759*Deflactores!$K$5</f>
        <v>2224.3940373608725</v>
      </c>
      <c r="O148" s="57">
        <f>1552.1978920945*Deflactores!$L$5</f>
        <v>3289.5057157957035</v>
      </c>
      <c r="P148" s="57">
        <f>1973.12433836978*Deflactores!$M$5</f>
        <v>4081.9571350742526</v>
      </c>
      <c r="Q148" s="57">
        <f>2477.99407646187*Deflactores!$N$5</f>
        <v>5028.8608746442751</v>
      </c>
      <c r="R148" s="57">
        <f>2165.36156876772*Deflactores!$O$5</f>
        <v>4239.2455900335117</v>
      </c>
      <c r="S148" s="57">
        <f>2373.52752994622*Deflactores!$P$5</f>
        <v>4352.1432646821595</v>
      </c>
      <c r="T148" s="57">
        <f>2225.7302264335*Deflactores!$Q$5</f>
        <v>3859.2335128361306</v>
      </c>
      <c r="U148" s="57">
        <f>2754.20140815025*Deflactores!$R$5</f>
        <v>4587.9135000497308</v>
      </c>
      <c r="V148" s="57">
        <f>3054.59635679019*Deflactores!$S$5</f>
        <v>4931.4863013067989</v>
      </c>
    </row>
    <row r="149" spans="3:22" x14ac:dyDescent="0.2">
      <c r="C149" s="87" t="s">
        <v>141</v>
      </c>
      <c r="D149" s="56">
        <f>5.64863593475*Deflactores!$A$5</f>
        <v>21.080232410185992</v>
      </c>
      <c r="E149" s="56">
        <f>2.66726163305*Deflactores!$B$5</f>
        <v>9.2467738500647272</v>
      </c>
      <c r="F149" s="56">
        <f>1.55640111348999*Deflactores!$C$5</f>
        <v>5.0430757664931978</v>
      </c>
      <c r="G149" s="56">
        <f>1.83048793791*Deflactores!$D$5</f>
        <v>5.5696313542930245</v>
      </c>
      <c r="H149" s="56">
        <f>4.84555397526*Deflactores!$E$5</f>
        <v>13.975359094787869</v>
      </c>
      <c r="I149" s="56">
        <f>5.14883565759999*Deflactores!$F$5</f>
        <v>14.162461445860803</v>
      </c>
      <c r="J149" s="56">
        <f>15.54192819144*Deflactores!$G$5</f>
        <v>40.917583076168967</v>
      </c>
      <c r="K149" s="56">
        <f>25.6344722105499*Deflactores!$H$5</f>
        <v>63.85240000872264</v>
      </c>
      <c r="L149" s="56">
        <f>28.6790135137199*Deflactores!$I$5</f>
        <v>66.344466961414568</v>
      </c>
      <c r="M149" s="56">
        <f>47.70055232631*Deflactores!$J$5</f>
        <v>108.18225716768154</v>
      </c>
      <c r="N149" s="56">
        <f>48.97367070652*Deflactores!$K$5</f>
        <v>107.65562139377302</v>
      </c>
      <c r="O149" s="56">
        <f>38.6171255385799*Deflactores!$L$5</f>
        <v>81.839600371667657</v>
      </c>
      <c r="P149" s="56">
        <f>67.50864458001*Deflactores!$M$5</f>
        <v>139.66042994038622</v>
      </c>
      <c r="Q149" s="56">
        <f>84.5498948715399*Deflactores!$N$5</f>
        <v>171.58622868133247</v>
      </c>
      <c r="R149" s="56">
        <f>69.27103385795*Deflactores!$O$5</f>
        <v>135.61565377115892</v>
      </c>
      <c r="S149" s="56">
        <f>75.2911576258199*Deflactores!$P$5</f>
        <v>138.05523652753232</v>
      </c>
      <c r="T149" s="56">
        <f>73.4445265917763*Deflactores!$Q$5</f>
        <v>127.34678039195691</v>
      </c>
      <c r="U149" s="56">
        <f>184.88003834659*Deflactores!$R$5</f>
        <v>307.97080464413136</v>
      </c>
      <c r="V149" s="56">
        <f>187.80872071984*Deflactores!$S$5</f>
        <v>303.20737187976073</v>
      </c>
    </row>
    <row r="150" spans="3:22" x14ac:dyDescent="0.2">
      <c r="C150" s="88" t="s">
        <v>142</v>
      </c>
      <c r="D150" s="57">
        <f>72.1432941978*Deflactores!$A$5</f>
        <v>269.23268309260487</v>
      </c>
      <c r="E150" s="57">
        <f>249.53662304213*Deflactores!$B$5</f>
        <v>865.08525897435754</v>
      </c>
      <c r="F150" s="57">
        <f>74.18251846645*Deflactores!$C$5</f>
        <v>240.36738211829496</v>
      </c>
      <c r="G150" s="57">
        <f>68.86353317682*Deflactores!$D$5</f>
        <v>209.53128704411728</v>
      </c>
      <c r="H150" s="57">
        <f>175.65929373618*Deflactores!$E$5</f>
        <v>506.62973126167958</v>
      </c>
      <c r="I150" s="57">
        <f>46.2545895840999*Deflactores!$F$5</f>
        <v>127.2285396625534</v>
      </c>
      <c r="J150" s="57">
        <f>73.10848266336*Deflactores!$G$5</f>
        <v>192.4743427008157</v>
      </c>
      <c r="K150" s="57">
        <f>226.86724210535*Deflactores!$H$5</f>
        <v>565.09912795570608</v>
      </c>
      <c r="L150" s="57">
        <f>203.90240541028*Deflactores!$I$5</f>
        <v>471.69671274165859</v>
      </c>
      <c r="M150" s="57">
        <f>377.02139358179*Deflactores!$J$5</f>
        <v>855.06400595043306</v>
      </c>
      <c r="N150" s="57">
        <f>342.31544991336*Deflactores!$K$5</f>
        <v>752.48969377754895</v>
      </c>
      <c r="O150" s="57">
        <f>308.722264257149*Deflactores!$L$5</f>
        <v>654.2617136896971</v>
      </c>
      <c r="P150" s="57">
        <f>452.647862914306*Deflactores!$M$5</f>
        <v>936.42814989842338</v>
      </c>
      <c r="Q150" s="57">
        <f>269.4488480675*Deflactores!$N$5</f>
        <v>546.82163393196913</v>
      </c>
      <c r="R150" s="57">
        <f>249.14252009585*Deflactores!$O$5</f>
        <v>487.75980179939387</v>
      </c>
      <c r="S150" s="57">
        <f>218.742360832093*Deflactores!$P$5</f>
        <v>401.08997278731323</v>
      </c>
      <c r="T150" s="57">
        <f>303.24993715803*Deflactores!$Q$5</f>
        <v>525.81049866093747</v>
      </c>
      <c r="U150" s="57">
        <f>342.05446853245*Deflactores!$R$5</f>
        <v>569.78996136173362</v>
      </c>
      <c r="V150" s="57">
        <f>176.63934129665*Deflactores!$S$5</f>
        <v>285.17499208689009</v>
      </c>
    </row>
    <row r="151" spans="3:22" x14ac:dyDescent="0.2">
      <c r="C151" s="87" t="s">
        <v>143</v>
      </c>
      <c r="D151" s="56">
        <f>718.34812013482*Deflactores!$A$5</f>
        <v>2680.8145362500545</v>
      </c>
      <c r="E151" s="56">
        <f>463.112746190829*Deflactores!$B$5</f>
        <v>1605.5038538578738</v>
      </c>
      <c r="F151" s="56">
        <f>548.64166500979*Deflactores!$C$5</f>
        <v>1777.7174928223578</v>
      </c>
      <c r="G151" s="56">
        <f>452.383238663089*Deflactores!$D$5</f>
        <v>1376.4678903546246</v>
      </c>
      <c r="H151" s="56">
        <f>536.4495049919*Deflactores!$E$5</f>
        <v>1547.206884240873</v>
      </c>
      <c r="I151" s="56">
        <f>490.039366558809*Deflactores!$F$5</f>
        <v>1347.9093327826622</v>
      </c>
      <c r="J151" s="56">
        <f>41.04272188957*Deflactores!$G$5</f>
        <v>108.05409482676171</v>
      </c>
      <c r="K151" s="56">
        <f>131.67513412123*Deflactores!$H$5</f>
        <v>327.98698822637556</v>
      </c>
      <c r="L151" s="56">
        <f>81.63637765991*Deflactores!$I$5</f>
        <v>188.85314719477412</v>
      </c>
      <c r="M151" s="56">
        <f>46.1006452501199*Deflactores!$J$5</f>
        <v>104.55375497389613</v>
      </c>
      <c r="N151" s="56">
        <f>46.53746680118*Deflactores!$K$5</f>
        <v>102.30027347952331</v>
      </c>
      <c r="O151" s="56">
        <f>58.33011774961*Deflactores!$L$5</f>
        <v>123.61649034419429</v>
      </c>
      <c r="P151" s="56">
        <f>372.63120915797*Deflactores!$M$5</f>
        <v>770.89141996517276</v>
      </c>
      <c r="Q151" s="56">
        <f>120.82196444523*Deflactores!$N$5</f>
        <v>245.19705497594163</v>
      </c>
      <c r="R151" s="56">
        <f>113.03641629242*Deflactores!$O$5</f>
        <v>221.29751270755867</v>
      </c>
      <c r="S151" s="56">
        <f>130.74931893272*Deflactores!$P$5</f>
        <v>239.74433014800985</v>
      </c>
      <c r="T151" s="56">
        <f>76.61924449638*Deflactores!$Q$5</f>
        <v>132.8514806407737</v>
      </c>
      <c r="U151" s="56">
        <f>45.97055275536*Deflactores!$R$5</f>
        <v>76.577159160162182</v>
      </c>
      <c r="V151" s="56">
        <f>23.08989232168*Deflactores!$S$5</f>
        <v>37.277425356019023</v>
      </c>
    </row>
    <row r="152" spans="3:22" x14ac:dyDescent="0.2">
      <c r="C152" s="88" t="s">
        <v>144</v>
      </c>
      <c r="D152" s="57">
        <f>14.73981976564*Deflactores!$A$5</f>
        <v>55.00776292421763</v>
      </c>
      <c r="E152" s="57">
        <f>36.9019071491*Deflactores!$B$5</f>
        <v>127.93030343019896</v>
      </c>
      <c r="F152" s="57">
        <f>15.62194082882*Deflactores!$C$5</f>
        <v>50.618462385159098</v>
      </c>
      <c r="G152" s="57">
        <f>15.42717776738*Deflactores!$D$5</f>
        <v>46.940321879180026</v>
      </c>
      <c r="H152" s="57">
        <f>24.92414537975*Deflactores!$E$5</f>
        <v>71.885254728591505</v>
      </c>
      <c r="I152" s="57">
        <f>25.71910550014*Deflactores!$F$5</f>
        <v>70.743341658246678</v>
      </c>
      <c r="J152" s="57">
        <f>40.19750277736*Deflactores!$G$5</f>
        <v>105.82886750519512</v>
      </c>
      <c r="K152" s="57">
        <f>62.7475421650899*Deflactores!$H$5</f>
        <v>156.29661219397357</v>
      </c>
      <c r="L152" s="57">
        <f>66.64584190023*Deflactores!$I$5</f>
        <v>154.17485869763979</v>
      </c>
      <c r="M152" s="57">
        <f>66.84890307403*Deflactores!$J$5</f>
        <v>151.60967475303804</v>
      </c>
      <c r="N152" s="57">
        <f>57.07880841601*Deflactores!$K$5</f>
        <v>125.4726161995367</v>
      </c>
      <c r="O152" s="57">
        <f>39.60658874449*Deflactores!$L$5</f>
        <v>83.936526857644779</v>
      </c>
      <c r="P152" s="57">
        <f>44.1923291217699*Deflactores!$M$5</f>
        <v>91.424138695283546</v>
      </c>
      <c r="Q152" s="57">
        <f>181.58406608302*Deflactores!$N$5</f>
        <v>368.50814699587562</v>
      </c>
      <c r="R152" s="57">
        <f>192.71394876508*Deflactores!$O$5</f>
        <v>377.28653229272567</v>
      </c>
      <c r="S152" s="57">
        <f>147.0199113*Deflactores!$P$5</f>
        <v>269.57838435223937</v>
      </c>
      <c r="T152" s="57">
        <f>104.66538750656*Deflactores!$Q$5</f>
        <v>181.48119044352876</v>
      </c>
      <c r="U152" s="57">
        <f>173.59849377794*Deflactores!$R$5</f>
        <v>289.17815190829396</v>
      </c>
      <c r="V152" s="57">
        <f>151.81051551769*Deflactores!$S$5</f>
        <v>245.09014947444783</v>
      </c>
    </row>
    <row r="153" spans="3:22" x14ac:dyDescent="0.2">
      <c r="C153" s="87" t="s">
        <v>145</v>
      </c>
      <c r="D153" s="56">
        <f>5*Deflactores!$A$5</f>
        <v>18.659577864190119</v>
      </c>
      <c r="E153" s="56">
        <f>0*Deflactores!$B$5</f>
        <v>0</v>
      </c>
      <c r="F153" s="56">
        <f>0*Deflactores!$C$5</f>
        <v>0</v>
      </c>
      <c r="G153" s="56">
        <f>4.231592073*Deflactores!$D$5</f>
        <v>12.875478390351134</v>
      </c>
      <c r="H153" s="56">
        <f>9*Deflactores!$E$5</f>
        <v>25.957451407058549</v>
      </c>
      <c r="I153" s="56">
        <f>53.564999998*Deflactores!$F$5</f>
        <v>147.33665973576996</v>
      </c>
      <c r="J153" s="56">
        <f>77.870313147*Deflactores!$G$5</f>
        <v>205.01092066006061</v>
      </c>
      <c r="K153" s="56">
        <f>1.186812*Deflactores!$H$5</f>
        <v>2.9562065462757778</v>
      </c>
      <c r="L153" s="56">
        <f>91.638541191*Deflactores!$I$5</f>
        <v>211.99160722630936</v>
      </c>
      <c r="M153" s="56">
        <f>83.709612461*Deflactores!$J$5</f>
        <v>189.8488462085991</v>
      </c>
      <c r="N153" s="56">
        <f>50.805243269*Deflactores!$K$5</f>
        <v>111.68184772104154</v>
      </c>
      <c r="O153" s="56">
        <f>37.266349321*Deflactores!$L$5</f>
        <v>78.976958880450212</v>
      </c>
      <c r="P153" s="56">
        <f>37.101586*Deflactores!$M$5</f>
        <v>76.754962041773041</v>
      </c>
      <c r="Q153" s="56">
        <f>41.964350659*Deflactores!$N$5</f>
        <v>85.162786773168889</v>
      </c>
      <c r="R153" s="56">
        <f>44.960474493*Deflactores!$O$5</f>
        <v>88.021555369495005</v>
      </c>
      <c r="S153" s="56">
        <f>49.777656028*Deflactores!$P$5</f>
        <v>91.273215785634548</v>
      </c>
      <c r="T153" s="56">
        <f>35.162183767*Deflactores!$Q$5</f>
        <v>60.968340352528969</v>
      </c>
      <c r="U153" s="56">
        <f>48.930642*Deflactores!$R$5</f>
        <v>81.508037986470228</v>
      </c>
      <c r="V153" s="56">
        <f>35.5*Deflactores!$S$5</f>
        <v>57.312896123648514</v>
      </c>
    </row>
    <row r="154" spans="3:22" x14ac:dyDescent="0.2">
      <c r="C154" s="88" t="s">
        <v>146</v>
      </c>
      <c r="D154" s="57">
        <f>0*Deflactores!$A$5</f>
        <v>0</v>
      </c>
      <c r="E154" s="57">
        <f>0*Deflactores!$B$5</f>
        <v>0</v>
      </c>
      <c r="F154" s="57">
        <f>0*Deflactores!$C$5</f>
        <v>0</v>
      </c>
      <c r="G154" s="57">
        <f>0*Deflactores!$D$5</f>
        <v>0</v>
      </c>
      <c r="H154" s="57">
        <f>1.64328268986*Deflactores!$E$5</f>
        <v>4.7394922855668238</v>
      </c>
      <c r="I154" s="57">
        <f>1.00402834921*Deflactores!$F$5</f>
        <v>2.7616948241975909</v>
      </c>
      <c r="J154" s="57">
        <f>1.96082205932999*Deflactores!$G$5</f>
        <v>5.1623002321172011</v>
      </c>
      <c r="K154" s="57">
        <f>1.05676401976*Deflactores!$H$5</f>
        <v>2.6322726034816109</v>
      </c>
      <c r="L154" s="57">
        <f>5.53754744257*Deflactores!$I$5</f>
        <v>12.810260477582172</v>
      </c>
      <c r="M154" s="57">
        <f>6.94162539128*Deflactores!$J$5</f>
        <v>15.743228675927858</v>
      </c>
      <c r="N154" s="57">
        <f>4.35472897388*Deflactores!$K$5</f>
        <v>9.5727162559228969</v>
      </c>
      <c r="O154" s="57">
        <f>3.60323027886*Deflactores!$L$5</f>
        <v>7.6361697551619256</v>
      </c>
      <c r="P154" s="57">
        <f>11.72551146692*Deflactores!$M$5</f>
        <v>24.257485584681451</v>
      </c>
      <c r="Q154" s="57">
        <f>15.23695538346*Deflactores!$N$5</f>
        <v>30.921998363284427</v>
      </c>
      <c r="R154" s="57">
        <f>43.101420369326*Deflactores!$O$5</f>
        <v>84.381984450212656</v>
      </c>
      <c r="S154" s="57">
        <f>31.8925689150469*Deflactores!$P$5</f>
        <v>58.478794640388251</v>
      </c>
      <c r="T154" s="57">
        <f>59.877091563858*Deflactores!$Q$5</f>
        <v>103.82196174092464</v>
      </c>
      <c r="U154" s="57">
        <f>49.2473584113499*Deflactores!$R$5</f>
        <v>82.035620136061596</v>
      </c>
      <c r="V154" s="57">
        <f>57.533753142195*Deflactores!$S$5</f>
        <v>92.885239927950948</v>
      </c>
    </row>
    <row r="155" spans="3:22" x14ac:dyDescent="0.2">
      <c r="C155" s="90" t="s">
        <v>147</v>
      </c>
      <c r="D155" s="58">
        <f>579.15620646708*Deflactores!$A$5</f>
        <v>2161.3620660202896</v>
      </c>
      <c r="E155" s="58">
        <f>924.23795678313*Deflactores!$B$5</f>
        <v>3204.1173854575873</v>
      </c>
      <c r="F155" s="58">
        <f>794.69548149134*Deflactores!$C$5</f>
        <v>2574.9850020756853</v>
      </c>
      <c r="G155" s="58">
        <f>841.60074766939*Deflactores!$D$5</f>
        <v>2560.7412181955351</v>
      </c>
      <c r="H155" s="58">
        <f>1164.31856926683*Deflactores!$E$5</f>
        <v>3358.0825204532975</v>
      </c>
      <c r="I155" s="58">
        <f>1375.37473083747*Deflactores!$F$5</f>
        <v>3783.1255247669701</v>
      </c>
      <c r="J155" s="58">
        <f>1588.14908066955*Deflactores!$G$5</f>
        <v>4181.1557192387736</v>
      </c>
      <c r="K155" s="58">
        <f>1877.32902665088*Deflactores!$H$5</f>
        <v>4676.2017557109857</v>
      </c>
      <c r="L155" s="58">
        <f>1360.27276699383*Deflactores!$I$5</f>
        <v>3146.7808892785174</v>
      </c>
      <c r="M155" s="58">
        <f>1866.98506144765*Deflactores!$J$5</f>
        <v>4234.2205319569648</v>
      </c>
      <c r="N155" s="58">
        <f>2134.52650593609*Deflactores!$K$5</f>
        <v>4692.1901924626573</v>
      </c>
      <c r="O155" s="58">
        <f>3340.12039697677*Deflactores!$L$5</f>
        <v>7078.572386459582</v>
      </c>
      <c r="P155" s="58">
        <f>3534.47523583205*Deflactores!$M$5</f>
        <v>7312.046244165299</v>
      </c>
      <c r="Q155" s="58">
        <f>4730.88851403224*Deflactores!$N$5</f>
        <v>9600.9027529597515</v>
      </c>
      <c r="R155" s="58">
        <f>6952.05482320144*Deflactores!$O$5</f>
        <v>13610.414157160714</v>
      </c>
      <c r="S155" s="58">
        <f>7336.6374039738*Deflactores!$P$5</f>
        <v>13452.591832310982</v>
      </c>
      <c r="T155" s="58">
        <f>7176.55670987544*Deflactores!$Q$5</f>
        <v>12443.560244900056</v>
      </c>
      <c r="U155" s="58">
        <f>3264.03734753853*Deflactores!$R$5</f>
        <v>5437.1916908923449</v>
      </c>
      <c r="V155" s="58">
        <f>3474.10733394583*Deflactores!$S$5</f>
        <v>5608.7648662772626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12.311477938*Deflactores!$S$5</f>
        <v>19.876238202512237</v>
      </c>
    </row>
    <row r="157" spans="3:22" x14ac:dyDescent="0.2">
      <c r="C157" s="87" t="s">
        <v>149</v>
      </c>
      <c r="D157" s="56">
        <f>1.4*Deflactores!$A$5</f>
        <v>5.2246818019732331</v>
      </c>
      <c r="E157" s="56">
        <f>7*Deflactores!$B$5</f>
        <v>24.267367006077176</v>
      </c>
      <c r="F157" s="56">
        <f>0.39285276438*Deflactores!$C$5</f>
        <v>1.2729278067670711</v>
      </c>
      <c r="G157" s="56">
        <f>0.24037830266*Deflactores!$D$5</f>
        <v>0.73139981076056682</v>
      </c>
      <c r="H157" s="56">
        <f>0.605019502299999*Deflactores!$E$5</f>
        <v>1.7449738145861082</v>
      </c>
      <c r="I157" s="56">
        <f>1.19005012462*Deflactores!$F$5</f>
        <v>3.2733689962885149</v>
      </c>
      <c r="J157" s="56">
        <f>1.1909191603*Deflactores!$G$5</f>
        <v>3.1353595949192017</v>
      </c>
      <c r="K157" s="56">
        <f>1.85255871349*Deflactores!$H$5</f>
        <v>4.6145018723937499</v>
      </c>
      <c r="L157" s="56">
        <f>2.07756559438999*Deflactores!$I$5</f>
        <v>4.8061270263441491</v>
      </c>
      <c r="M157" s="56">
        <f>3.25083365407*Deflactores!$J$5</f>
        <v>7.3727138413023887</v>
      </c>
      <c r="N157" s="56">
        <f>12.10508124271*Deflactores!$K$5</f>
        <v>26.609809401780357</v>
      </c>
      <c r="O157" s="56">
        <f>21.07716692971*Deflactores!$L$5</f>
        <v>44.667926326394017</v>
      </c>
      <c r="P157" s="56">
        <f>10.22514384*Deflactores!$M$5</f>
        <v>21.153557352261689</v>
      </c>
      <c r="Q157" s="56">
        <f>7.46810089391*Deflactores!$N$5</f>
        <v>15.155823312904449</v>
      </c>
      <c r="R157" s="56">
        <f>8.77081637539999*Deflactores!$O$5</f>
        <v>17.171102127561877</v>
      </c>
      <c r="S157" s="56">
        <f>10.7874658484*Deflactores!$P$5</f>
        <v>19.780093655019307</v>
      </c>
      <c r="T157" s="56">
        <f>13.68266981318*Deflactores!$Q$5</f>
        <v>23.724626309590725</v>
      </c>
      <c r="U157" s="56">
        <f>15.94363078064*Deflactores!$R$5</f>
        <v>26.558696354539165</v>
      </c>
      <c r="V157" s="56">
        <f>14.59334839455*Deflactores!$S$5</f>
        <v>23.560198891072027</v>
      </c>
    </row>
    <row r="158" spans="3:22" x14ac:dyDescent="0.2">
      <c r="C158" s="88" t="s">
        <v>150</v>
      </c>
      <c r="D158" s="57">
        <f>389.28009322888*Deflactores!$A$5</f>
        <v>1452.760442116695</v>
      </c>
      <c r="E158" s="57">
        <f>636.7866947577*Deflactores!$B$5</f>
        <v>2207.5909180388494</v>
      </c>
      <c r="F158" s="57">
        <f>384.152056493749*Deflactores!$C$5</f>
        <v>1244.7356339960697</v>
      </c>
      <c r="G158" s="57">
        <f>253.18281360593*Deflactores!$D$5</f>
        <v>770.36013612729232</v>
      </c>
      <c r="H158" s="57">
        <f>410.63244375913*Deflactores!$E$5</f>
        <v>1184.3301894488134</v>
      </c>
      <c r="I158" s="57">
        <f>786.94763288512*Deflactores!$F$5</f>
        <v>2164.5894823222948</v>
      </c>
      <c r="J158" s="57">
        <f>1082.32454316045*Deflactores!$G$5</f>
        <v>2849.4601097523869</v>
      </c>
      <c r="K158" s="57">
        <f>1964.30486009593*Deflactores!$H$5</f>
        <v>4892.8481396353545</v>
      </c>
      <c r="L158" s="57">
        <f>1495.12262935347*Deflactores!$I$5</f>
        <v>3458.7352120375781</v>
      </c>
      <c r="M158" s="57">
        <f>2484.8932481677*Deflactores!$J$5</f>
        <v>5635.6026774818056</v>
      </c>
      <c r="N158" s="57">
        <f>2296.47527139386*Deflactores!$K$5</f>
        <v>5048.1915852067286</v>
      </c>
      <c r="O158" s="57">
        <f>3672.93118133923*Deflactores!$L$5</f>
        <v>7783.8838567396306</v>
      </c>
      <c r="P158" s="57">
        <f>5979.17489402802*Deflactores!$M$5</f>
        <v>12369.588244347373</v>
      </c>
      <c r="Q158" s="57">
        <f>6657.83678635304*Deflactores!$N$5</f>
        <v>13511.466892795606</v>
      </c>
      <c r="R158" s="57">
        <f>5407.37970216242*Deflactores!$O$5</f>
        <v>10586.320033875023</v>
      </c>
      <c r="S158" s="57">
        <f>4635.33148163768*Deflactores!$P$5</f>
        <v>8499.4281434922741</v>
      </c>
      <c r="T158" s="57">
        <f>3633.56916808376*Deflactores!$Q$5</f>
        <v>6300.3106747339298</v>
      </c>
      <c r="U158" s="57">
        <f>2976.41942565224*Deflactores!$R$5</f>
        <v>4958.0814330972944</v>
      </c>
      <c r="V158" s="57">
        <f>2168.15310206786*Deflactores!$S$5</f>
        <v>3500.3699582811705</v>
      </c>
    </row>
    <row r="159" spans="3:22" x14ac:dyDescent="0.2">
      <c r="C159" s="87" t="s">
        <v>151</v>
      </c>
      <c r="D159" s="56">
        <f>98.401040084*Deflactores!$A$5</f>
        <v>367.2243738729382</v>
      </c>
      <c r="E159" s="56">
        <f>21.5347804415*Deflactores!$B$5</f>
        <v>74.656060052739022</v>
      </c>
      <c r="F159" s="56">
        <f>61.6432470564*Deflactores!$C$5</f>
        <v>199.73743445929716</v>
      </c>
      <c r="G159" s="56">
        <f>37.7819633763*Deflactores!$D$5</f>
        <v>114.95929773110448</v>
      </c>
      <c r="H159" s="56">
        <f>11.2291030325*Deflactores!$E$5</f>
        <v>32.386544034552507</v>
      </c>
      <c r="I159" s="56">
        <f>41.03221104073*Deflactores!$F$5</f>
        <v>112.86379009689287</v>
      </c>
      <c r="J159" s="56">
        <f>125.64485526255*Deflactores!$G$5</f>
        <v>330.78802964294744</v>
      </c>
      <c r="K159" s="56">
        <f>325.9551277969*Deflactores!$H$5</f>
        <v>811.9151833528424</v>
      </c>
      <c r="L159" s="56">
        <f>389.407859120639*Deflactores!$I$5</f>
        <v>900.83491998722502</v>
      </c>
      <c r="M159" s="56">
        <f>650.05388572466*Deflactores!$J$5</f>
        <v>1474.2868417380428</v>
      </c>
      <c r="N159" s="56">
        <f>306.21313702589*Deflactores!$K$5</f>
        <v>673.12833753076131</v>
      </c>
      <c r="O159" s="56">
        <f>637.29823071676*Deflactores!$L$5</f>
        <v>1350.5985179379688</v>
      </c>
      <c r="P159" s="56">
        <f>1657.54176837605*Deflactores!$M$5</f>
        <v>3429.0867111275802</v>
      </c>
      <c r="Q159" s="56">
        <f>2016.43837959365*Deflactores!$N$5</f>
        <v>4092.1760748307597</v>
      </c>
      <c r="R159" s="56">
        <f>2151.24944030729*Deflactores!$O$5</f>
        <v>4211.6175120234684</v>
      </c>
      <c r="S159" s="56">
        <f>2217.50120484273*Deflactores!$P$5</f>
        <v>4066.0505561102696</v>
      </c>
      <c r="T159" s="56">
        <f>1425.55479938684*Deflactores!$Q$5</f>
        <v>2471.7950050010045</v>
      </c>
      <c r="U159" s="56">
        <f>1825.77093120336*Deflactores!$R$5</f>
        <v>3041.3458792369124</v>
      </c>
      <c r="V159" s="56">
        <f>347.66261301993*Deflactores!$S$5</f>
        <v>561.28313312922421</v>
      </c>
    </row>
    <row r="160" spans="3:22" x14ac:dyDescent="0.2">
      <c r="C160" s="79" t="s">
        <v>202</v>
      </c>
      <c r="D160" s="44">
        <f t="shared" ref="D160:V160" si="32">+SUM(D131:D159)</f>
        <v>14117.160505542619</v>
      </c>
      <c r="E160" s="44">
        <f t="shared" si="32"/>
        <v>18891.039378166184</v>
      </c>
      <c r="F160" s="44">
        <f t="shared" si="32"/>
        <v>13041.439919685879</v>
      </c>
      <c r="G160" s="44">
        <f t="shared" si="32"/>
        <v>12302.439310698041</v>
      </c>
      <c r="H160" s="44">
        <f t="shared" si="32"/>
        <v>14417.50463161034</v>
      </c>
      <c r="I160" s="44">
        <f t="shared" si="32"/>
        <v>16801.465815015184</v>
      </c>
      <c r="J160" s="44">
        <f t="shared" si="32"/>
        <v>17534.073448587362</v>
      </c>
      <c r="K160" s="44">
        <f t="shared" si="32"/>
        <v>31081.247939707242</v>
      </c>
      <c r="L160" s="44">
        <f t="shared" si="32"/>
        <v>31980.645649949307</v>
      </c>
      <c r="M160" s="44">
        <f t="shared" si="32"/>
        <v>45753.645413393191</v>
      </c>
      <c r="N160" s="44">
        <f t="shared" si="32"/>
        <v>31503.823415313855</v>
      </c>
      <c r="O160" s="44">
        <f t="shared" si="32"/>
        <v>45582.480973074133</v>
      </c>
      <c r="P160" s="44">
        <f t="shared" si="32"/>
        <v>53213.621756815286</v>
      </c>
      <c r="Q160" s="44">
        <f t="shared" si="32"/>
        <v>62261.553660195386</v>
      </c>
      <c r="R160" s="44">
        <f t="shared" si="32"/>
        <v>65928.709396774168</v>
      </c>
      <c r="S160" s="44">
        <f t="shared" si="32"/>
        <v>63637.06424034122</v>
      </c>
      <c r="T160" s="44">
        <f t="shared" si="32"/>
        <v>49367.143904378776</v>
      </c>
      <c r="U160" s="44">
        <f t="shared" si="32"/>
        <v>46401.057685586908</v>
      </c>
      <c r="V160" s="44">
        <f t="shared" si="32"/>
        <v>37827.535036491463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5.75" customHeight="1" x14ac:dyDescent="0.2">
      <c r="D165" s="164" t="s">
        <v>214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t="11.25" hidden="1" customHeight="1" x14ac:dyDescent="0.2">
      <c r="H166" s="27"/>
      <c r="I166" s="27"/>
      <c r="J166" s="27"/>
      <c r="L166" s="179"/>
      <c r="M166" s="160"/>
      <c r="N166" s="160"/>
      <c r="O166" s="160"/>
      <c r="P166" s="160"/>
      <c r="Q166" s="160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2" thickBot="1" x14ac:dyDescent="0.25">
      <c r="C168" s="181" t="s">
        <v>120</v>
      </c>
      <c r="D168" s="155">
        <v>2000</v>
      </c>
      <c r="E168" s="155">
        <v>2001</v>
      </c>
      <c r="F168" s="155">
        <v>2002</v>
      </c>
      <c r="G168" s="155">
        <v>2003</v>
      </c>
      <c r="H168" s="155">
        <v>2004</v>
      </c>
      <c r="I168" s="155">
        <v>2005</v>
      </c>
      <c r="J168" s="155">
        <v>2006</v>
      </c>
      <c r="K168" s="155">
        <v>2007</v>
      </c>
      <c r="L168" s="155">
        <v>2008</v>
      </c>
      <c r="M168" s="155">
        <v>2009</v>
      </c>
      <c r="N168" s="155">
        <v>2010</v>
      </c>
      <c r="O168" s="155">
        <v>2011</v>
      </c>
      <c r="P168" s="155">
        <v>2012</v>
      </c>
      <c r="Q168" s="155">
        <v>2013</v>
      </c>
      <c r="R168" s="155">
        <v>2014</v>
      </c>
      <c r="S168" s="155">
        <v>2015</v>
      </c>
      <c r="T168" s="155">
        <v>2016</v>
      </c>
      <c r="U168" s="155">
        <v>2017</v>
      </c>
      <c r="V168" s="155">
        <v>2018</v>
      </c>
    </row>
    <row r="169" spans="2:22" ht="12" customHeight="1" thickBot="1" x14ac:dyDescent="0.25">
      <c r="C169" s="162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</row>
    <row r="170" spans="2:22" x14ac:dyDescent="0.2">
      <c r="C170" s="87" t="s">
        <v>123</v>
      </c>
      <c r="D170" s="60">
        <f t="shared" ref="D170:V170" si="33">+IFERROR(IF(D131&gt;0,+((D131/D13)*100)," "),"")</f>
        <v>80.438558213256968</v>
      </c>
      <c r="E170" s="60">
        <f t="shared" si="33"/>
        <v>54.693420051864841</v>
      </c>
      <c r="F170" s="60">
        <f t="shared" si="33"/>
        <v>47.310694276030191</v>
      </c>
      <c r="G170" s="60">
        <f t="shared" si="33"/>
        <v>56.077363616829324</v>
      </c>
      <c r="H170" s="60">
        <f t="shared" si="33"/>
        <v>67.150339754631005</v>
      </c>
      <c r="I170" s="60">
        <f t="shared" si="33"/>
        <v>80.144423283681391</v>
      </c>
      <c r="J170" s="60">
        <f t="shared" si="33"/>
        <v>81.229034877431133</v>
      </c>
      <c r="K170" s="60">
        <f t="shared" si="33"/>
        <v>93.086074140279237</v>
      </c>
      <c r="L170" s="60">
        <f t="shared" si="33"/>
        <v>96.619289675633127</v>
      </c>
      <c r="M170" s="60">
        <f t="shared" si="33"/>
        <v>85.395679239000401</v>
      </c>
      <c r="N170" s="60">
        <f t="shared" si="33"/>
        <v>77.410342190101673</v>
      </c>
      <c r="O170" s="60">
        <f t="shared" si="33"/>
        <v>75.040030051955881</v>
      </c>
      <c r="P170" s="60">
        <f t="shared" si="33"/>
        <v>84.693499682820644</v>
      </c>
      <c r="Q170" s="60">
        <f t="shared" si="33"/>
        <v>83.087417641908175</v>
      </c>
      <c r="R170" s="60">
        <f t="shared" si="33"/>
        <v>91.840362305083715</v>
      </c>
      <c r="S170" s="60">
        <f t="shared" si="33"/>
        <v>87.000609612843803</v>
      </c>
      <c r="T170" s="60">
        <f t="shared" si="33"/>
        <v>77.161570199287112</v>
      </c>
      <c r="U170" s="60">
        <f t="shared" si="33"/>
        <v>90.577749704169364</v>
      </c>
      <c r="V170" s="60">
        <f t="shared" si="33"/>
        <v>52.008810771314003</v>
      </c>
    </row>
    <row r="171" spans="2:22" x14ac:dyDescent="0.2">
      <c r="C171" s="88" t="s">
        <v>124</v>
      </c>
      <c r="D171" s="62">
        <f t="shared" ref="D171:V171" si="34">+IFERROR(IF(D132&gt;0,+((D132/D14)*100)," "),"")</f>
        <v>44.549585221235496</v>
      </c>
      <c r="E171" s="62">
        <f t="shared" si="34"/>
        <v>54.578359636450337</v>
      </c>
      <c r="F171" s="62">
        <f t="shared" si="34"/>
        <v>51.275557866993026</v>
      </c>
      <c r="G171" s="62">
        <f t="shared" si="34"/>
        <v>57.987133582687441</v>
      </c>
      <c r="H171" s="62">
        <f t="shared" si="34"/>
        <v>21.153570443337021</v>
      </c>
      <c r="I171" s="62">
        <f t="shared" si="34"/>
        <v>36.440187932390238</v>
      </c>
      <c r="J171" s="62">
        <f t="shared" si="34"/>
        <v>39.178145278318041</v>
      </c>
      <c r="K171" s="62">
        <f t="shared" si="34"/>
        <v>94.808203678374653</v>
      </c>
      <c r="L171" s="62">
        <f t="shared" si="34"/>
        <v>93.516017124080165</v>
      </c>
      <c r="M171" s="62">
        <f t="shared" si="34"/>
        <v>78.735710400238219</v>
      </c>
      <c r="N171" s="62">
        <f t="shared" si="34"/>
        <v>83.588175108335932</v>
      </c>
      <c r="O171" s="62">
        <f t="shared" si="34"/>
        <v>84.270966338117191</v>
      </c>
      <c r="P171" s="62">
        <f t="shared" si="34"/>
        <v>75.292829967771269</v>
      </c>
      <c r="Q171" s="62">
        <f t="shared" si="34"/>
        <v>54.396163685225204</v>
      </c>
      <c r="R171" s="62">
        <f t="shared" si="34"/>
        <v>54.667150631641881</v>
      </c>
      <c r="S171" s="62">
        <f t="shared" si="34"/>
        <v>50.501006474218826</v>
      </c>
      <c r="T171" s="62">
        <f t="shared" si="34"/>
        <v>53.1473649565242</v>
      </c>
      <c r="U171" s="62">
        <f t="shared" si="34"/>
        <v>56.200388511535479</v>
      </c>
      <c r="V171" s="62">
        <f t="shared" si="34"/>
        <v>53.359201584842978</v>
      </c>
    </row>
    <row r="172" spans="2:22" x14ac:dyDescent="0.2">
      <c r="C172" s="87" t="s">
        <v>125</v>
      </c>
      <c r="D172" s="60">
        <f t="shared" ref="D172:V172" si="35">+IFERROR(IF(D133&gt;0,+((D133/D15)*100)," "),"")</f>
        <v>64.104460357979349</v>
      </c>
      <c r="E172" s="60">
        <f t="shared" si="35"/>
        <v>51.928768749157804</v>
      </c>
      <c r="F172" s="60">
        <f t="shared" si="35"/>
        <v>27.848722067416588</v>
      </c>
      <c r="G172" s="60">
        <f t="shared" si="35"/>
        <v>24.225124449428922</v>
      </c>
      <c r="H172" s="60">
        <f t="shared" si="35"/>
        <v>56.75939133023715</v>
      </c>
      <c r="I172" s="60">
        <f t="shared" si="35"/>
        <v>51.467405519330825</v>
      </c>
      <c r="J172" s="60">
        <f t="shared" si="35"/>
        <v>48.942487004883468</v>
      </c>
      <c r="K172" s="60">
        <f t="shared" si="35"/>
        <v>92.341058568708036</v>
      </c>
      <c r="L172" s="60">
        <f t="shared" si="35"/>
        <v>95.633057027187846</v>
      </c>
      <c r="M172" s="60">
        <f t="shared" si="35"/>
        <v>81.256569291989209</v>
      </c>
      <c r="N172" s="60">
        <f t="shared" si="35"/>
        <v>93.866548012097752</v>
      </c>
      <c r="O172" s="60">
        <f t="shared" si="35"/>
        <v>95.235448712212673</v>
      </c>
      <c r="P172" s="60">
        <f t="shared" si="35"/>
        <v>91.692770258591779</v>
      </c>
      <c r="Q172" s="60">
        <f t="shared" si="35"/>
        <v>96.575461161576214</v>
      </c>
      <c r="R172" s="60">
        <f t="shared" si="35"/>
        <v>94.968176646831566</v>
      </c>
      <c r="S172" s="60">
        <f t="shared" si="35"/>
        <v>98.468155598670265</v>
      </c>
      <c r="T172" s="60">
        <f t="shared" si="35"/>
        <v>98.750892667861848</v>
      </c>
      <c r="U172" s="60">
        <f t="shared" si="35"/>
        <v>99.939707188785704</v>
      </c>
      <c r="V172" s="60">
        <f t="shared" si="35"/>
        <v>79.425433055381617</v>
      </c>
    </row>
    <row r="173" spans="2:22" x14ac:dyDescent="0.2">
      <c r="C173" s="88" t="s">
        <v>126</v>
      </c>
      <c r="D173" s="62">
        <f t="shared" ref="D173:V173" si="36">+IFERROR(IF(D134&gt;0,+((D134/D16)*100)," "),"")</f>
        <v>55.043768387950905</v>
      </c>
      <c r="E173" s="62">
        <f t="shared" si="36"/>
        <v>48.959972188242475</v>
      </c>
      <c r="F173" s="62">
        <f t="shared" si="36"/>
        <v>35.091312662422958</v>
      </c>
      <c r="G173" s="62">
        <f t="shared" si="36"/>
        <v>50.28918450841158</v>
      </c>
      <c r="H173" s="62">
        <f t="shared" si="36"/>
        <v>34.178808581790953</v>
      </c>
      <c r="I173" s="62">
        <f t="shared" si="36"/>
        <v>35.567500788557425</v>
      </c>
      <c r="J173" s="62">
        <f t="shared" si="36"/>
        <v>49.964889835026852</v>
      </c>
      <c r="K173" s="62">
        <f t="shared" si="36"/>
        <v>89.672832590575382</v>
      </c>
      <c r="L173" s="62">
        <f t="shared" si="36"/>
        <v>95.929795067278107</v>
      </c>
      <c r="M173" s="62">
        <f t="shared" si="36"/>
        <v>88.876275181739345</v>
      </c>
      <c r="N173" s="62">
        <f t="shared" si="36"/>
        <v>91.398184667023401</v>
      </c>
      <c r="O173" s="62">
        <f t="shared" si="36"/>
        <v>92.717257371579691</v>
      </c>
      <c r="P173" s="62">
        <f t="shared" si="36"/>
        <v>97.301829360009933</v>
      </c>
      <c r="Q173" s="62">
        <f t="shared" si="36"/>
        <v>93.628747557674387</v>
      </c>
      <c r="R173" s="62">
        <f t="shared" si="36"/>
        <v>95.83071115835628</v>
      </c>
      <c r="S173" s="62">
        <f t="shared" si="36"/>
        <v>96.254158520217942</v>
      </c>
      <c r="T173" s="62">
        <f t="shared" si="36"/>
        <v>98.669484750385166</v>
      </c>
      <c r="U173" s="62">
        <f t="shared" si="36"/>
        <v>98.619612862797069</v>
      </c>
      <c r="V173" s="62">
        <f t="shared" si="36"/>
        <v>46.604033769936159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>
        <f t="shared" si="37"/>
        <v>43.660191764705878</v>
      </c>
      <c r="H174" s="60" t="str">
        <f t="shared" si="37"/>
        <v xml:space="preserve"> </v>
      </c>
      <c r="I174" s="60">
        <f t="shared" si="37"/>
        <v>51.065452320000006</v>
      </c>
      <c r="J174" s="60">
        <f t="shared" si="37"/>
        <v>89.189942334117646</v>
      </c>
      <c r="K174" s="60">
        <f t="shared" si="37"/>
        <v>93.49219133194245</v>
      </c>
      <c r="L174" s="60">
        <f t="shared" si="37"/>
        <v>71.252610513821992</v>
      </c>
      <c r="M174" s="60">
        <f t="shared" si="37"/>
        <v>48.70456733147541</v>
      </c>
      <c r="N174" s="60">
        <f t="shared" si="37"/>
        <v>66.661658727225003</v>
      </c>
      <c r="O174" s="60">
        <f t="shared" si="37"/>
        <v>27.939514284000001</v>
      </c>
      <c r="P174" s="60">
        <f t="shared" si="37"/>
        <v>12.418999828489419</v>
      </c>
      <c r="Q174" s="60">
        <f t="shared" si="37"/>
        <v>58.007980926966198</v>
      </c>
      <c r="R174" s="60">
        <f t="shared" si="37"/>
        <v>83.064423898218493</v>
      </c>
      <c r="S174" s="60">
        <f t="shared" si="37"/>
        <v>94.475704184733573</v>
      </c>
      <c r="T174" s="60">
        <f t="shared" si="37"/>
        <v>94.677585228277508</v>
      </c>
      <c r="U174" s="60">
        <f t="shared" si="37"/>
        <v>93.474552255921111</v>
      </c>
      <c r="V174" s="60">
        <f t="shared" si="37"/>
        <v>65.555159428505732</v>
      </c>
    </row>
    <row r="175" spans="2:22" x14ac:dyDescent="0.2">
      <c r="C175" s="88" t="s">
        <v>128</v>
      </c>
      <c r="D175" s="62">
        <f t="shared" ref="D175:V175" si="38">+IFERROR(IF(D136&gt;0,+((D136/D18)*100)," "),"")</f>
        <v>43.593564012769882</v>
      </c>
      <c r="E175" s="62">
        <f t="shared" si="38"/>
        <v>65.167137538102622</v>
      </c>
      <c r="F175" s="62">
        <f t="shared" si="38"/>
        <v>54.933899251248022</v>
      </c>
      <c r="G175" s="62">
        <f t="shared" si="38"/>
        <v>70.491731586141967</v>
      </c>
      <c r="H175" s="62">
        <f t="shared" si="38"/>
        <v>65.698966909035775</v>
      </c>
      <c r="I175" s="62">
        <f t="shared" si="38"/>
        <v>81.781312062811992</v>
      </c>
      <c r="J175" s="62">
        <f t="shared" si="38"/>
        <v>85.602872361675949</v>
      </c>
      <c r="K175" s="62">
        <f t="shared" si="38"/>
        <v>79.429192662800929</v>
      </c>
      <c r="L175" s="62">
        <f t="shared" si="38"/>
        <v>88.32579252747388</v>
      </c>
      <c r="M175" s="62">
        <f t="shared" si="38"/>
        <v>83.694948646422276</v>
      </c>
      <c r="N175" s="62">
        <f t="shared" si="38"/>
        <v>86.691675252942957</v>
      </c>
      <c r="O175" s="62">
        <f t="shared" si="38"/>
        <v>83.546737672889563</v>
      </c>
      <c r="P175" s="62">
        <f t="shared" si="38"/>
        <v>91.940354480954753</v>
      </c>
      <c r="Q175" s="62">
        <f t="shared" si="38"/>
        <v>92.816751744973615</v>
      </c>
      <c r="R175" s="62">
        <f t="shared" si="38"/>
        <v>96.557874128955461</v>
      </c>
      <c r="S175" s="62">
        <f t="shared" si="38"/>
        <v>98.014879562883493</v>
      </c>
      <c r="T175" s="62">
        <f t="shared" si="38"/>
        <v>97.172465184993399</v>
      </c>
      <c r="U175" s="62">
        <f t="shared" si="38"/>
        <v>86.92683213181175</v>
      </c>
      <c r="V175" s="62">
        <f t="shared" si="38"/>
        <v>78.573036629005429</v>
      </c>
    </row>
    <row r="176" spans="2:22" x14ac:dyDescent="0.2">
      <c r="C176" s="87" t="s">
        <v>129</v>
      </c>
      <c r="D176" s="60">
        <f t="shared" ref="D176:V176" si="39">+IFERROR(IF(D137&gt;0,+((D137/D19)*100)," "),"")</f>
        <v>78.246981851758335</v>
      </c>
      <c r="E176" s="60">
        <f t="shared" si="39"/>
        <v>55.367476482110945</v>
      </c>
      <c r="F176" s="60">
        <f t="shared" si="39"/>
        <v>58.843875691196281</v>
      </c>
      <c r="G176" s="60">
        <f t="shared" si="39"/>
        <v>52.939529982733966</v>
      </c>
      <c r="H176" s="60">
        <f t="shared" si="39"/>
        <v>55.358261799050368</v>
      </c>
      <c r="I176" s="60">
        <f t="shared" si="39"/>
        <v>56.189640146193298</v>
      </c>
      <c r="J176" s="60">
        <f t="shared" si="39"/>
        <v>68.753196852697073</v>
      </c>
      <c r="K176" s="60">
        <f t="shared" si="39"/>
        <v>93.116299920217415</v>
      </c>
      <c r="L176" s="60">
        <f t="shared" si="39"/>
        <v>93.495893337057652</v>
      </c>
      <c r="M176" s="60">
        <f t="shared" si="39"/>
        <v>85.894843520598869</v>
      </c>
      <c r="N176" s="60">
        <f t="shared" si="39"/>
        <v>78.125062962037632</v>
      </c>
      <c r="O176" s="60">
        <f t="shared" si="39"/>
        <v>81.97208563656973</v>
      </c>
      <c r="P176" s="60">
        <f t="shared" si="39"/>
        <v>91.109329686587472</v>
      </c>
      <c r="Q176" s="60">
        <f t="shared" si="39"/>
        <v>90.115572251682281</v>
      </c>
      <c r="R176" s="60">
        <f t="shared" si="39"/>
        <v>82.110806214206761</v>
      </c>
      <c r="S176" s="60">
        <f t="shared" si="39"/>
        <v>88.478785651387909</v>
      </c>
      <c r="T176" s="60">
        <f t="shared" si="39"/>
        <v>88.821444655698599</v>
      </c>
      <c r="U176" s="60">
        <f t="shared" si="39"/>
        <v>87.737225577556387</v>
      </c>
      <c r="V176" s="60">
        <f t="shared" si="39"/>
        <v>66.948818235605273</v>
      </c>
    </row>
    <row r="177" spans="3:22" x14ac:dyDescent="0.2">
      <c r="C177" s="88" t="s">
        <v>130</v>
      </c>
      <c r="D177" s="62">
        <f t="shared" ref="D177:V177" si="40">+IFERROR(IF(D138&gt;0,+((D138/D20)*100)," "),"")</f>
        <v>82.945914155517272</v>
      </c>
      <c r="E177" s="62">
        <f t="shared" si="40"/>
        <v>59.754314631537163</v>
      </c>
      <c r="F177" s="62">
        <f t="shared" si="40"/>
        <v>65.283186566996193</v>
      </c>
      <c r="G177" s="62">
        <f t="shared" si="40"/>
        <v>48.876959855710602</v>
      </c>
      <c r="H177" s="62">
        <f t="shared" si="40"/>
        <v>85.026492877762067</v>
      </c>
      <c r="I177" s="62">
        <f t="shared" si="40"/>
        <v>87.586082234449776</v>
      </c>
      <c r="J177" s="62">
        <f t="shared" si="40"/>
        <v>92.862818928030123</v>
      </c>
      <c r="K177" s="62">
        <f t="shared" si="40"/>
        <v>90.527628303634771</v>
      </c>
      <c r="L177" s="62">
        <f t="shared" si="40"/>
        <v>93.212292310879079</v>
      </c>
      <c r="M177" s="62">
        <f t="shared" si="40"/>
        <v>84.687180714553477</v>
      </c>
      <c r="N177" s="62">
        <f t="shared" si="40"/>
        <v>87.106883832014148</v>
      </c>
      <c r="O177" s="62">
        <f t="shared" si="40"/>
        <v>84.246218008829814</v>
      </c>
      <c r="P177" s="62">
        <f t="shared" si="40"/>
        <v>84.805898209628154</v>
      </c>
      <c r="Q177" s="62">
        <f t="shared" si="40"/>
        <v>88.273391390315979</v>
      </c>
      <c r="R177" s="62">
        <f t="shared" si="40"/>
        <v>88.644324158159506</v>
      </c>
      <c r="S177" s="62">
        <f t="shared" si="40"/>
        <v>85.882842038393321</v>
      </c>
      <c r="T177" s="62">
        <f t="shared" si="40"/>
        <v>65.824877622423841</v>
      </c>
      <c r="U177" s="62">
        <f t="shared" si="40"/>
        <v>77.907867147495395</v>
      </c>
      <c r="V177" s="62">
        <f t="shared" si="40"/>
        <v>68.995934225392048</v>
      </c>
    </row>
    <row r="178" spans="3:22" x14ac:dyDescent="0.2">
      <c r="C178" s="87" t="s">
        <v>131</v>
      </c>
      <c r="D178" s="60">
        <f t="shared" ref="D178:V178" si="41">+IFERROR(IF(D139&gt;0,+((D139/D21)*100)," "),"")</f>
        <v>73.641535220755173</v>
      </c>
      <c r="E178" s="60">
        <f t="shared" si="41"/>
        <v>35.971568809527</v>
      </c>
      <c r="F178" s="60">
        <f t="shared" si="41"/>
        <v>53.810011022842552</v>
      </c>
      <c r="G178" s="60">
        <f t="shared" si="41"/>
        <v>73.809186412920454</v>
      </c>
      <c r="H178" s="60">
        <f t="shared" si="41"/>
        <v>49.447461476723049</v>
      </c>
      <c r="I178" s="60">
        <f t="shared" si="41"/>
        <v>51.728694349903456</v>
      </c>
      <c r="J178" s="60">
        <f t="shared" si="41"/>
        <v>52.661727409660323</v>
      </c>
      <c r="K178" s="60">
        <f t="shared" si="41"/>
        <v>91.898190802415314</v>
      </c>
      <c r="L178" s="60">
        <f t="shared" si="41"/>
        <v>88.109640102430291</v>
      </c>
      <c r="M178" s="60">
        <f t="shared" si="41"/>
        <v>85.574045081659051</v>
      </c>
      <c r="N178" s="60">
        <f t="shared" si="41"/>
        <v>84.320870470415045</v>
      </c>
      <c r="O178" s="60">
        <f t="shared" si="41"/>
        <v>87.250122235320802</v>
      </c>
      <c r="P178" s="60">
        <f t="shared" si="41"/>
        <v>77.342123343266778</v>
      </c>
      <c r="Q178" s="60">
        <f t="shared" si="41"/>
        <v>92.704204328704236</v>
      </c>
      <c r="R178" s="60">
        <f t="shared" si="41"/>
        <v>96.058433045922825</v>
      </c>
      <c r="S178" s="60">
        <f t="shared" si="41"/>
        <v>97.645735975594846</v>
      </c>
      <c r="T178" s="60">
        <f t="shared" si="41"/>
        <v>97.905208706535859</v>
      </c>
      <c r="U178" s="60">
        <f t="shared" si="41"/>
        <v>98.322374222679514</v>
      </c>
      <c r="V178" s="60">
        <f t="shared" si="41"/>
        <v>93.88655561100316</v>
      </c>
    </row>
    <row r="179" spans="3:22" x14ac:dyDescent="0.2">
      <c r="C179" s="88" t="s">
        <v>132</v>
      </c>
      <c r="D179" s="62" t="str">
        <f t="shared" ref="D179:V179" si="42">+IFERROR(IF(D140&gt;0,+((D140/D22)*100)," "),"")</f>
        <v xml:space="preserve"> </v>
      </c>
      <c r="E179" s="62" t="str">
        <f t="shared" si="42"/>
        <v xml:space="preserve"> </v>
      </c>
      <c r="F179" s="62" t="str">
        <f t="shared" si="42"/>
        <v xml:space="preserve"> </v>
      </c>
      <c r="G179" s="62" t="str">
        <f t="shared" si="42"/>
        <v xml:space="preserve"> </v>
      </c>
      <c r="H179" s="62">
        <f t="shared" si="42"/>
        <v>52.719748479499998</v>
      </c>
      <c r="I179" s="62">
        <f t="shared" si="42"/>
        <v>9.5599208460129752</v>
      </c>
      <c r="J179" s="62" t="str">
        <f t="shared" si="42"/>
        <v xml:space="preserve"> </v>
      </c>
      <c r="K179" s="62">
        <f t="shared" si="42"/>
        <v>96.20492919946355</v>
      </c>
      <c r="L179" s="62">
        <f t="shared" si="42"/>
        <v>100</v>
      </c>
      <c r="M179" s="62">
        <f t="shared" si="42"/>
        <v>99.999999881807682</v>
      </c>
      <c r="N179" s="62">
        <f t="shared" si="42"/>
        <v>59.465050527990911</v>
      </c>
      <c r="O179" s="62">
        <f t="shared" si="42"/>
        <v>82.331802514000003</v>
      </c>
      <c r="P179" s="62">
        <f t="shared" si="42"/>
        <v>93.995714264589125</v>
      </c>
      <c r="Q179" s="62">
        <f t="shared" si="42"/>
        <v>97.183690983037209</v>
      </c>
      <c r="R179" s="62">
        <f t="shared" si="42"/>
        <v>90.143183422492214</v>
      </c>
      <c r="S179" s="62">
        <f t="shared" si="42"/>
        <v>93.115772389997602</v>
      </c>
      <c r="T179" s="62">
        <f t="shared" si="42"/>
        <v>97.08401582593622</v>
      </c>
      <c r="U179" s="62">
        <f t="shared" si="42"/>
        <v>85.500739057001653</v>
      </c>
      <c r="V179" s="62">
        <f t="shared" si="42"/>
        <v>74.092202279606184</v>
      </c>
    </row>
    <row r="180" spans="3:22" x14ac:dyDescent="0.2">
      <c r="C180" s="87" t="s">
        <v>133</v>
      </c>
      <c r="D180" s="60">
        <f t="shared" ref="D180:V180" si="43">+IFERROR(IF(D141&gt;0,+((D141/D23)*100)," "),"")</f>
        <v>66.856704083298837</v>
      </c>
      <c r="E180" s="60">
        <f t="shared" si="43"/>
        <v>65.010719876315108</v>
      </c>
      <c r="F180" s="60">
        <f t="shared" si="43"/>
        <v>31.493231730364691</v>
      </c>
      <c r="G180" s="60">
        <f t="shared" si="43"/>
        <v>61.661162158306048</v>
      </c>
      <c r="H180" s="60">
        <f t="shared" si="43"/>
        <v>69.967833428159835</v>
      </c>
      <c r="I180" s="60">
        <f t="shared" si="43"/>
        <v>70.897109774486637</v>
      </c>
      <c r="J180" s="60">
        <f t="shared" si="43"/>
        <v>50.311222933874568</v>
      </c>
      <c r="K180" s="60">
        <f t="shared" si="43"/>
        <v>87.707316619772143</v>
      </c>
      <c r="L180" s="60">
        <f t="shared" si="43"/>
        <v>66.552498215502311</v>
      </c>
      <c r="M180" s="60">
        <f t="shared" si="43"/>
        <v>62.513708551280132</v>
      </c>
      <c r="N180" s="60">
        <f t="shared" si="43"/>
        <v>39.29454092218247</v>
      </c>
      <c r="O180" s="60">
        <f t="shared" si="43"/>
        <v>60.272622039694845</v>
      </c>
      <c r="P180" s="60">
        <f t="shared" si="43"/>
        <v>61.478232954723424</v>
      </c>
      <c r="Q180" s="60">
        <f t="shared" si="43"/>
        <v>70.263578518827828</v>
      </c>
      <c r="R180" s="60">
        <f t="shared" si="43"/>
        <v>68.577409987250221</v>
      </c>
      <c r="S180" s="60">
        <f t="shared" si="43"/>
        <v>60.359256272705842</v>
      </c>
      <c r="T180" s="60">
        <f t="shared" si="43"/>
        <v>68.547155994719191</v>
      </c>
      <c r="U180" s="60">
        <f t="shared" si="43"/>
        <v>86.097725791256437</v>
      </c>
      <c r="V180" s="60">
        <f t="shared" si="43"/>
        <v>62.346337336715493</v>
      </c>
    </row>
    <row r="181" spans="3:22" x14ac:dyDescent="0.2">
      <c r="C181" s="88" t="s">
        <v>134</v>
      </c>
      <c r="D181" s="62">
        <f t="shared" ref="D181:V181" si="44">+IFERROR(IF(D142&gt;0,+((D142/D24)*100)," "),"")</f>
        <v>91.005944660524875</v>
      </c>
      <c r="E181" s="62">
        <f t="shared" si="44"/>
        <v>86.792941011451731</v>
      </c>
      <c r="F181" s="62">
        <f t="shared" si="44"/>
        <v>70.592135932296657</v>
      </c>
      <c r="G181" s="62">
        <f t="shared" si="44"/>
        <v>84.249921918914737</v>
      </c>
      <c r="H181" s="62">
        <f t="shared" si="44"/>
        <v>58.764319538181198</v>
      </c>
      <c r="I181" s="62">
        <f t="shared" si="44"/>
        <v>60.176433433890097</v>
      </c>
      <c r="J181" s="62">
        <f t="shared" si="44"/>
        <v>33.718304136619828</v>
      </c>
      <c r="K181" s="62">
        <f t="shared" si="44"/>
        <v>80.428526860473184</v>
      </c>
      <c r="L181" s="62">
        <f t="shared" si="44"/>
        <v>84.898746959570332</v>
      </c>
      <c r="M181" s="62">
        <f t="shared" si="44"/>
        <v>92.530130821705953</v>
      </c>
      <c r="N181" s="62">
        <f t="shared" si="44"/>
        <v>95.592938330653794</v>
      </c>
      <c r="O181" s="62">
        <f t="shared" si="44"/>
        <v>88.126563975143739</v>
      </c>
      <c r="P181" s="62">
        <f t="shared" si="44"/>
        <v>81.463646354343055</v>
      </c>
      <c r="Q181" s="62">
        <f t="shared" si="44"/>
        <v>69.691266474648103</v>
      </c>
      <c r="R181" s="62">
        <f t="shared" si="44"/>
        <v>34.378214154943961</v>
      </c>
      <c r="S181" s="62">
        <f t="shared" si="44"/>
        <v>35.128596653804138</v>
      </c>
      <c r="T181" s="62">
        <f t="shared" si="44"/>
        <v>25.202612025614734</v>
      </c>
      <c r="U181" s="62">
        <f t="shared" si="44"/>
        <v>52.199216184351094</v>
      </c>
      <c r="V181" s="62">
        <f t="shared" si="44"/>
        <v>47.263264438861206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48.882776481572002</v>
      </c>
      <c r="E183" s="62">
        <f t="shared" si="46"/>
        <v>77.770374514594891</v>
      </c>
      <c r="F183" s="62">
        <f t="shared" si="46"/>
        <v>51.019545918919427</v>
      </c>
      <c r="G183" s="62">
        <f t="shared" si="46"/>
        <v>91.664422502525895</v>
      </c>
      <c r="H183" s="62">
        <f t="shared" si="46"/>
        <v>54.719836834541489</v>
      </c>
      <c r="I183" s="62">
        <f t="shared" si="46"/>
        <v>60.911088487454599</v>
      </c>
      <c r="J183" s="62">
        <f t="shared" si="46"/>
        <v>75.672941029125013</v>
      </c>
      <c r="K183" s="62">
        <f t="shared" si="46"/>
        <v>91.166265613999698</v>
      </c>
      <c r="L183" s="62">
        <f t="shared" si="46"/>
        <v>77.519077044058037</v>
      </c>
      <c r="M183" s="62">
        <f t="shared" si="46"/>
        <v>84.03739413645161</v>
      </c>
      <c r="N183" s="62">
        <f t="shared" si="46"/>
        <v>81.235398400862351</v>
      </c>
      <c r="O183" s="62">
        <f t="shared" si="46"/>
        <v>88.476168296990338</v>
      </c>
      <c r="P183" s="62">
        <f t="shared" si="46"/>
        <v>86.892602320449768</v>
      </c>
      <c r="Q183" s="62">
        <f t="shared" si="46"/>
        <v>88.52293100904069</v>
      </c>
      <c r="R183" s="62">
        <f t="shared" si="46"/>
        <v>91.139734062204397</v>
      </c>
      <c r="S183" s="62">
        <f t="shared" si="46"/>
        <v>95.200761941168423</v>
      </c>
      <c r="T183" s="62">
        <f t="shared" si="46"/>
        <v>86.033408377647831</v>
      </c>
      <c r="U183" s="62">
        <f t="shared" si="46"/>
        <v>96.004131608008038</v>
      </c>
      <c r="V183" s="62">
        <f t="shared" si="46"/>
        <v>91.133773872899582</v>
      </c>
    </row>
    <row r="184" spans="3:22" x14ac:dyDescent="0.2">
      <c r="C184" s="87" t="s">
        <v>137</v>
      </c>
      <c r="D184" s="60">
        <f t="shared" ref="D184:V184" si="47">+IFERROR(IF(D145&gt;0,+((D145/D27)*100)," "),"")</f>
        <v>39.356098816645094</v>
      </c>
      <c r="E184" s="60">
        <f t="shared" si="47"/>
        <v>66.431227472133969</v>
      </c>
      <c r="F184" s="60">
        <f t="shared" si="47"/>
        <v>41.788342612500578</v>
      </c>
      <c r="G184" s="60">
        <f t="shared" si="47"/>
        <v>45.551459193531258</v>
      </c>
      <c r="H184" s="60">
        <f t="shared" si="47"/>
        <v>64.424404426638986</v>
      </c>
      <c r="I184" s="60">
        <f t="shared" si="47"/>
        <v>77.134544698926959</v>
      </c>
      <c r="J184" s="60">
        <f t="shared" si="47"/>
        <v>95.876576288788456</v>
      </c>
      <c r="K184" s="60">
        <f t="shared" si="47"/>
        <v>81.432609047349374</v>
      </c>
      <c r="L184" s="60">
        <f t="shared" si="47"/>
        <v>90.94072851770477</v>
      </c>
      <c r="M184" s="60">
        <f t="shared" si="47"/>
        <v>81.841895242926654</v>
      </c>
      <c r="N184" s="60">
        <f t="shared" si="47"/>
        <v>80.306557755956547</v>
      </c>
      <c r="O184" s="60">
        <f t="shared" si="47"/>
        <v>91.307889913498371</v>
      </c>
      <c r="P184" s="60">
        <f t="shared" si="47"/>
        <v>88.000106062816869</v>
      </c>
      <c r="Q184" s="60">
        <f t="shared" si="47"/>
        <v>86.506955945647178</v>
      </c>
      <c r="R184" s="60">
        <f t="shared" si="47"/>
        <v>97.589210626445308</v>
      </c>
      <c r="S184" s="60">
        <f t="shared" si="47"/>
        <v>91.51599421439235</v>
      </c>
      <c r="T184" s="60">
        <f t="shared" si="47"/>
        <v>92.339347185763529</v>
      </c>
      <c r="U184" s="60">
        <f t="shared" si="47"/>
        <v>90.308764680232358</v>
      </c>
      <c r="V184" s="60">
        <f t="shared" si="47"/>
        <v>93.072440309311915</v>
      </c>
    </row>
    <row r="185" spans="3:22" x14ac:dyDescent="0.2">
      <c r="C185" s="88" t="s">
        <v>138</v>
      </c>
      <c r="D185" s="62">
        <f t="shared" ref="D185:V185" si="48">+IFERROR(IF(D146&gt;0,+((D146/D28)*100)," "),"")</f>
        <v>54.866356799999991</v>
      </c>
      <c r="E185" s="62">
        <f t="shared" si="48"/>
        <v>94.999885124277782</v>
      </c>
      <c r="F185" s="62">
        <f t="shared" si="48"/>
        <v>0.94872887999999844</v>
      </c>
      <c r="G185" s="62" t="str">
        <f t="shared" si="48"/>
        <v xml:space="preserve"> </v>
      </c>
      <c r="H185" s="62" t="str">
        <f t="shared" si="48"/>
        <v xml:space="preserve"> </v>
      </c>
      <c r="I185" s="62" t="str">
        <f t="shared" si="48"/>
        <v xml:space="preserve"> </v>
      </c>
      <c r="J185" s="62" t="str">
        <f t="shared" si="48"/>
        <v xml:space="preserve"> </v>
      </c>
      <c r="K185" s="62" t="str">
        <f t="shared" si="48"/>
        <v xml:space="preserve"> </v>
      </c>
      <c r="L185" s="62">
        <f t="shared" si="48"/>
        <v>74.98413912115555</v>
      </c>
      <c r="M185" s="62">
        <f t="shared" si="48"/>
        <v>5.5729729729729716</v>
      </c>
      <c r="N185" s="62">
        <f t="shared" si="48"/>
        <v>45.190921870967735</v>
      </c>
      <c r="O185" s="62" t="str">
        <f t="shared" si="48"/>
        <v xml:space="preserve"> </v>
      </c>
      <c r="P185" s="62">
        <f t="shared" si="48"/>
        <v>78.790006266340725</v>
      </c>
      <c r="Q185" s="62">
        <f t="shared" si="48"/>
        <v>88.729238084960926</v>
      </c>
      <c r="R185" s="62">
        <f t="shared" si="48"/>
        <v>83.820776135423685</v>
      </c>
      <c r="S185" s="62">
        <f t="shared" si="48"/>
        <v>94.527974908600569</v>
      </c>
      <c r="T185" s="62">
        <f t="shared" si="48"/>
        <v>97.182040692632981</v>
      </c>
      <c r="U185" s="62">
        <f t="shared" si="48"/>
        <v>91.201744670202686</v>
      </c>
      <c r="V185" s="62">
        <f t="shared" si="48"/>
        <v>96.85860163507715</v>
      </c>
    </row>
    <row r="186" spans="3:22" x14ac:dyDescent="0.2">
      <c r="C186" s="87" t="s">
        <v>139</v>
      </c>
      <c r="D186" s="60">
        <f t="shared" ref="D186:V186" si="49">+IFERROR(IF(D147&gt;0,+((D147/D29)*100)," "),"")</f>
        <v>78.584505373828321</v>
      </c>
      <c r="E186" s="60">
        <f t="shared" si="49"/>
        <v>51.253792869005785</v>
      </c>
      <c r="F186" s="60">
        <f t="shared" si="49"/>
        <v>28.804843783930139</v>
      </c>
      <c r="G186" s="60">
        <f t="shared" si="49"/>
        <v>75.218223998985721</v>
      </c>
      <c r="H186" s="60">
        <f t="shared" si="49"/>
        <v>60.060822977860497</v>
      </c>
      <c r="I186" s="60">
        <f t="shared" si="49"/>
        <v>72.102089212862197</v>
      </c>
      <c r="J186" s="60">
        <f t="shared" si="49"/>
        <v>80.709877820462268</v>
      </c>
      <c r="K186" s="60">
        <f t="shared" si="49"/>
        <v>66.812689946842056</v>
      </c>
      <c r="L186" s="60">
        <f t="shared" si="49"/>
        <v>79.015860044284665</v>
      </c>
      <c r="M186" s="60">
        <f t="shared" si="49"/>
        <v>88.246710636814768</v>
      </c>
      <c r="N186" s="60">
        <f t="shared" si="49"/>
        <v>74.250030249916705</v>
      </c>
      <c r="O186" s="60">
        <f t="shared" si="49"/>
        <v>98.457742074058501</v>
      </c>
      <c r="P186" s="60">
        <f t="shared" si="49"/>
        <v>50.809330906269025</v>
      </c>
      <c r="Q186" s="60">
        <f t="shared" si="49"/>
        <v>65.99306060219098</v>
      </c>
      <c r="R186" s="60">
        <f t="shared" si="49"/>
        <v>75.952150094940635</v>
      </c>
      <c r="S186" s="60">
        <f t="shared" si="49"/>
        <v>61.1342731674684</v>
      </c>
      <c r="T186" s="60">
        <f t="shared" si="49"/>
        <v>41.583324398452717</v>
      </c>
      <c r="U186" s="60">
        <f t="shared" si="49"/>
        <v>35.000279124667365</v>
      </c>
      <c r="V186" s="60">
        <f t="shared" si="49"/>
        <v>31.611565647576029</v>
      </c>
    </row>
    <row r="187" spans="3:22" x14ac:dyDescent="0.2">
      <c r="C187" s="88" t="s">
        <v>140</v>
      </c>
      <c r="D187" s="62">
        <f t="shared" ref="D187:V187" si="50">+IFERROR(IF(D148&gt;0,+((D148/D30)*100)," "),"")</f>
        <v>86.513653839102716</v>
      </c>
      <c r="E187" s="62">
        <f t="shared" si="50"/>
        <v>72.338299205552786</v>
      </c>
      <c r="F187" s="62">
        <f t="shared" si="50"/>
        <v>75.987196206650523</v>
      </c>
      <c r="G187" s="62">
        <f t="shared" si="50"/>
        <v>95.345793630548357</v>
      </c>
      <c r="H187" s="62">
        <f t="shared" si="50"/>
        <v>84.4577144245158</v>
      </c>
      <c r="I187" s="62">
        <f t="shared" si="50"/>
        <v>80.063794423540841</v>
      </c>
      <c r="J187" s="62">
        <f t="shared" si="50"/>
        <v>65.727958493383426</v>
      </c>
      <c r="K187" s="62">
        <f t="shared" si="50"/>
        <v>59.562406105414077</v>
      </c>
      <c r="L187" s="62">
        <f t="shared" si="50"/>
        <v>95.19749905519383</v>
      </c>
      <c r="M187" s="62">
        <f t="shared" si="50"/>
        <v>88.450018028868968</v>
      </c>
      <c r="N187" s="62">
        <f t="shared" si="50"/>
        <v>92.535526523359337</v>
      </c>
      <c r="O187" s="62">
        <f t="shared" si="50"/>
        <v>92.702125014527653</v>
      </c>
      <c r="P187" s="62">
        <f t="shared" si="50"/>
        <v>96.541930854860595</v>
      </c>
      <c r="Q187" s="62">
        <f t="shared" si="50"/>
        <v>92.97021528562307</v>
      </c>
      <c r="R187" s="62">
        <f t="shared" si="50"/>
        <v>95.640208400799949</v>
      </c>
      <c r="S187" s="62">
        <f t="shared" si="50"/>
        <v>95.781055450142489</v>
      </c>
      <c r="T187" s="62">
        <f t="shared" si="50"/>
        <v>90.20699210341408</v>
      </c>
      <c r="U187" s="62">
        <f t="shared" si="50"/>
        <v>91.122812144800591</v>
      </c>
      <c r="V187" s="62">
        <f t="shared" si="50"/>
        <v>92.735606360377261</v>
      </c>
    </row>
    <row r="188" spans="3:22" x14ac:dyDescent="0.2">
      <c r="C188" s="87" t="s">
        <v>141</v>
      </c>
      <c r="D188" s="60">
        <f t="shared" ref="D188:V188" si="51">+IFERROR(IF(D149&gt;0,+((D149/D31)*100)," "),"")</f>
        <v>70.918216381042058</v>
      </c>
      <c r="E188" s="60">
        <f t="shared" si="51"/>
        <v>12.840658737964569</v>
      </c>
      <c r="F188" s="60">
        <f t="shared" si="51"/>
        <v>7.4114338737618581</v>
      </c>
      <c r="G188" s="60">
        <f t="shared" si="51"/>
        <v>9.8471646873872949</v>
      </c>
      <c r="H188" s="60">
        <f t="shared" si="51"/>
        <v>19.957529773328083</v>
      </c>
      <c r="I188" s="60">
        <f t="shared" si="51"/>
        <v>16.557019609322495</v>
      </c>
      <c r="J188" s="60">
        <f t="shared" si="51"/>
        <v>43.873939858961535</v>
      </c>
      <c r="K188" s="60">
        <f t="shared" si="51"/>
        <v>55.576452986252278</v>
      </c>
      <c r="L188" s="60">
        <f t="shared" si="51"/>
        <v>54.736967848382932</v>
      </c>
      <c r="M188" s="60">
        <f t="shared" si="51"/>
        <v>71.060041589268437</v>
      </c>
      <c r="N188" s="60">
        <f t="shared" si="51"/>
        <v>48.836891807365248</v>
      </c>
      <c r="O188" s="60">
        <f t="shared" si="51"/>
        <v>44.21352841230545</v>
      </c>
      <c r="P188" s="60">
        <f t="shared" si="51"/>
        <v>80.171291423227885</v>
      </c>
      <c r="Q188" s="60">
        <f t="shared" si="51"/>
        <v>75.853312583806485</v>
      </c>
      <c r="R188" s="60">
        <f t="shared" si="51"/>
        <v>88.199898972051841</v>
      </c>
      <c r="S188" s="60">
        <f t="shared" si="51"/>
        <v>46.382743162945708</v>
      </c>
      <c r="T188" s="60">
        <f t="shared" si="51"/>
        <v>78.31011994438704</v>
      </c>
      <c r="U188" s="60">
        <f t="shared" si="51"/>
        <v>80.151906933408455</v>
      </c>
      <c r="V188" s="60">
        <f t="shared" si="51"/>
        <v>83.459393215535897</v>
      </c>
    </row>
    <row r="189" spans="3:22" x14ac:dyDescent="0.2">
      <c r="C189" s="88" t="s">
        <v>142</v>
      </c>
      <c r="D189" s="62">
        <f t="shared" ref="D189:V189" si="52">+IFERROR(IF(D150&gt;0,+((D150/D32)*100)," "),"")</f>
        <v>15.490072107612329</v>
      </c>
      <c r="E189" s="62">
        <f t="shared" si="52"/>
        <v>23.718708063756232</v>
      </c>
      <c r="F189" s="62">
        <f t="shared" si="52"/>
        <v>8.7324754897849601</v>
      </c>
      <c r="G189" s="62">
        <f t="shared" si="52"/>
        <v>17.928257752699679</v>
      </c>
      <c r="H189" s="62">
        <f t="shared" si="52"/>
        <v>61.976226545103763</v>
      </c>
      <c r="I189" s="62">
        <f t="shared" si="52"/>
        <v>18.494109202245191</v>
      </c>
      <c r="J189" s="62">
        <f t="shared" si="52"/>
        <v>22.211987632708343</v>
      </c>
      <c r="K189" s="62">
        <f t="shared" si="52"/>
        <v>63.032464750625053</v>
      </c>
      <c r="L189" s="62">
        <f t="shared" si="52"/>
        <v>35.640002477393516</v>
      </c>
      <c r="M189" s="62">
        <f t="shared" si="52"/>
        <v>34.603353690202248</v>
      </c>
      <c r="N189" s="62">
        <f t="shared" si="52"/>
        <v>40.058580578080758</v>
      </c>
      <c r="O189" s="62">
        <f t="shared" si="52"/>
        <v>36.78291432943886</v>
      </c>
      <c r="P189" s="62">
        <f t="shared" si="52"/>
        <v>48.873966152630622</v>
      </c>
      <c r="Q189" s="62">
        <f t="shared" si="52"/>
        <v>54.043965062705681</v>
      </c>
      <c r="R189" s="62">
        <f t="shared" si="52"/>
        <v>84.446897922739026</v>
      </c>
      <c r="S189" s="62">
        <f t="shared" si="52"/>
        <v>94.201575418665414</v>
      </c>
      <c r="T189" s="62">
        <f t="shared" si="52"/>
        <v>80.252356807854099</v>
      </c>
      <c r="U189" s="62">
        <f t="shared" si="52"/>
        <v>98.301175831961132</v>
      </c>
      <c r="V189" s="62">
        <f t="shared" si="52"/>
        <v>58.48735470626201</v>
      </c>
    </row>
    <row r="190" spans="3:22" x14ac:dyDescent="0.2">
      <c r="C190" s="87" t="s">
        <v>143</v>
      </c>
      <c r="D190" s="60">
        <f t="shared" ref="D190:V190" si="53">+IFERROR(IF(D151&gt;0,+((D151/D33)*100)," "),"")</f>
        <v>96.94781147103474</v>
      </c>
      <c r="E190" s="60">
        <f t="shared" si="53"/>
        <v>60.014283834613188</v>
      </c>
      <c r="F190" s="60">
        <f t="shared" si="53"/>
        <v>49.185174382135841</v>
      </c>
      <c r="G190" s="60">
        <f t="shared" si="53"/>
        <v>59.563853457369575</v>
      </c>
      <c r="H190" s="60">
        <f t="shared" si="53"/>
        <v>77.131377955157504</v>
      </c>
      <c r="I190" s="60">
        <f t="shared" si="53"/>
        <v>83.852285791862641</v>
      </c>
      <c r="J190" s="60">
        <f t="shared" si="53"/>
        <v>85.44842247444106</v>
      </c>
      <c r="K190" s="60">
        <f t="shared" si="53"/>
        <v>95.877397004671963</v>
      </c>
      <c r="L190" s="60">
        <f t="shared" si="53"/>
        <v>69.70633981634343</v>
      </c>
      <c r="M190" s="60">
        <f t="shared" si="53"/>
        <v>78.819129209559605</v>
      </c>
      <c r="N190" s="60">
        <f t="shared" si="53"/>
        <v>59.579415115492985</v>
      </c>
      <c r="O190" s="60">
        <f t="shared" si="53"/>
        <v>68.205216850179781</v>
      </c>
      <c r="P190" s="60">
        <f t="shared" si="53"/>
        <v>95.18293075811097</v>
      </c>
      <c r="Q190" s="60">
        <f t="shared" si="53"/>
        <v>89.223314030077034</v>
      </c>
      <c r="R190" s="60">
        <f t="shared" si="53"/>
        <v>87.253828880884711</v>
      </c>
      <c r="S190" s="60">
        <f t="shared" si="53"/>
        <v>93.595644034524895</v>
      </c>
      <c r="T190" s="60">
        <f t="shared" si="53"/>
        <v>91.95037980636215</v>
      </c>
      <c r="U190" s="60">
        <f t="shared" si="53"/>
        <v>72.492779317595662</v>
      </c>
      <c r="V190" s="60">
        <f t="shared" si="53"/>
        <v>3.1723266494071249</v>
      </c>
    </row>
    <row r="191" spans="3:22" x14ac:dyDescent="0.2">
      <c r="C191" s="88" t="s">
        <v>144</v>
      </c>
      <c r="D191" s="62">
        <f t="shared" ref="D191:V191" si="54">+IFERROR(IF(D152&gt;0,+((D152/D34)*100)," "),"")</f>
        <v>62.280016848992211</v>
      </c>
      <c r="E191" s="62">
        <f t="shared" si="54"/>
        <v>77.93433400021118</v>
      </c>
      <c r="F191" s="62">
        <f t="shared" si="54"/>
        <v>37.437260128618156</v>
      </c>
      <c r="G191" s="62">
        <f t="shared" si="54"/>
        <v>41.045462446108907</v>
      </c>
      <c r="H191" s="62">
        <f t="shared" si="54"/>
        <v>36.880893472647251</v>
      </c>
      <c r="I191" s="62">
        <f t="shared" si="54"/>
        <v>36.717418211854671</v>
      </c>
      <c r="J191" s="62">
        <f t="shared" si="54"/>
        <v>48.352535717539837</v>
      </c>
      <c r="K191" s="62">
        <f t="shared" si="54"/>
        <v>67.510760496373507</v>
      </c>
      <c r="L191" s="62">
        <f t="shared" si="54"/>
        <v>64.0988672156208</v>
      </c>
      <c r="M191" s="62">
        <f t="shared" si="54"/>
        <v>76.295734050083709</v>
      </c>
      <c r="N191" s="62">
        <f t="shared" si="54"/>
        <v>37.551919218540384</v>
      </c>
      <c r="O191" s="62">
        <f t="shared" si="54"/>
        <v>17.187246214677028</v>
      </c>
      <c r="P191" s="62">
        <f t="shared" si="54"/>
        <v>21.978689645097436</v>
      </c>
      <c r="Q191" s="62">
        <f t="shared" si="54"/>
        <v>54.708816799519347</v>
      </c>
      <c r="R191" s="62">
        <f t="shared" si="54"/>
        <v>71.806678646760602</v>
      </c>
      <c r="S191" s="62">
        <f t="shared" si="54"/>
        <v>58.833159399031878</v>
      </c>
      <c r="T191" s="62">
        <f t="shared" si="54"/>
        <v>63.224141448955841</v>
      </c>
      <c r="U191" s="62">
        <f t="shared" si="54"/>
        <v>73.567404360881184</v>
      </c>
      <c r="V191" s="62">
        <f t="shared" si="54"/>
        <v>68.019877489688668</v>
      </c>
    </row>
    <row r="192" spans="3:22" x14ac:dyDescent="0.2">
      <c r="C192" s="87" t="s">
        <v>145</v>
      </c>
      <c r="D192" s="60">
        <f t="shared" ref="D192:V192" si="55">+IFERROR(IF(D153&gt;0,+((D153/D35)*100)," "),"")</f>
        <v>16.744298652558683</v>
      </c>
      <c r="E192" s="60" t="str">
        <f t="shared" si="55"/>
        <v xml:space="preserve"> </v>
      </c>
      <c r="F192" s="60" t="str">
        <f t="shared" si="55"/>
        <v xml:space="preserve"> </v>
      </c>
      <c r="G192" s="60">
        <f t="shared" si="55"/>
        <v>76.167329565111018</v>
      </c>
      <c r="H192" s="60">
        <f t="shared" si="55"/>
        <v>90</v>
      </c>
      <c r="I192" s="60">
        <f t="shared" si="55"/>
        <v>93.973684207017556</v>
      </c>
      <c r="J192" s="60">
        <f t="shared" si="55"/>
        <v>99.844574906302668</v>
      </c>
      <c r="K192" s="60">
        <f t="shared" si="55"/>
        <v>1.436126243125152</v>
      </c>
      <c r="L192" s="60">
        <f t="shared" si="55"/>
        <v>91.974180441241174</v>
      </c>
      <c r="M192" s="60">
        <f t="shared" si="55"/>
        <v>79.505368570967264</v>
      </c>
      <c r="N192" s="60">
        <f t="shared" si="55"/>
        <v>72.084624388479</v>
      </c>
      <c r="O192" s="60">
        <f t="shared" si="55"/>
        <v>83.616637937226088</v>
      </c>
      <c r="P192" s="60">
        <f t="shared" si="55"/>
        <v>80.822280637686987</v>
      </c>
      <c r="Q192" s="60">
        <f t="shared" si="55"/>
        <v>90.265434694181977</v>
      </c>
      <c r="R192" s="60">
        <f t="shared" si="55"/>
        <v>93.410775560957362</v>
      </c>
      <c r="S192" s="60">
        <f t="shared" si="55"/>
        <v>99.044511228444293</v>
      </c>
      <c r="T192" s="60">
        <f t="shared" si="55"/>
        <v>99.89256751988637</v>
      </c>
      <c r="U192" s="60">
        <f t="shared" si="55"/>
        <v>97.270162851352964</v>
      </c>
      <c r="V192" s="60">
        <f t="shared" si="55"/>
        <v>71</v>
      </c>
    </row>
    <row r="193" spans="3:22" x14ac:dyDescent="0.2">
      <c r="C193" s="88" t="s">
        <v>146</v>
      </c>
      <c r="D193" s="62" t="str">
        <f t="shared" ref="D193:V193" si="56">+IFERROR(IF(D154&gt;0,+((D154/D36)*100)," "),"")</f>
        <v xml:space="preserve"> </v>
      </c>
      <c r="E193" s="62" t="str">
        <f t="shared" si="56"/>
        <v xml:space="preserve"> </v>
      </c>
      <c r="F193" s="62" t="str">
        <f t="shared" si="56"/>
        <v xml:space="preserve"> </v>
      </c>
      <c r="G193" s="62" t="str">
        <f t="shared" si="56"/>
        <v xml:space="preserve"> </v>
      </c>
      <c r="H193" s="62">
        <f t="shared" si="56"/>
        <v>82.164134492999992</v>
      </c>
      <c r="I193" s="62">
        <f t="shared" si="56"/>
        <v>97.007569971980672</v>
      </c>
      <c r="J193" s="62">
        <f t="shared" si="56"/>
        <v>99.734089129472295</v>
      </c>
      <c r="K193" s="62">
        <f t="shared" si="56"/>
        <v>35.142213956212146</v>
      </c>
      <c r="L193" s="62">
        <f t="shared" si="56"/>
        <v>73.277060243085884</v>
      </c>
      <c r="M193" s="62">
        <f t="shared" si="56"/>
        <v>68.707195653654281</v>
      </c>
      <c r="N193" s="62">
        <f t="shared" si="56"/>
        <v>74.746463677995209</v>
      </c>
      <c r="O193" s="62">
        <f t="shared" si="56"/>
        <v>92.795011044553192</v>
      </c>
      <c r="P193" s="62">
        <f t="shared" si="56"/>
        <v>78.585474022786173</v>
      </c>
      <c r="Q193" s="62">
        <f t="shared" si="56"/>
        <v>96.865577771519369</v>
      </c>
      <c r="R193" s="62">
        <f t="shared" si="56"/>
        <v>96.996849686529004</v>
      </c>
      <c r="S193" s="62">
        <f t="shared" si="56"/>
        <v>98.014278823792111</v>
      </c>
      <c r="T193" s="62">
        <f t="shared" si="56"/>
        <v>97.045529276917335</v>
      </c>
      <c r="U193" s="62">
        <f t="shared" si="56"/>
        <v>99.973654394969586</v>
      </c>
      <c r="V193" s="62">
        <f t="shared" si="56"/>
        <v>97.522711889104684</v>
      </c>
    </row>
    <row r="194" spans="3:22" x14ac:dyDescent="0.2">
      <c r="C194" s="90" t="s">
        <v>147</v>
      </c>
      <c r="D194" s="61">
        <f t="shared" ref="D194:V194" si="57">+IFERROR(IF(D155&gt;0,+((D155/D37)*100)," "),"")</f>
        <v>64.510258599221103</v>
      </c>
      <c r="E194" s="61">
        <f t="shared" si="57"/>
        <v>74.788609380961006</v>
      </c>
      <c r="F194" s="61">
        <f t="shared" si="57"/>
        <v>68.720129617556651</v>
      </c>
      <c r="G194" s="61">
        <f t="shared" si="57"/>
        <v>70.44435481174186</v>
      </c>
      <c r="H194" s="61">
        <f t="shared" si="57"/>
        <v>71.362531392904273</v>
      </c>
      <c r="I194" s="61">
        <f t="shared" si="57"/>
        <v>81.414621166110976</v>
      </c>
      <c r="J194" s="61">
        <f t="shared" si="57"/>
        <v>68.652375065772915</v>
      </c>
      <c r="K194" s="61">
        <f t="shared" si="57"/>
        <v>70.373539492689218</v>
      </c>
      <c r="L194" s="61">
        <f t="shared" si="57"/>
        <v>77.45435733084291</v>
      </c>
      <c r="M194" s="61">
        <f t="shared" si="57"/>
        <v>92.138696639797885</v>
      </c>
      <c r="N194" s="61">
        <f t="shared" si="57"/>
        <v>83.735262415650027</v>
      </c>
      <c r="O194" s="61">
        <f t="shared" si="57"/>
        <v>93.062951639084062</v>
      </c>
      <c r="P194" s="61">
        <f t="shared" si="57"/>
        <v>90.65360982542694</v>
      </c>
      <c r="Q194" s="61">
        <f t="shared" si="57"/>
        <v>95.219899640642396</v>
      </c>
      <c r="R194" s="61">
        <f t="shared" si="57"/>
        <v>94.516976152920193</v>
      </c>
      <c r="S194" s="61">
        <f t="shared" si="57"/>
        <v>96.346192756671869</v>
      </c>
      <c r="T194" s="61">
        <f t="shared" si="57"/>
        <v>96.211030845577241</v>
      </c>
      <c r="U194" s="61">
        <f t="shared" si="57"/>
        <v>91.776565894448183</v>
      </c>
      <c r="V194" s="61">
        <f t="shared" si="57"/>
        <v>93.572614012435366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>
        <f t="shared" si="58"/>
        <v>56.255603915121867</v>
      </c>
    </row>
    <row r="196" spans="3:22" x14ac:dyDescent="0.2">
      <c r="C196" s="87" t="s">
        <v>149</v>
      </c>
      <c r="D196" s="60">
        <f t="shared" ref="D196:V196" si="59">+IFERROR(IF(D157&gt;0,+((D157/D39)*100)," "),"")</f>
        <v>80</v>
      </c>
      <c r="E196" s="60">
        <f t="shared" si="59"/>
        <v>77.777777777777786</v>
      </c>
      <c r="F196" s="60">
        <f t="shared" si="59"/>
        <v>19.642638219000002</v>
      </c>
      <c r="G196" s="60">
        <f t="shared" si="59"/>
        <v>63.019711678876931</v>
      </c>
      <c r="H196" s="60">
        <f t="shared" si="59"/>
        <v>49.510597569558023</v>
      </c>
      <c r="I196" s="60">
        <f t="shared" si="59"/>
        <v>29.897187521355328</v>
      </c>
      <c r="J196" s="60">
        <f t="shared" si="59"/>
        <v>47.931181585919532</v>
      </c>
      <c r="K196" s="60">
        <f t="shared" si="59"/>
        <v>84.20721424954543</v>
      </c>
      <c r="L196" s="60">
        <f t="shared" si="59"/>
        <v>94.86600887625525</v>
      </c>
      <c r="M196" s="60">
        <f t="shared" si="59"/>
        <v>24.874387130384878</v>
      </c>
      <c r="N196" s="60">
        <f t="shared" si="59"/>
        <v>77.066578152534177</v>
      </c>
      <c r="O196" s="60">
        <f t="shared" si="59"/>
        <v>67.192998395535597</v>
      </c>
      <c r="P196" s="60">
        <f t="shared" si="59"/>
        <v>56.993165598350146</v>
      </c>
      <c r="Q196" s="60">
        <f t="shared" si="59"/>
        <v>41.130698319711406</v>
      </c>
      <c r="R196" s="60">
        <f t="shared" si="59"/>
        <v>94.309853498924639</v>
      </c>
      <c r="S196" s="60">
        <f t="shared" si="59"/>
        <v>92.4455038855086</v>
      </c>
      <c r="T196" s="60">
        <f t="shared" si="59"/>
        <v>98.798973306231503</v>
      </c>
      <c r="U196" s="60">
        <f t="shared" si="59"/>
        <v>97.466871137302846</v>
      </c>
      <c r="V196" s="60">
        <f t="shared" si="59"/>
        <v>93.331724191289339</v>
      </c>
    </row>
    <row r="197" spans="3:22" x14ac:dyDescent="0.2">
      <c r="C197" s="88" t="s">
        <v>150</v>
      </c>
      <c r="D197" s="62">
        <f t="shared" ref="D197:V197" si="60">+IFERROR(IF(D158&gt;0,+((D158/D40)*100)," "),"")</f>
        <v>65.00247974456768</v>
      </c>
      <c r="E197" s="62">
        <f t="shared" si="60"/>
        <v>68.379964540988439</v>
      </c>
      <c r="F197" s="62">
        <f t="shared" si="60"/>
        <v>53.867074234062073</v>
      </c>
      <c r="G197" s="62">
        <f t="shared" si="60"/>
        <v>73.941123446008106</v>
      </c>
      <c r="H197" s="62">
        <f t="shared" si="60"/>
        <v>67.778786194642819</v>
      </c>
      <c r="I197" s="62">
        <f t="shared" si="60"/>
        <v>74.550249199366732</v>
      </c>
      <c r="J197" s="62">
        <f t="shared" si="60"/>
        <v>55.648925052345923</v>
      </c>
      <c r="K197" s="62">
        <f t="shared" si="60"/>
        <v>87.07267819112549</v>
      </c>
      <c r="L197" s="62">
        <f t="shared" si="60"/>
        <v>86.699007852819094</v>
      </c>
      <c r="M197" s="62">
        <f t="shared" si="60"/>
        <v>90.755031755625794</v>
      </c>
      <c r="N197" s="62">
        <f t="shared" si="60"/>
        <v>80.63306266336464</v>
      </c>
      <c r="O197" s="62">
        <f t="shared" si="60"/>
        <v>84.841189040226283</v>
      </c>
      <c r="P197" s="62">
        <f t="shared" si="60"/>
        <v>87.878955482644727</v>
      </c>
      <c r="Q197" s="62">
        <f t="shared" si="60"/>
        <v>93.147307242947591</v>
      </c>
      <c r="R197" s="62">
        <f t="shared" si="60"/>
        <v>90.630060399693178</v>
      </c>
      <c r="S197" s="62">
        <f t="shared" si="60"/>
        <v>85.160557722588507</v>
      </c>
      <c r="T197" s="62">
        <f t="shared" si="60"/>
        <v>89.778745710829867</v>
      </c>
      <c r="U197" s="62">
        <f t="shared" si="60"/>
        <v>75.714178696773715</v>
      </c>
      <c r="V197" s="62">
        <f t="shared" si="60"/>
        <v>69.269156723318389</v>
      </c>
    </row>
    <row r="198" spans="3:22" x14ac:dyDescent="0.2">
      <c r="C198" s="87" t="s">
        <v>151</v>
      </c>
      <c r="D198" s="60">
        <f t="shared" ref="D198:V198" si="61">+IFERROR(IF(D159&gt;0,+((D159/D41)*100)," "),"")</f>
        <v>68.971099511067351</v>
      </c>
      <c r="E198" s="60">
        <f t="shared" si="61"/>
        <v>14.378759442270711</v>
      </c>
      <c r="F198" s="60">
        <f t="shared" si="61"/>
        <v>41.527382818916735</v>
      </c>
      <c r="G198" s="60">
        <f t="shared" si="61"/>
        <v>19.369437079955119</v>
      </c>
      <c r="H198" s="60">
        <f t="shared" si="61"/>
        <v>5.0349839268188425</v>
      </c>
      <c r="I198" s="60">
        <f t="shared" si="61"/>
        <v>23.244419227151962</v>
      </c>
      <c r="J198" s="60">
        <f t="shared" si="61"/>
        <v>63.649876019528875</v>
      </c>
      <c r="K198" s="60">
        <f t="shared" si="61"/>
        <v>88.215190202138018</v>
      </c>
      <c r="L198" s="60">
        <f t="shared" si="61"/>
        <v>89.870234090765734</v>
      </c>
      <c r="M198" s="60">
        <f t="shared" si="61"/>
        <v>91.014898005211222</v>
      </c>
      <c r="N198" s="60">
        <f t="shared" si="61"/>
        <v>49.137140943346623</v>
      </c>
      <c r="O198" s="60">
        <f t="shared" si="61"/>
        <v>78.000455818625468</v>
      </c>
      <c r="P198" s="60">
        <f t="shared" si="61"/>
        <v>96.599085997935774</v>
      </c>
      <c r="Q198" s="60">
        <f t="shared" si="61"/>
        <v>94.676899214478411</v>
      </c>
      <c r="R198" s="60">
        <f t="shared" si="61"/>
        <v>97.958847755075567</v>
      </c>
      <c r="S198" s="60">
        <f t="shared" si="61"/>
        <v>97.003641566519889</v>
      </c>
      <c r="T198" s="60">
        <f t="shared" si="61"/>
        <v>95.434045090296777</v>
      </c>
      <c r="U198" s="60">
        <f t="shared" si="61"/>
        <v>96.053981358867745</v>
      </c>
      <c r="V198" s="60">
        <f t="shared" si="61"/>
        <v>18.900875658137668</v>
      </c>
    </row>
    <row r="199" spans="3:22" x14ac:dyDescent="0.2">
      <c r="C199" s="91" t="s">
        <v>202</v>
      </c>
      <c r="D199" s="64">
        <f t="shared" ref="D199:V199" si="62">+IFERROR(IF(D160&gt;0,+((D160/D42)*100)," "),"")</f>
        <v>71.610905573604057</v>
      </c>
      <c r="E199" s="64">
        <f t="shared" si="62"/>
        <v>62.758984712978695</v>
      </c>
      <c r="F199" s="64">
        <f t="shared" si="62"/>
        <v>52.329876563801257</v>
      </c>
      <c r="G199" s="64">
        <f t="shared" si="62"/>
        <v>64.476823338793864</v>
      </c>
      <c r="H199" s="64">
        <f t="shared" si="62"/>
        <v>62.768339267332394</v>
      </c>
      <c r="I199" s="64">
        <f t="shared" si="62"/>
        <v>66.656840906540936</v>
      </c>
      <c r="J199" s="64">
        <f t="shared" si="62"/>
        <v>61.958871072715269</v>
      </c>
      <c r="K199" s="64">
        <f t="shared" si="62"/>
        <v>77.379049287392093</v>
      </c>
      <c r="L199" s="64">
        <f t="shared" si="62"/>
        <v>85.235836167650064</v>
      </c>
      <c r="M199" s="64">
        <f t="shared" si="62"/>
        <v>85.127082496127727</v>
      </c>
      <c r="N199" s="64">
        <f t="shared" si="62"/>
        <v>78.73112538205369</v>
      </c>
      <c r="O199" s="64">
        <f t="shared" si="62"/>
        <v>85.905677148064967</v>
      </c>
      <c r="P199" s="64">
        <f t="shared" si="62"/>
        <v>86.176705340446645</v>
      </c>
      <c r="Q199" s="64">
        <f t="shared" si="62"/>
        <v>88.35333294879041</v>
      </c>
      <c r="R199" s="64">
        <f t="shared" si="62"/>
        <v>87.290332690460943</v>
      </c>
      <c r="S199" s="64">
        <f t="shared" si="62"/>
        <v>87.356702643653307</v>
      </c>
      <c r="T199" s="64">
        <f t="shared" si="62"/>
        <v>85.223334972240195</v>
      </c>
      <c r="U199" s="64">
        <f t="shared" si="62"/>
        <v>87.865760677232899</v>
      </c>
      <c r="V199" s="64">
        <f t="shared" si="62"/>
        <v>75.702092991969224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D204" s="164" t="s">
        <v>215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x14ac:dyDescent="0.2"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</row>
    <row r="206" spans="3:22" x14ac:dyDescent="0.2">
      <c r="C206" s="181" t="s">
        <v>120</v>
      </c>
      <c r="D206" s="155">
        <v>2000</v>
      </c>
      <c r="E206" s="155">
        <v>2001</v>
      </c>
      <c r="F206" s="155">
        <v>2002</v>
      </c>
      <c r="G206" s="155">
        <v>2003</v>
      </c>
      <c r="H206" s="155">
        <v>2004</v>
      </c>
      <c r="I206" s="155">
        <v>2005</v>
      </c>
      <c r="J206" s="155">
        <v>2006</v>
      </c>
      <c r="K206" s="155">
        <v>2007</v>
      </c>
      <c r="L206" s="155">
        <v>2008</v>
      </c>
      <c r="M206" s="155">
        <v>2009</v>
      </c>
      <c r="N206" s="155">
        <v>2010</v>
      </c>
      <c r="O206" s="155">
        <v>2011</v>
      </c>
      <c r="P206" s="155">
        <v>2012</v>
      </c>
      <c r="Q206" s="155">
        <v>2013</v>
      </c>
      <c r="R206" s="155">
        <v>2014</v>
      </c>
      <c r="S206" s="155">
        <v>2015</v>
      </c>
      <c r="T206" s="155">
        <v>2016</v>
      </c>
      <c r="U206" s="155">
        <v>2017</v>
      </c>
      <c r="V206" s="155">
        <v>2018</v>
      </c>
    </row>
    <row r="207" spans="3:22" ht="12" customHeight="1" thickBot="1" x14ac:dyDescent="0.25">
      <c r="C207" s="162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</row>
    <row r="208" spans="3:22" x14ac:dyDescent="0.2">
      <c r="C208" s="87" t="s">
        <v>123</v>
      </c>
      <c r="D208" s="56">
        <f>85.17598133539*Deflactores!$A$5</f>
        <v>317.86957117730282</v>
      </c>
      <c r="E208" s="56">
        <f>231.93612659275*Deflactores!$B$5</f>
        <v>804.0684437134629</v>
      </c>
      <c r="F208" s="56">
        <f>208.82006227523*Deflactores!$C$5</f>
        <v>676.62210370462174</v>
      </c>
      <c r="G208" s="56">
        <f>94.70168345692*Deflactores!$D$5</f>
        <v>288.14910743865715</v>
      </c>
      <c r="H208" s="56">
        <f>176.1071641476*Deflactores!$E$5</f>
        <v>507.92146175513454</v>
      </c>
      <c r="I208" s="56">
        <f>228.27832256779*Deflactores!$F$5</f>
        <v>627.90563872824839</v>
      </c>
      <c r="J208" s="56">
        <f>441.025180527129*Deflactores!$G$5</f>
        <v>1161.0968884054043</v>
      </c>
      <c r="K208" s="56">
        <f>812.52779644304*Deflactores!$H$5</f>
        <v>2023.909423628972</v>
      </c>
      <c r="L208" s="56">
        <f>983.48876549538*Deflactores!$I$5</f>
        <v>2275.1493135604478</v>
      </c>
      <c r="M208" s="56">
        <f>883.38942666572*Deflactores!$J$5</f>
        <v>2003.4791522120411</v>
      </c>
      <c r="N208" s="56">
        <f>865.37989191571*Deflactores!$K$5</f>
        <v>1902.3080904870551</v>
      </c>
      <c r="O208" s="56">
        <f>1044.18205873286*Deflactores!$L$5</f>
        <v>2212.8897790849142</v>
      </c>
      <c r="P208" s="56">
        <f>1030.98084034772*Deflactores!$M$5</f>
        <v>2132.8709577721156</v>
      </c>
      <c r="Q208" s="56">
        <f>1348.89095007293*Deflactores!$N$5</f>
        <v>2737.4500154854918</v>
      </c>
      <c r="R208" s="56">
        <f>1550.46152286875*Deflactores!$O$5</f>
        <v>3035.4224754614456</v>
      </c>
      <c r="S208" s="56">
        <f>1723.24179892657*Deflactores!$P$5</f>
        <v>3159.7675164892535</v>
      </c>
      <c r="T208" s="56">
        <f>805.168596798269*Deflactores!$Q$5</f>
        <v>1396.0962543184307</v>
      </c>
      <c r="U208" s="56">
        <f>1192.60538529232*Deflactores!$R$5</f>
        <v>1986.6268063124</v>
      </c>
      <c r="V208" s="56">
        <f>877.36275098968*Deflactores!$S$5</f>
        <v>1416.4563439501417</v>
      </c>
    </row>
    <row r="209" spans="3:22" x14ac:dyDescent="0.2">
      <c r="C209" s="88" t="s">
        <v>124</v>
      </c>
      <c r="D209" s="57">
        <f>9.29570017371*Deflactores!$A$5</f>
        <v>34.690768238701473</v>
      </c>
      <c r="E209" s="57">
        <f>29.42132663209*Deflactores!$B$5</f>
        <v>101.99687588380009</v>
      </c>
      <c r="F209" s="57">
        <f>26.9076005333*Deflactores!$C$5</f>
        <v>87.186437357195715</v>
      </c>
      <c r="G209" s="57">
        <f>36.42882186205*Deflactores!$D$5</f>
        <v>110.84208982796622</v>
      </c>
      <c r="H209" s="57">
        <f>33.2029284488499*Deflactores!$E$5</f>
        <v>95.762600198118136</v>
      </c>
      <c r="I209" s="57">
        <f>51.403110399*Deflactores!$F$5</f>
        <v>141.39013509755364</v>
      </c>
      <c r="J209" s="57">
        <f>84.44354048973*Deflactores!$G$5</f>
        <v>222.31640377397918</v>
      </c>
      <c r="K209" s="57">
        <f>291.64683329203*Deflactores!$H$5</f>
        <v>726.45733088180748</v>
      </c>
      <c r="L209" s="57">
        <f>115.584124060039*Deflactores!$I$5</f>
        <v>267.38601368895729</v>
      </c>
      <c r="M209" s="57">
        <f>98.78475401357*Deflactores!$J$5</f>
        <v>224.03844697302881</v>
      </c>
      <c r="N209" s="57">
        <f>236.56470782545*Deflactores!$K$5</f>
        <v>520.02474499822654</v>
      </c>
      <c r="O209" s="57">
        <f>212.31920758233*Deflactores!$L$5</f>
        <v>449.95889407686929</v>
      </c>
      <c r="P209" s="57">
        <f>94.587973996691*Deflactores!$M$5</f>
        <v>195.68156341683704</v>
      </c>
      <c r="Q209" s="57">
        <f>119.36918819974*Deflactores!$N$5</f>
        <v>242.2487793162239</v>
      </c>
      <c r="R209" s="57">
        <f>135.352189880691*Deflactores!$O$5</f>
        <v>264.98631098345163</v>
      </c>
      <c r="S209" s="57">
        <f>171.774005740596*Deflactores!$P$5</f>
        <v>314.96794231341755</v>
      </c>
      <c r="T209" s="57">
        <f>144.574528588456*Deflactores!$Q$5</f>
        <v>250.68036512453091</v>
      </c>
      <c r="U209" s="57">
        <f>163.24090228292*Deflactores!$R$5</f>
        <v>271.9246083920566</v>
      </c>
      <c r="V209" s="57">
        <f>158.12083363276*Deflactores!$S$5</f>
        <v>255.27782853462205</v>
      </c>
    </row>
    <row r="210" spans="3:22" x14ac:dyDescent="0.2">
      <c r="C210" s="87" t="s">
        <v>125</v>
      </c>
      <c r="D210" s="56">
        <f>20.545483391*Deflactores!$A$5</f>
        <v>76.674009418357883</v>
      </c>
      <c r="E210" s="56">
        <f>33.18002699995*Deflactores!$B$5</f>
        <v>115.02741321133378</v>
      </c>
      <c r="F210" s="56">
        <f>17.17255298646*Deflactores!$C$5</f>
        <v>55.642780684372603</v>
      </c>
      <c r="G210" s="56">
        <f>9.92716810509*Deflactores!$D$5</f>
        <v>30.205425336250112</v>
      </c>
      <c r="H210" s="56">
        <f>34.54573320167*Deflactores!$E$5</f>
        <v>99.63546565595091</v>
      </c>
      <c r="I210" s="56">
        <f>27.05380612204*Deflactores!$F$5</f>
        <v>74.414588393714681</v>
      </c>
      <c r="J210" s="56">
        <f>38.0651045518*Deflactores!$G$5</f>
        <v>100.21485485045369</v>
      </c>
      <c r="K210" s="56">
        <f>55.10427981698*Deflactores!$H$5</f>
        <v>137.25816112641976</v>
      </c>
      <c r="L210" s="56">
        <f>83.5915940049299*Deflactores!$I$5</f>
        <v>193.37623813521162</v>
      </c>
      <c r="M210" s="56">
        <f>67.77288090645*Deflactores!$J$5</f>
        <v>153.70520620098236</v>
      </c>
      <c r="N210" s="56">
        <f>211.80156890719*Deflactores!$K$5</f>
        <v>465.58955422232481</v>
      </c>
      <c r="O210" s="56">
        <f>225.14783206324*Deflactores!$L$5</f>
        <v>477.14604190813372</v>
      </c>
      <c r="P210" s="56">
        <f>302.43796730171*Deflactores!$M$5</f>
        <v>625.67715299916688</v>
      </c>
      <c r="Q210" s="56">
        <f>356.01186820313*Deflactores!$N$5</f>
        <v>722.49331502519578</v>
      </c>
      <c r="R210" s="56">
        <f>280.1938069688*Deflactores!$O$5</f>
        <v>548.55058743060374</v>
      </c>
      <c r="S210" s="56">
        <f>158.76243391372*Deflactores!$P$5</f>
        <v>291.10968746918172</v>
      </c>
      <c r="T210" s="56">
        <f>223.529243989709*Deflactores!$Q$5</f>
        <v>387.58136060645506</v>
      </c>
      <c r="U210" s="56">
        <f>314.70929897612*Deflactores!$R$5</f>
        <v>524.23872745509868</v>
      </c>
      <c r="V210" s="56">
        <f>185.78409540762*Deflactores!$S$5</f>
        <v>299.93872004289943</v>
      </c>
    </row>
    <row r="211" spans="3:22" x14ac:dyDescent="0.2">
      <c r="C211" s="88" t="s">
        <v>126</v>
      </c>
      <c r="D211" s="57">
        <f>8.82702869934999*Deflactores!$A$5</f>
        <v>32.941725864992392</v>
      </c>
      <c r="E211" s="57">
        <f>43.2465215259*Deflactores!$B$5</f>
        <v>149.925601372176</v>
      </c>
      <c r="F211" s="57">
        <f>19.28475462221*Deflactores!$C$5</f>
        <v>62.486770187382305</v>
      </c>
      <c r="G211" s="57">
        <f>17.85314952197*Deflactores!$D$5</f>
        <v>54.32183369860293</v>
      </c>
      <c r="H211" s="57">
        <f>13.04125802136*Deflactores!$E$5</f>
        <v>37.613091264040527</v>
      </c>
      <c r="I211" s="57">
        <f>15.06320327854*Deflactores!$F$5</f>
        <v>41.433063680833541</v>
      </c>
      <c r="J211" s="57">
        <f>26.02885263156*Deflactores!$G$5</f>
        <v>68.526744353110857</v>
      </c>
      <c r="K211" s="57">
        <f>66.06942034174*Deflactores!$H$5</f>
        <v>164.57101286715826</v>
      </c>
      <c r="L211" s="57">
        <f>45.8878227172*Deflactores!$I$5</f>
        <v>106.15438835565584</v>
      </c>
      <c r="M211" s="57">
        <f>106.86529643657*Deflactores!$J$5</f>
        <v>242.36467750552487</v>
      </c>
      <c r="N211" s="57">
        <f>129.19738162402*Deflactores!$K$5</f>
        <v>284.00616495611354</v>
      </c>
      <c r="O211" s="57">
        <f>171.171783877*Deflactores!$L$5</f>
        <v>362.7569424711329</v>
      </c>
      <c r="P211" s="57">
        <f>248.8624937548*Deflactores!$M$5</f>
        <v>514.84136720653009</v>
      </c>
      <c r="Q211" s="57">
        <f>185.28793529968*Deflactores!$N$5</f>
        <v>376.0248086236773</v>
      </c>
      <c r="R211" s="57">
        <f>120.00725227439*Deflactores!$O$5</f>
        <v>234.94469575617552</v>
      </c>
      <c r="S211" s="57">
        <f>117.5430806656*Deflactores!$P$5</f>
        <v>215.52913137703271</v>
      </c>
      <c r="T211" s="57">
        <f>80.18175750539*Deflactores!$Q$5</f>
        <v>139.02858576834197</v>
      </c>
      <c r="U211" s="57">
        <f>103.449031383769*Deflactores!$R$5</f>
        <v>172.32407413930505</v>
      </c>
      <c r="V211" s="57">
        <f>62.00632806259*Deflactores!$S$5</f>
        <v>100.10597857070684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4.468227078*Deflactores!$F$5</f>
        <v>12.29036969360628</v>
      </c>
      <c r="J212" s="56">
        <f>31.797907981*Deflactores!$G$5</f>
        <v>83.715065816450291</v>
      </c>
      <c r="K212" s="56">
        <f>12.99541459514*Deflactores!$H$5</f>
        <v>32.370021281989615</v>
      </c>
      <c r="L212" s="56">
        <f>8.836132524*Deflactores!$I$5</f>
        <v>20.441027444153537</v>
      </c>
      <c r="M212" s="56">
        <f>9.923878953*Deflactores!$J$5</f>
        <v>22.506817481906467</v>
      </c>
      <c r="N212" s="56">
        <f>26.64836349315*Deflactores!$K$5</f>
        <v>58.579356817545261</v>
      </c>
      <c r="O212" s="56">
        <f>1.199999998*Deflactores!$L$5</f>
        <v>2.5431079841561264</v>
      </c>
      <c r="P212" s="56">
        <f>3.34611318076*Deflactores!$M$5</f>
        <v>6.9223668814780659</v>
      </c>
      <c r="Q212" s="56">
        <f>28.966133127*Deflactores!$N$5</f>
        <v>58.784100799826575</v>
      </c>
      <c r="R212" s="56">
        <f>43.05397549005*Deflactores!$O$5</f>
        <v>84.289099041077534</v>
      </c>
      <c r="S212" s="56">
        <f>43.87115787607*Deflactores!$P$5</f>
        <v>80.442953306916962</v>
      </c>
      <c r="T212" s="56">
        <f>58.97808824486*Deflactores!$Q$5</f>
        <v>102.26316378076598</v>
      </c>
      <c r="U212" s="56">
        <f>55.78819161467*Deflactores!$R$5</f>
        <v>92.931256477791607</v>
      </c>
      <c r="V212" s="56">
        <f>47.1439929030099*Deflactores!$S$5</f>
        <v>76.111514594485328</v>
      </c>
    </row>
    <row r="213" spans="3:22" x14ac:dyDescent="0.2">
      <c r="C213" s="88" t="s">
        <v>128</v>
      </c>
      <c r="D213" s="57">
        <f>4.00230913316*Deflactores!$A$5</f>
        <v>14.936279781351656</v>
      </c>
      <c r="E213" s="57">
        <f>13.31978643491*Deflactores!$B$5</f>
        <v>46.176592265504176</v>
      </c>
      <c r="F213" s="57">
        <f>6.94206668051*Deflactores!$C$5</f>
        <v>22.493795424854675</v>
      </c>
      <c r="G213" s="57">
        <f>6.1977747896*Deflactores!$D$5</f>
        <v>18.857988670723614</v>
      </c>
      <c r="H213" s="57">
        <f>20.14527360323*Deflactores!$E$5</f>
        <v>58.102217848637999</v>
      </c>
      <c r="I213" s="57">
        <f>25.50134206432*Deflactores!$F$5</f>
        <v>70.14435841830452</v>
      </c>
      <c r="J213" s="57">
        <f>36.76784992461*Deflactores!$G$5</f>
        <v>96.799543485920012</v>
      </c>
      <c r="K213" s="57">
        <f>37.23374662587*Deflactores!$H$5</f>
        <v>92.744803319961846</v>
      </c>
      <c r="L213" s="57">
        <f>53.27847909078*Deflactores!$I$5</f>
        <v>123.25153004658517</v>
      </c>
      <c r="M213" s="57">
        <f>65.48189343284*Deflactores!$J$5</f>
        <v>148.50937126929097</v>
      </c>
      <c r="N213" s="57">
        <f>80.80112123074*Deflactores!$K$5</f>
        <v>177.61982693796361</v>
      </c>
      <c r="O213" s="57">
        <f>86.72865335379*Deflactores!$L$5</f>
        <v>183.8002759722774</v>
      </c>
      <c r="P213" s="57">
        <f>133.11844140186*Deflactores!$M$5</f>
        <v>275.39256453510512</v>
      </c>
      <c r="Q213" s="57">
        <f>146.218453403599*Deflactores!$N$5</f>
        <v>296.73689152729929</v>
      </c>
      <c r="R213" s="57">
        <f>147.157542852489*Deflactores!$O$5</f>
        <v>288.09828971546739</v>
      </c>
      <c r="S213" s="57">
        <f>144.082696596529*Deflactores!$P$5</f>
        <v>264.1926540300272</v>
      </c>
      <c r="T213" s="57">
        <f>96.27892908392*Deflactores!$Q$5</f>
        <v>166.93975994387603</v>
      </c>
      <c r="U213" s="57">
        <f>115.018286045119*Deflactores!$R$5</f>
        <v>191.59599066990083</v>
      </c>
      <c r="V213" s="57">
        <f>102.970329599139*Deflactores!$S$5</f>
        <v>166.24021983474097</v>
      </c>
    </row>
    <row r="214" spans="3:22" x14ac:dyDescent="0.2">
      <c r="C214" s="87" t="s">
        <v>129</v>
      </c>
      <c r="D214" s="56">
        <f>244.6461160135*Deflactores!$A$5</f>
        <v>912.99865018511855</v>
      </c>
      <c r="E214" s="56">
        <f>449.080126806259*Deflactores!$B$5</f>
        <v>1556.8560360490233</v>
      </c>
      <c r="F214" s="56">
        <f>499.79202845867*Deflactores!$C$5</f>
        <v>1619.43411962395</v>
      </c>
      <c r="G214" s="56">
        <f>450.310883844659*Deflactores!$D$5</f>
        <v>1370.1623298890763</v>
      </c>
      <c r="H214" s="56">
        <f>374.99270866831*Deflactores!$E$5</f>
        <v>1081.5394459176578</v>
      </c>
      <c r="I214" s="56">
        <f>401.08193256991*Deflactores!$F$5</f>
        <v>1103.2217348534361</v>
      </c>
      <c r="J214" s="56">
        <f>701.92558791006*Deflactores!$G$5</f>
        <v>1847.9752449517359</v>
      </c>
      <c r="K214" s="56">
        <f>893.12280245156*Deflactores!$H$5</f>
        <v>2224.6619306473731</v>
      </c>
      <c r="L214" s="56">
        <f>2816.40542888519*Deflactores!$I$5</f>
        <v>6515.3188353997102</v>
      </c>
      <c r="M214" s="56">
        <f>2122.8875783146*Deflactores!$J$5</f>
        <v>4814.5935159043174</v>
      </c>
      <c r="N214" s="56">
        <f>1265.90113373242*Deflactores!$K$5</f>
        <v>2782.7477746507147</v>
      </c>
      <c r="O214" s="56">
        <f>887.247306605568*Deflactores!$L$5</f>
        <v>1880.3047609252069</v>
      </c>
      <c r="P214" s="56">
        <f>1231.66916956715*Deflactores!$M$5</f>
        <v>2548.0506509384454</v>
      </c>
      <c r="Q214" s="56">
        <f>1957.3398087138*Deflactores!$N$5</f>
        <v>3972.2409653532522</v>
      </c>
      <c r="R214" s="56">
        <f>1402.1110770805*Deflactores!$O$5</f>
        <v>2744.9887750770613</v>
      </c>
      <c r="S214" s="56">
        <f>789.902979163621*Deflactores!$P$5</f>
        <v>1448.380474692543</v>
      </c>
      <c r="T214" s="56">
        <f>551.002589893771*Deflactores!$Q$5</f>
        <v>955.39326164651754</v>
      </c>
      <c r="U214" s="56">
        <f>572.810591552245*Deflactores!$R$5</f>
        <v>954.18056144231389</v>
      </c>
      <c r="V214" s="56">
        <f>517.827005093498*Deflactores!$S$5</f>
        <v>836.00465782939887</v>
      </c>
    </row>
    <row r="215" spans="3:22" x14ac:dyDescent="0.2">
      <c r="C215" s="88" t="s">
        <v>130</v>
      </c>
      <c r="D215" s="57">
        <f>10.204497662*Deflactores!$A$5</f>
        <v>38.082323737807002</v>
      </c>
      <c r="E215" s="57">
        <f>34.11236281302*Deflactores!$B$5</f>
        <v>118.25960397543078</v>
      </c>
      <c r="F215" s="57">
        <f>4.56509332260999*Deflactores!$C$5</f>
        <v>14.79188835544509</v>
      </c>
      <c r="G215" s="57">
        <f>9.86552869346*Deflactores!$D$5</f>
        <v>30.01787490635402</v>
      </c>
      <c r="H215" s="57">
        <f>57.49341087405*Deflactores!$E$5</f>
        <v>165.82026877657827</v>
      </c>
      <c r="I215" s="57">
        <f>45.7553892235*Deflactores!$F$5</f>
        <v>125.85543196774474</v>
      </c>
      <c r="J215" s="57">
        <f>68.22095723447*Deflactores!$G$5</f>
        <v>179.60684483889401</v>
      </c>
      <c r="K215" s="57">
        <f>52.31563545877*Deflactores!$H$5</f>
        <v>130.31198202899287</v>
      </c>
      <c r="L215" s="57">
        <f>119.81433866492*Deflactores!$I$5</f>
        <v>277.17196162468241</v>
      </c>
      <c r="M215" s="57">
        <f>101.11486193845*Deflactores!$J$5</f>
        <v>229.32300495955732</v>
      </c>
      <c r="N215" s="57">
        <f>111.57337177835*Deflactores!$K$5</f>
        <v>245.26445529837733</v>
      </c>
      <c r="O215" s="57">
        <f>129.64465920981*Deflactores!$L$5</f>
        <v>274.75030707430705</v>
      </c>
      <c r="P215" s="57">
        <f>193.71980723772*Deflactores!$M$5</f>
        <v>400.76336497503877</v>
      </c>
      <c r="Q215" s="57">
        <f>256.20865386694*Deflactores!$N$5</f>
        <v>519.95187858414477</v>
      </c>
      <c r="R215" s="57">
        <f>226.49123761855*Deflactores!$O$5</f>
        <v>443.4141596048002</v>
      </c>
      <c r="S215" s="57">
        <f>325.0860494505*Deflactores!$P$5</f>
        <v>596.08369513631999</v>
      </c>
      <c r="T215" s="57">
        <f>167.41430137339*Deflactores!$Q$5</f>
        <v>290.28265632332614</v>
      </c>
      <c r="U215" s="57">
        <f>304.53929787559*Deflactores!$R$5</f>
        <v>507.297669620124</v>
      </c>
      <c r="V215" s="57">
        <f>366.44756503056*Deflactores!$S$5</f>
        <v>591.61045716508227</v>
      </c>
    </row>
    <row r="216" spans="3:22" x14ac:dyDescent="0.2">
      <c r="C216" s="87" t="s">
        <v>131</v>
      </c>
      <c r="D216" s="56">
        <f>25.77763027999*Deflactores!$A$5</f>
        <v>96.199939872755678</v>
      </c>
      <c r="E216" s="56">
        <f>43.016165678*Deflactores!$B$5</f>
        <v>149.12701138603524</v>
      </c>
      <c r="F216" s="56">
        <f>27.08931768163*Deflactores!$C$5</f>
        <v>87.775240165903782</v>
      </c>
      <c r="G216" s="56">
        <f>88.58845763186*Deflactores!$D$5</f>
        <v>269.54837616587776</v>
      </c>
      <c r="H216" s="56">
        <f>130.01027692254*Deflactores!$E$5</f>
        <v>374.97060507056193</v>
      </c>
      <c r="I216" s="56">
        <f>242.80600887575*Deflactores!$F$5</f>
        <v>667.86570172430595</v>
      </c>
      <c r="J216" s="56">
        <f>265.78978819268*Deflactores!$G$5</f>
        <v>699.75073911107154</v>
      </c>
      <c r="K216" s="56">
        <f>521.53111320727*Deflactores!$H$5</f>
        <v>1299.0715386681509</v>
      </c>
      <c r="L216" s="56">
        <f>546.293519663619*Deflactores!$I$5</f>
        <v>1263.76565739331</v>
      </c>
      <c r="M216" s="56">
        <f>665.10949108433*Deflactores!$J$5</f>
        <v>1508.4321354799895</v>
      </c>
      <c r="N216" s="56">
        <f>740.309051157519*Deflactores!$K$5</f>
        <v>1627.3730307739977</v>
      </c>
      <c r="O216" s="56">
        <f>687.1192400851*Deflactores!$L$5</f>
        <v>1456.1820237000602</v>
      </c>
      <c r="P216" s="56">
        <f>807.936964437329*Deflactores!$M$5</f>
        <v>1671.4425910938828</v>
      </c>
      <c r="Q216" s="56">
        <f>1036.67519938735*Deflactores!$N$5</f>
        <v>2103.8368894556625</v>
      </c>
      <c r="R216" s="56">
        <f>1602.25301233616*Deflactores!$O$5</f>
        <v>3136.817478722232</v>
      </c>
      <c r="S216" s="56">
        <f>2213.33604975656*Deflactores!$P$5</f>
        <v>4058.4132519602549</v>
      </c>
      <c r="T216" s="56">
        <f>2289.40894861273*Deflactores!$Q$5</f>
        <v>3969.6471900060078</v>
      </c>
      <c r="U216" s="56">
        <f>3050.69171137115*Deflactores!$R$5</f>
        <v>5081.8032572605434</v>
      </c>
      <c r="V216" s="56">
        <f>3207.39197363786*Deflactores!$S$5</f>
        <v>5178.1668454346664</v>
      </c>
    </row>
    <row r="217" spans="3:22" x14ac:dyDescent="0.2">
      <c r="C217" s="88" t="s">
        <v>132</v>
      </c>
      <c r="D217" s="57">
        <f>0*Deflactores!$A$5</f>
        <v>0</v>
      </c>
      <c r="E217" s="57">
        <f>0*Deflactores!$B$5</f>
        <v>0</v>
      </c>
      <c r="F217" s="57">
        <f>0*Deflactores!$C$5</f>
        <v>0</v>
      </c>
      <c r="G217" s="57">
        <f>0*Deflactores!$D$5</f>
        <v>0</v>
      </c>
      <c r="H217" s="57">
        <f>0.58*Deflactores!$E$5</f>
        <v>1.672813535121551</v>
      </c>
      <c r="I217" s="57">
        <f>0.6801182*Deflactores!$F$5</f>
        <v>1.8707429070707706</v>
      </c>
      <c r="J217" s="57">
        <f>0*Deflactores!$G$5</f>
        <v>0</v>
      </c>
      <c r="K217" s="57">
        <f>1.27239166024*Deflactores!$H$5</f>
        <v>3.1693752299675042</v>
      </c>
      <c r="L217" s="57">
        <f>1.50062830176*Deflactores!$I$5</f>
        <v>3.4714717345438579</v>
      </c>
      <c r="M217" s="57">
        <f>0.55841199934*Deflactores!$J$5</f>
        <v>1.2664480298857848</v>
      </c>
      <c r="N217" s="57">
        <f>1.44621028513999*Deflactores!$K$5</f>
        <v>3.1791096045427425</v>
      </c>
      <c r="O217" s="57">
        <f>2.96630026456*Deflactores!$L$5</f>
        <v>6.2863515823163914</v>
      </c>
      <c r="P217" s="57">
        <f>8.61586341154*Deflactores!$M$5</f>
        <v>17.824312661724321</v>
      </c>
      <c r="Q217" s="57">
        <f>6.61722459908*Deflactores!$N$5</f>
        <v>13.429048197145322</v>
      </c>
      <c r="R217" s="57">
        <f>8.0745218024*Deflactores!$O$5</f>
        <v>15.807928540051366</v>
      </c>
      <c r="S217" s="57">
        <f>7.92558658693*Deflactores!$P$5</f>
        <v>14.532499769970741</v>
      </c>
      <c r="T217" s="57">
        <f>11.94767269407*Deflactores!$Q$5</f>
        <v>20.716283722864613</v>
      </c>
      <c r="U217" s="57">
        <f>17.25193889509*Deflactores!$R$5</f>
        <v>28.738059288109458</v>
      </c>
      <c r="V217" s="57">
        <f>15.8286580128*Deflactores!$S$5</f>
        <v>25.554541759559523</v>
      </c>
    </row>
    <row r="218" spans="3:22" x14ac:dyDescent="0.2">
      <c r="C218" s="87" t="s">
        <v>133</v>
      </c>
      <c r="D218" s="56">
        <f>3.744977924*Deflactores!$A$5</f>
        <v>13.975941434510213</v>
      </c>
      <c r="E218" s="56">
        <f>23.12764849674*Deflactores!$B$5</f>
        <v>80.178162008276956</v>
      </c>
      <c r="F218" s="56">
        <f>6.87315140566*Deflactores!$C$5</f>
        <v>22.270495049697566</v>
      </c>
      <c r="G218" s="56">
        <f>8.3630042725*Deflactores!$D$5</f>
        <v>25.446139167344064</v>
      </c>
      <c r="H218" s="56">
        <f>26.2506366374899*Deflactores!$E$5</f>
        <v>75.711069435777219</v>
      </c>
      <c r="I218" s="56">
        <f>30.58735645222*Deflactores!$F$5</f>
        <v>84.13402277579975</v>
      </c>
      <c r="J218" s="56">
        <f>24.03153530397*Deflactores!$G$5</f>
        <v>63.268362209372263</v>
      </c>
      <c r="K218" s="56">
        <f>38.9731977815*Deflactores!$H$5</f>
        <v>97.077567812737755</v>
      </c>
      <c r="L218" s="56">
        <f>43.497448232*Deflactores!$I$5</f>
        <v>100.62462628825098</v>
      </c>
      <c r="M218" s="56">
        <f>47.87255974*Deflactores!$J$5</f>
        <v>108.57236062256953</v>
      </c>
      <c r="N218" s="56">
        <f>40.70301312603*Deflactores!$K$5</f>
        <v>89.474775067213486</v>
      </c>
      <c r="O218" s="56">
        <f>53.37841477363*Deflactores!$L$5</f>
        <v>113.12256084888409</v>
      </c>
      <c r="P218" s="56">
        <f>70.41540246006*Deflactores!$M$5</f>
        <v>145.6738680383657</v>
      </c>
      <c r="Q218" s="56">
        <f>84.91096676486*Deflactores!$N$5</f>
        <v>172.3189908515487</v>
      </c>
      <c r="R218" s="56">
        <f>90.1646576626184*Deflactores!$O$5</f>
        <v>176.52023241118971</v>
      </c>
      <c r="S218" s="56">
        <f>66.16032581798*Deflactores!$P$5</f>
        <v>121.31277719134904</v>
      </c>
      <c r="T218" s="56">
        <f>68.82541995169*Deflactores!$Q$5</f>
        <v>119.33762863893894</v>
      </c>
      <c r="U218" s="56">
        <f>79.0435148838*Deflactores!$R$5</f>
        <v>131.66967671776911</v>
      </c>
      <c r="V218" s="56">
        <f>72.7597986213*Deflactores!$S$5</f>
        <v>117.46689522141273</v>
      </c>
    </row>
    <row r="219" spans="3:22" x14ac:dyDescent="0.2">
      <c r="C219" s="88" t="s">
        <v>134</v>
      </c>
      <c r="D219" s="57">
        <f>592.8436799809*Deflactores!$A$5</f>
        <v>2212.4425615793225</v>
      </c>
      <c r="E219" s="57">
        <f>1514.31713775285*Deflactores!$B$5</f>
        <v>5249.784249348676</v>
      </c>
      <c r="F219" s="57">
        <f>796.06963176685*Deflactores!$C$5</f>
        <v>2579.4375457637352</v>
      </c>
      <c r="G219" s="57">
        <f>1083.97933999087*Deflactores!$D$5</f>
        <v>3298.2273165439715</v>
      </c>
      <c r="H219" s="57">
        <f>877.03483475819*Deflactores!$E$5</f>
        <v>2529.5099006148157</v>
      </c>
      <c r="I219" s="57">
        <f>1127.85403245863*Deflactores!$F$5</f>
        <v>3102.2915302562828</v>
      </c>
      <c r="J219" s="57">
        <f>242.964850308169*Deflactores!$G$5</f>
        <v>639.65901300129178</v>
      </c>
      <c r="K219" s="57">
        <f>680.293917187689*Deflactores!$H$5</f>
        <v>1694.5306681949949</v>
      </c>
      <c r="L219" s="57">
        <f>728.50955074138*Deflactores!$I$5</f>
        <v>1685.2942935821131</v>
      </c>
      <c r="M219" s="57">
        <f>803.547264480089*Deflactores!$J$5</f>
        <v>1822.4014727901717</v>
      </c>
      <c r="N219" s="57">
        <f>572.44169023261*Deflactores!$K$5</f>
        <v>1258.361176212361</v>
      </c>
      <c r="O219" s="57">
        <f>955.94283161844*Deflactores!$L$5</f>
        <v>2025.8882096145389</v>
      </c>
      <c r="P219" s="57">
        <f>714.99224019504*Deflactores!$M$5</f>
        <v>1479.1605473774778</v>
      </c>
      <c r="Q219" s="57">
        <f>1020.80587985304*Deflactores!$N$5</f>
        <v>2071.6315662584148</v>
      </c>
      <c r="R219" s="57">
        <f>615.74194771123*Deflactores!$O$5</f>
        <v>1205.4713513360057</v>
      </c>
      <c r="S219" s="57">
        <f>587.933010320839*Deflactores!$P$5</f>
        <v>1078.044665026541</v>
      </c>
      <c r="T219" s="57">
        <f>498.674829446969*Deflactores!$Q$5</f>
        <v>864.66122037323396</v>
      </c>
      <c r="U219" s="57">
        <f>540.44411851995*Deflactores!$R$5</f>
        <v>900.26490439035126</v>
      </c>
      <c r="V219" s="57">
        <f>708.90494584852*Deflactores!$S$5</f>
        <v>1144.4900147311803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>
        <f>0*Deflactores!$O$5</f>
        <v>0</v>
      </c>
      <c r="S220" s="56"/>
      <c r="T220" s="56"/>
      <c r="U220" s="56"/>
      <c r="V220" s="56"/>
    </row>
    <row r="221" spans="3:22" x14ac:dyDescent="0.2">
      <c r="C221" s="88" t="s">
        <v>136</v>
      </c>
      <c r="D221" s="57">
        <f>33.24488528352*Deflactores!$A$5</f>
        <v>124.06710510678192</v>
      </c>
      <c r="E221" s="57">
        <f>107.10643787493*Deflactores!$B$5</f>
        <v>371.31303380350442</v>
      </c>
      <c r="F221" s="57">
        <f>44.90793575091*Deflactores!$C$5</f>
        <v>145.51141125876887</v>
      </c>
      <c r="G221" s="57">
        <f>36.98771295925*Deflactores!$D$5</f>
        <v>112.54262951147511</v>
      </c>
      <c r="H221" s="57">
        <f>109.72355920479*Deflactores!$E$5</f>
        <v>316.46043958531652</v>
      </c>
      <c r="I221" s="57">
        <f>257.73248803341*Deflactores!$F$5</f>
        <v>708.92269007093762</v>
      </c>
      <c r="J221" s="57">
        <f>816.880948499949*Deflactores!$G$5</f>
        <v>2150.6208021213019</v>
      </c>
      <c r="K221" s="57">
        <f>1193.56327865999*Deflactores!$H$5</f>
        <v>2973.0231728100516</v>
      </c>
      <c r="L221" s="57">
        <f>1601.15101811754*Deflactores!$I$5</f>
        <v>3704.0155084454245</v>
      </c>
      <c r="M221" s="57">
        <f>1536.20389325318*Deflactores!$J$5</f>
        <v>3484.0268411366874</v>
      </c>
      <c r="N221" s="57">
        <f>2347.73948457492*Deflactores!$K$5</f>
        <v>5160.8823565059101</v>
      </c>
      <c r="O221" s="57">
        <f>2280.13714374659*Deflactores!$L$5</f>
        <v>4832.1958207477419</v>
      </c>
      <c r="P221" s="57">
        <f>3166.63367220219*Deflactores!$M$5</f>
        <v>6551.0635397117385</v>
      </c>
      <c r="Q221" s="57">
        <f>4010.88070260739*Deflactores!$N$5</f>
        <v>8139.7131776067072</v>
      </c>
      <c r="R221" s="57">
        <f>6575.19230356333*Deflactores!$O$5</f>
        <v>12872.609996660185</v>
      </c>
      <c r="S221" s="57">
        <f>7824.12886819458*Deflactores!$P$5</f>
        <v>14346.465050898247</v>
      </c>
      <c r="T221" s="57">
        <f>5838.21405649818*Deflactores!$Q$5</f>
        <v>10122.983942241901</v>
      </c>
      <c r="U221" s="57">
        <f>6614.38388050578*Deflactores!$R$5</f>
        <v>11018.156119622576</v>
      </c>
      <c r="V221" s="57">
        <f>6792.01465063813*Deflactores!$S$5</f>
        <v>10965.352961755549</v>
      </c>
    </row>
    <row r="222" spans="3:22" x14ac:dyDescent="0.2">
      <c r="C222" s="87" t="s">
        <v>137</v>
      </c>
      <c r="D222" s="56">
        <f>12.51854688887*Deflactores!$A$5</f>
        <v>46.718160083876953</v>
      </c>
      <c r="E222" s="56">
        <f>15.17908863866*Deflactores!$B$5</f>
        <v>52.622359258876941</v>
      </c>
      <c r="F222" s="56">
        <f>13.610224804*Deflactores!$C$5</f>
        <v>44.100067964914416</v>
      </c>
      <c r="G222" s="56">
        <f>8.28242896455*Deflactores!$D$5</f>
        <v>25.200972426692097</v>
      </c>
      <c r="H222" s="56">
        <f>31.64981887*Deflactores!$E$5</f>
        <v>91.28318170669219</v>
      </c>
      <c r="I222" s="56">
        <f>106.01119014057*Deflactores!$F$5</f>
        <v>291.59590498475427</v>
      </c>
      <c r="J222" s="56">
        <f>38.014173044*Deflactores!$G$5</f>
        <v>100.08076632707802</v>
      </c>
      <c r="K222" s="56">
        <f>53.03455770853*Deflactores!$H$5</f>
        <v>132.10273124706939</v>
      </c>
      <c r="L222" s="56">
        <f>73.65447563507*Deflactores!$I$5</f>
        <v>170.38825003494301</v>
      </c>
      <c r="M222" s="56">
        <f>64.16050132605*Deflactores!$J$5</f>
        <v>145.51252587139706</v>
      </c>
      <c r="N222" s="56">
        <f>93.05815089069*Deflactores!$K$5</f>
        <v>204.56365462021554</v>
      </c>
      <c r="O222" s="56">
        <f>116.683537001609*Deflactores!$L$5</f>
        <v>247.28236255244448</v>
      </c>
      <c r="P222" s="56">
        <f>137.917532579829*Deflactores!$M$5</f>
        <v>285.32082100371048</v>
      </c>
      <c r="Q222" s="56">
        <f>164.29446332762*Deflactores!$N$5</f>
        <v>333.42048974089238</v>
      </c>
      <c r="R222" s="56">
        <f>326.79412363594*Deflactores!$O$5</f>
        <v>639.7825506162078</v>
      </c>
      <c r="S222" s="56">
        <f>160.7990158964*Deflactores!$P$5</f>
        <v>294.84400124775186</v>
      </c>
      <c r="T222" s="56">
        <f>131.352035602*Deflactores!$Q$5</f>
        <v>227.75364765871305</v>
      </c>
      <c r="U222" s="56">
        <f>121.498361427389*Deflactores!$R$5</f>
        <v>202.3904174099639</v>
      </c>
      <c r="V222" s="56">
        <f>385.555699327379*Deflactores!$S$5</f>
        <v>622.45954212480933</v>
      </c>
    </row>
    <row r="223" spans="3:22" x14ac:dyDescent="0.2">
      <c r="C223" s="88" t="s">
        <v>138</v>
      </c>
      <c r="D223" s="57">
        <f>3.738*Deflactores!$A$5</f>
        <v>13.949900411268533</v>
      </c>
      <c r="E223" s="57">
        <f>17.09997932237*Deflactores!$B$5</f>
        <v>59.281639144611951</v>
      </c>
      <c r="F223" s="57">
        <f>0.0569237327999999*Deflactores!$C$5</f>
        <v>0.18444518892581721</v>
      </c>
      <c r="G223" s="57">
        <f>0*Deflactores!$D$5</f>
        <v>0</v>
      </c>
      <c r="H223" s="57">
        <f>0*Deflactores!$E$5</f>
        <v>0</v>
      </c>
      <c r="I223" s="57">
        <f>0*Deflactores!$F$5</f>
        <v>0</v>
      </c>
      <c r="J223" s="57">
        <f>0*Deflactores!$G$5</f>
        <v>0</v>
      </c>
      <c r="K223" s="57">
        <f>0*Deflactores!$H$5</f>
        <v>0</v>
      </c>
      <c r="L223" s="57">
        <f>31.9168157266099*Deflactores!$I$5</f>
        <v>73.834622152349269</v>
      </c>
      <c r="M223" s="57">
        <f>1.031*Deflactores!$J$5</f>
        <v>2.338251900667411</v>
      </c>
      <c r="N223" s="57">
        <f>6.828781434*Deflactores!$K$5</f>
        <v>15.011264175908646</v>
      </c>
      <c r="O223" s="57">
        <f>0*Deflactores!$L$5</f>
        <v>0</v>
      </c>
      <c r="P223" s="57">
        <f>43.97807110646*Deflactores!$M$5</f>
        <v>90.980886327790216</v>
      </c>
      <c r="Q223" s="57">
        <f>27.26212360938*Deflactores!$N$5</f>
        <v>55.325970340767533</v>
      </c>
      <c r="R223" s="57">
        <f>12.17846894599*Deflactores!$O$5</f>
        <v>23.842448077633865</v>
      </c>
      <c r="S223" s="57">
        <f>12.17252577943*Deflactores!$P$5</f>
        <v>22.319764745394206</v>
      </c>
      <c r="T223" s="57">
        <f>8.00388973008*Deflactores!$Q$5</f>
        <v>13.878087790030989</v>
      </c>
      <c r="U223" s="57">
        <f>6.77227321476*Deflactores!$R$5</f>
        <v>11.281166154398974</v>
      </c>
      <c r="V223" s="57">
        <f>6.81710210028*Deflactores!$S$5</f>
        <v>11.005855339088837</v>
      </c>
    </row>
    <row r="224" spans="3:22" x14ac:dyDescent="0.2">
      <c r="C224" s="87" t="s">
        <v>139</v>
      </c>
      <c r="D224" s="56">
        <f>23.89119645812*Deflactores!$A$5</f>
        <v>89.159928115790663</v>
      </c>
      <c r="E224" s="56">
        <f>67.49547760803*Deflactores!$B$5</f>
        <v>233.99107519493256</v>
      </c>
      <c r="F224" s="56">
        <f>27.8589949408*Deflactores!$C$5</f>
        <v>90.26916072410576</v>
      </c>
      <c r="G224" s="56">
        <f>31.43848371822*Deflactores!$D$5</f>
        <v>95.657972402896021</v>
      </c>
      <c r="H224" s="56">
        <f>38.49519131349*Deflactores!$E$5</f>
        <v>111.02633976948211</v>
      </c>
      <c r="I224" s="56">
        <f>48.37323454161*Deflactores!$F$5</f>
        <v>133.0561149676449</v>
      </c>
      <c r="J224" s="56">
        <f>87.60938787441*Deflactores!$G$5</f>
        <v>230.65120121825399</v>
      </c>
      <c r="K224" s="56">
        <f>241.42612837933*Deflactores!$H$5</f>
        <v>601.36356993103527</v>
      </c>
      <c r="L224" s="56">
        <f>237.32280710842*Deflactores!$I$5</f>
        <v>549.0096487406156</v>
      </c>
      <c r="M224" s="56">
        <f>294.144115054189*Deflactores!$J$5</f>
        <v>667.10284781337646</v>
      </c>
      <c r="N224" s="56">
        <f>119.431716322559*Deflactores!$K$5</f>
        <v>262.53894080923283</v>
      </c>
      <c r="O224" s="56">
        <f>1700.09746528703*Deflactores!$L$5</f>
        <v>3602.9428708507708</v>
      </c>
      <c r="P224" s="56">
        <f>100.49045998807*Deflactores!$M$5</f>
        <v>207.89249931107057</v>
      </c>
      <c r="Q224" s="56">
        <f>144.59504494084*Deflactores!$N$5</f>
        <v>293.44233348961757</v>
      </c>
      <c r="R224" s="56">
        <f>122.96392936391*Deflactores!$O$5</f>
        <v>240.73314258819062</v>
      </c>
      <c r="S224" s="56">
        <f>179.7938523895*Deflactores!$P$5</f>
        <v>329.67327904806336</v>
      </c>
      <c r="T224" s="56">
        <f>138.19754743653*Deflactores!$Q$5</f>
        <v>239.62320326369183</v>
      </c>
      <c r="U224" s="56">
        <f>150.84373001022*Deflactores!$R$5</f>
        <v>251.27355728735117</v>
      </c>
      <c r="V224" s="56">
        <f>147.50327126382*Deflactores!$S$5</f>
        <v>238.13632855892016</v>
      </c>
    </row>
    <row r="225" spans="2:22" x14ac:dyDescent="0.2">
      <c r="C225" s="88" t="s">
        <v>140</v>
      </c>
      <c r="D225" s="57">
        <f>189.94669026396*Deflactores!$A$5</f>
        <v>708.86501140511302</v>
      </c>
      <c r="E225" s="57">
        <f>354.4745658765*Deflactores!$B$5</f>
        <v>1228.8806263492722</v>
      </c>
      <c r="F225" s="57">
        <f>199.94825103964*Deflactores!$C$5</f>
        <v>647.87551912606114</v>
      </c>
      <c r="G225" s="57">
        <f>285.19464139875*Deflactores!$D$5</f>
        <v>867.76262433308193</v>
      </c>
      <c r="H225" s="57">
        <f>523.061931669*Deflactores!$E$5</f>
        <v>1508.5949637978053</v>
      </c>
      <c r="I225" s="57">
        <f>496.30815724548*Deflactores!$F$5</f>
        <v>1365.1523586464034</v>
      </c>
      <c r="J225" s="57">
        <f>461.683144663299*Deflactores!$G$5</f>
        <v>1215.4835741058187</v>
      </c>
      <c r="K225" s="57">
        <f>2190.12838342285*Deflactores!$H$5</f>
        <v>5455.3474891212909</v>
      </c>
      <c r="L225" s="57">
        <f>1378.66138472129*Deflactores!$I$5</f>
        <v>3189.3201154168892</v>
      </c>
      <c r="M225" s="57">
        <f>6060.41510677628*Deflactores!$J$5</f>
        <v>13744.691699566563</v>
      </c>
      <c r="N225" s="57">
        <f>1011.26112385888*Deflactores!$K$5</f>
        <v>2222.989273824212</v>
      </c>
      <c r="O225" s="57">
        <f>1528.16885819228*Deflactores!$L$5</f>
        <v>3238.582025737252</v>
      </c>
      <c r="P225" s="57">
        <f>1831.25750095824*Deflactores!$M$5</f>
        <v>3788.4660772928105</v>
      </c>
      <c r="Q225" s="57">
        <f>2269.48559619472*Deflactores!$N$5</f>
        <v>4605.7121074994548</v>
      </c>
      <c r="R225" s="57">
        <f>1950.67295895613*Deflactores!$O$5</f>
        <v>3818.9380739579656</v>
      </c>
      <c r="S225" s="57">
        <f>2270.41757195972*Deflactores!$P$5</f>
        <v>4163.0789696567826</v>
      </c>
      <c r="T225" s="57">
        <f>2181.171244276*Deflactores!$Q$5</f>
        <v>3781.9718954137693</v>
      </c>
      <c r="U225" s="57">
        <f>2509.54624670779*Deflactores!$R$5</f>
        <v>4180.3700594294742</v>
      </c>
      <c r="V225" s="57">
        <f>3052.35025836841*Deflactores!$S$5</f>
        <v>4927.8600927002926</v>
      </c>
    </row>
    <row r="226" spans="2:22" x14ac:dyDescent="0.2">
      <c r="C226" s="87" t="s">
        <v>141</v>
      </c>
      <c r="D226" s="56">
        <f>0.50997717775*Deflactores!$A$5</f>
        <v>1.90319177143721</v>
      </c>
      <c r="E226" s="56">
        <f>2.01979671507*Deflactores!$B$5</f>
        <v>7.0021640231818258</v>
      </c>
      <c r="F226" s="56">
        <f>1.23149935904999*Deflactores!$C$5</f>
        <v>3.9903239083083921</v>
      </c>
      <c r="G226" s="56">
        <f>1.65200836502*Deflactores!$D$5</f>
        <v>5.0265710015414138</v>
      </c>
      <c r="H226" s="56">
        <f>3.22899349088999*Deflactores!$E$5</f>
        <v>9.312937959276141</v>
      </c>
      <c r="I226" s="56">
        <f>3.07963480564999*Deflactores!$F$5</f>
        <v>8.4708878089690725</v>
      </c>
      <c r="J226" s="56">
        <f>13.57879981068*Deflactores!$G$5</f>
        <v>35.749210939874217</v>
      </c>
      <c r="K226" s="56">
        <f>18.65052181389*Deflactores!$H$5</f>
        <v>46.456216045743396</v>
      </c>
      <c r="L226" s="56">
        <f>25.4897290661799*Deflactores!$I$5</f>
        <v>58.966550124799994</v>
      </c>
      <c r="M226" s="56">
        <f>43.52419929584*Deflactores!$J$5</f>
        <v>98.710515740567487</v>
      </c>
      <c r="N226" s="56">
        <f>45.45448734348*Deflactores!$K$5</f>
        <v>99.91963047699943</v>
      </c>
      <c r="O226" s="56">
        <f>33.7686809774399*Deflactores!$L$5</f>
        <v>71.56450195939793</v>
      </c>
      <c r="P226" s="56">
        <f>51.5896616035099*Deflactores!$M$5</f>
        <v>106.727580813535</v>
      </c>
      <c r="Q226" s="56">
        <f>63.4253531940899*Deflactores!$N$5</f>
        <v>128.71591589664598</v>
      </c>
      <c r="R226" s="56">
        <f>42.4448101772*Deflactores!$O$5</f>
        <v>83.096503123911432</v>
      </c>
      <c r="S226" s="56">
        <f>37.2615806565999*Deflactores!$P$5</f>
        <v>68.323512257600285</v>
      </c>
      <c r="T226" s="56">
        <f>45.0541537793662*Deflactores!$Q$5</f>
        <v>78.120204368351679</v>
      </c>
      <c r="U226" s="56">
        <f>163.5910267423*Deflactores!$R$5</f>
        <v>272.50784124101733</v>
      </c>
      <c r="V226" s="56">
        <f>187.07936476754*Deflactores!$S$5</f>
        <v>302.02986478310339</v>
      </c>
    </row>
    <row r="227" spans="2:22" x14ac:dyDescent="0.2">
      <c r="C227" s="88" t="s">
        <v>142</v>
      </c>
      <c r="D227" s="57">
        <f>69.03060881731*Deflactores!$A$5</f>
        <v>257.616404047809</v>
      </c>
      <c r="E227" s="57">
        <f>232.68500429713*Deflactores!$B$5</f>
        <v>806.66462801272837</v>
      </c>
      <c r="F227" s="57">
        <f>72.5329934791799*Deflactores!$C$5</f>
        <v>235.02256488742472</v>
      </c>
      <c r="G227" s="57">
        <f>68.71112946582*Deflactores!$D$5</f>
        <v>209.06756779761659</v>
      </c>
      <c r="H227" s="57">
        <f>156.24348952418*Deflactores!$E$5</f>
        <v>450.63142077701826</v>
      </c>
      <c r="I227" s="57">
        <f>46.1036618070999*Deflactores!$F$5</f>
        <v>126.81339554745296</v>
      </c>
      <c r="J227" s="57">
        <f>69.4911722902*Deflactores!$G$5</f>
        <v>182.95096851693663</v>
      </c>
      <c r="K227" s="57">
        <f>146.83347061191*Deflactores!$H$5</f>
        <v>365.74458889471998</v>
      </c>
      <c r="L227" s="57">
        <f>163.894795252379*Deflactores!$I$5</f>
        <v>379.1452876706316</v>
      </c>
      <c r="M227" s="57">
        <f>314.99199521697*Deflactores!$J$5</f>
        <v>714.38470563637259</v>
      </c>
      <c r="N227" s="57">
        <f>307.27383550356*Deflactores!$K$5</f>
        <v>675.46000171026071</v>
      </c>
      <c r="O227" s="57">
        <f>269.300489123239*Deflactores!$L$5</f>
        <v>570.71685430657737</v>
      </c>
      <c r="P227" s="57">
        <f>437.978348760996*Deflactores!$M$5</f>
        <v>906.08017496256582</v>
      </c>
      <c r="Q227" s="57">
        <f>259.20447634869*Deflactores!$N$5</f>
        <v>526.03162454034305</v>
      </c>
      <c r="R227" s="57">
        <f>223.63837592285*Deflactores!$O$5</f>
        <v>437.82895779051182</v>
      </c>
      <c r="S227" s="57">
        <f>148.488417348233*Deflactores!$P$5</f>
        <v>272.27106376140011</v>
      </c>
      <c r="T227" s="57">
        <f>198.10426050026*Deflactores!$Q$5</f>
        <v>343.49652625390399</v>
      </c>
      <c r="U227" s="57">
        <f>216.478404007859*Deflactores!$R$5</f>
        <v>360.60695825579029</v>
      </c>
      <c r="V227" s="57">
        <f>171.78009306865*Deflactores!$S$5</f>
        <v>277.32998958180877</v>
      </c>
    </row>
    <row r="228" spans="2:22" x14ac:dyDescent="0.2">
      <c r="C228" s="87" t="s">
        <v>143</v>
      </c>
      <c r="D228" s="56">
        <f>478.51529897662*Deflactores!$A$5</f>
        <v>1785.7786960920912</v>
      </c>
      <c r="E228" s="56">
        <f>385.81379488361*Deflactores!$B$5</f>
        <v>1337.5264223497063</v>
      </c>
      <c r="F228" s="56">
        <f>537.47258786779*Deflactores!$C$5</f>
        <v>1741.5272705328032</v>
      </c>
      <c r="G228" s="56">
        <f>451.080899457589*Deflactores!$D$5</f>
        <v>1372.5052587946702</v>
      </c>
      <c r="H228" s="56">
        <f>443.31571099111*Deflactores!$E$5</f>
        <v>1278.5940028930388</v>
      </c>
      <c r="I228" s="56">
        <f>448.66862352781*Deflactores!$F$5</f>
        <v>1234.1143717222335</v>
      </c>
      <c r="J228" s="56">
        <f>40.8277992175699*Deflactores!$G$5</f>
        <v>107.48826308579666</v>
      </c>
      <c r="K228" s="56">
        <f>115.79532016356*Deflactores!$H$5</f>
        <v>288.43227359987571</v>
      </c>
      <c r="L228" s="56">
        <f>49.31787309361*Deflactores!$I$5</f>
        <v>114.08927997125672</v>
      </c>
      <c r="M228" s="56">
        <f>32.04724265598*Deflactores!$J$5</f>
        <v>72.681402571770093</v>
      </c>
      <c r="N228" s="56">
        <f>45.79105077182*Deflactores!$K$5</f>
        <v>100.65947587746963</v>
      </c>
      <c r="O228" s="56">
        <f>56.45846049696*Deflactores!$L$5</f>
        <v>119.64996825190181</v>
      </c>
      <c r="P228" s="56">
        <f>70.5048495064*Deflactores!$M$5</f>
        <v>145.85891416136909</v>
      </c>
      <c r="Q228" s="56">
        <f>97.2449330888499*Deflactores!$N$5</f>
        <v>197.34964014367881</v>
      </c>
      <c r="R228" s="56">
        <f>95.93667375844*Deflactores!$O$5</f>
        <v>187.82042085673379</v>
      </c>
      <c r="S228" s="56">
        <f>66.5919597266899*Deflactores!$P$5</f>
        <v>122.10422897983652</v>
      </c>
      <c r="T228" s="56">
        <f>51.2266688448*Deflactores!$Q$5</f>
        <v>88.82283881887939</v>
      </c>
      <c r="U228" s="56">
        <f>33.12447223452*Deflactores!$R$5</f>
        <v>55.178322433885789</v>
      </c>
      <c r="V228" s="56">
        <f>23.04919355997*Deflactores!$S$5</f>
        <v>37.211719330603628</v>
      </c>
    </row>
    <row r="229" spans="2:22" x14ac:dyDescent="0.2">
      <c r="C229" s="88" t="s">
        <v>144</v>
      </c>
      <c r="D229" s="57">
        <f>3.30990141816*Deflactores!$A$5</f>
        <v>12.352272646989965</v>
      </c>
      <c r="E229" s="57">
        <f>34.91933000916*Deflactores!$B$5</f>
        <v>121.05717099123</v>
      </c>
      <c r="F229" s="57">
        <f>15.15585196482*Deflactores!$C$5</f>
        <v>49.108233797748198</v>
      </c>
      <c r="G229" s="57">
        <f>15.02365065738*Deflactores!$D$5</f>
        <v>45.712508683792691</v>
      </c>
      <c r="H229" s="57">
        <f>24.71888923175*Deflactores!$E$5</f>
        <v>71.29326289662373</v>
      </c>
      <c r="I229" s="57">
        <f>25.54293371844*Deflactores!$F$5</f>
        <v>70.258761020585027</v>
      </c>
      <c r="J229" s="57">
        <f>39.96841163936*Deflactores!$G$5</f>
        <v>105.22573412588302</v>
      </c>
      <c r="K229" s="57">
        <f>51.29681523284*Deflactores!$H$5</f>
        <v>127.77422287137361</v>
      </c>
      <c r="L229" s="57">
        <f>60.72293143023*Deflactores!$I$5</f>
        <v>140.473120393275</v>
      </c>
      <c r="M229" s="57">
        <f>58.95885193803*Deflactores!$J$5</f>
        <v>133.7154680943425</v>
      </c>
      <c r="N229" s="57">
        <f>56.35410637401*Deflactores!$K$5</f>
        <v>123.87955103755652</v>
      </c>
      <c r="O229" s="57">
        <f>35.96286998739*Deflactores!$L$5</f>
        <v>76.214551625441118</v>
      </c>
      <c r="P229" s="57">
        <f>38.0838349023699*Deflactores!$M$5</f>
        <v>78.787017415820259</v>
      </c>
      <c r="Q229" s="57">
        <f>104.62414360902*Deflactores!$N$5</f>
        <v>212.32506862558697</v>
      </c>
      <c r="R229" s="57">
        <f>116.67564795315*Deflactores!$O$5</f>
        <v>228.42223358160635</v>
      </c>
      <c r="S229" s="57">
        <f>66.749551135*Deflactores!$P$5</f>
        <v>122.39319145345239</v>
      </c>
      <c r="T229" s="57">
        <f>58.830486963*Deflactores!$Q$5</f>
        <v>102.00723527392063</v>
      </c>
      <c r="U229" s="57">
        <f>89.7059556029899*Deflactores!$R$5</f>
        <v>149.43103417488601</v>
      </c>
      <c r="V229" s="57">
        <f>114.282096487289*Deflactores!$S$5</f>
        <v>184.50247675404989</v>
      </c>
    </row>
    <row r="230" spans="2:22" x14ac:dyDescent="0.2">
      <c r="C230" s="87" t="s">
        <v>145</v>
      </c>
      <c r="D230" s="56">
        <f>5*Deflactores!$A$5</f>
        <v>18.659577864190119</v>
      </c>
      <c r="E230" s="56">
        <f>0*Deflactores!$B$5</f>
        <v>0</v>
      </c>
      <c r="F230" s="56">
        <f>0*Deflactores!$C$5</f>
        <v>0</v>
      </c>
      <c r="G230" s="56">
        <f>4.231592073*Deflactores!$D$5</f>
        <v>12.875478390351134</v>
      </c>
      <c r="H230" s="56">
        <f>8.5*Deflactores!$E$5</f>
        <v>24.515370773333075</v>
      </c>
      <c r="I230" s="56">
        <f>53.168448274*Deflactores!$F$5</f>
        <v>146.24589885779361</v>
      </c>
      <c r="J230" s="56">
        <f>77.858463147*Deflactores!$G$5</f>
        <v>204.97972289917274</v>
      </c>
      <c r="K230" s="56">
        <f>1.044812*Deflactores!$H$5</f>
        <v>2.6025015537654559</v>
      </c>
      <c r="L230" s="56">
        <f>64.179985083*Deflactores!$I$5</f>
        <v>148.47047991682746</v>
      </c>
      <c r="M230" s="56">
        <f>36.650694512*Deflactores!$J$5</f>
        <v>83.121780895698024</v>
      </c>
      <c r="N230" s="56">
        <f>44.932082771*Deflactores!$K$5</f>
        <v>98.77126262835877</v>
      </c>
      <c r="O230" s="56">
        <f>27.938228371*Deflactores!$L$5</f>
        <v>59.208276459903225</v>
      </c>
      <c r="P230" s="56">
        <f>30.112488*Deflactores!$M$5</f>
        <v>62.296066626999341</v>
      </c>
      <c r="Q230" s="56">
        <f>38.546132739*Deflactores!$N$5</f>
        <v>78.225828157254924</v>
      </c>
      <c r="R230" s="56">
        <f>35.786248664*Deflactores!$O$5</f>
        <v>70.060676711390514</v>
      </c>
      <c r="S230" s="56">
        <f>33.859673928*Deflactores!$P$5</f>
        <v>62.085714183150124</v>
      </c>
      <c r="T230" s="56">
        <f>21.84*Deflactores!$Q$5</f>
        <v>37.868767256398392</v>
      </c>
      <c r="U230" s="56">
        <f>36.261372*Deflactores!$R$5</f>
        <v>60.403729965724295</v>
      </c>
      <c r="V230" s="56">
        <f>35.5*Deflactores!$S$5</f>
        <v>57.312896123648514</v>
      </c>
    </row>
    <row r="231" spans="2:22" x14ac:dyDescent="0.2">
      <c r="C231" s="88" t="s">
        <v>146</v>
      </c>
      <c r="D231" s="57">
        <f>0*Deflactores!$A$5</f>
        <v>0</v>
      </c>
      <c r="E231" s="57">
        <f>0*Deflactores!$B$5</f>
        <v>0</v>
      </c>
      <c r="F231" s="57">
        <f>0*Deflactores!$C$5</f>
        <v>0</v>
      </c>
      <c r="G231" s="57">
        <f>0*Deflactores!$D$5</f>
        <v>0</v>
      </c>
      <c r="H231" s="57">
        <f>1.62340268986*Deflactores!$E$5</f>
        <v>4.6821551595698994</v>
      </c>
      <c r="I231" s="57">
        <f>1.00402834921*Deflactores!$F$5</f>
        <v>2.7616948241975909</v>
      </c>
      <c r="J231" s="57">
        <f>1.96082205932999*Deflactores!$G$5</f>
        <v>5.1623002321172011</v>
      </c>
      <c r="K231" s="57">
        <f>0.84736601081*Deflactores!$H$5</f>
        <v>2.1106872430074128</v>
      </c>
      <c r="L231" s="57">
        <f>4.50922967657*Deflactores!$I$5</f>
        <v>10.43140619727072</v>
      </c>
      <c r="M231" s="57">
        <f>6.64943371594*Deflactores!$J$5</f>
        <v>15.08055385514905</v>
      </c>
      <c r="N231" s="57">
        <f>3.97496821388*Deflactores!$K$5</f>
        <v>8.7379129828791093</v>
      </c>
      <c r="O231" s="57">
        <f>3.20910731386*Deflactores!$L$5</f>
        <v>6.8009220379108593</v>
      </c>
      <c r="P231" s="57">
        <f>7.40002793792*Deflactores!$M$5</f>
        <v>15.309018419943277</v>
      </c>
      <c r="Q231" s="57">
        <f>11.94781988074*Deflactores!$N$5</f>
        <v>24.247000630985951</v>
      </c>
      <c r="R231" s="57">
        <f>39.7231694753259*Deflactores!$O$5</f>
        <v>77.768199754400058</v>
      </c>
      <c r="S231" s="57">
        <f>27.061998484287*Deflactores!$P$5</f>
        <v>49.621372807458911</v>
      </c>
      <c r="T231" s="57">
        <f>53.773683418188*Deflactores!$Q$5</f>
        <v>93.239153016603055</v>
      </c>
      <c r="U231" s="57">
        <f>48.6802644574899*Deflactores!$R$5</f>
        <v>81.090962276613965</v>
      </c>
      <c r="V231" s="57">
        <f>57.533753142195*Deflactores!$S$5</f>
        <v>92.885239927950948</v>
      </c>
    </row>
    <row r="232" spans="2:22" x14ac:dyDescent="0.2">
      <c r="C232" s="90" t="s">
        <v>147</v>
      </c>
      <c r="D232" s="58">
        <f>489.58197559456*Deflactores!$A$5</f>
        <v>1827.0785989021438</v>
      </c>
      <c r="E232" s="58">
        <f>921.69894482047*Deflactores!$B$5</f>
        <v>3195.3152232960601</v>
      </c>
      <c r="F232" s="58">
        <f>774.25242346665*Deflactores!$C$5</f>
        <v>2508.745078688486</v>
      </c>
      <c r="G232" s="58">
        <f>835.96432195239*Deflactores!$D$5</f>
        <v>2543.5912480977313</v>
      </c>
      <c r="H232" s="58">
        <f>1164.19175778483*Deflactores!$E$5</f>
        <v>3357.7167756886452</v>
      </c>
      <c r="I232" s="58">
        <f>1375.07276763686*Deflactores!$F$5</f>
        <v>3782.2949404424548</v>
      </c>
      <c r="J232" s="58">
        <f>1489.53926603968*Deflactores!$G$5</f>
        <v>3921.5434476761234</v>
      </c>
      <c r="K232" s="58">
        <f>1731.75551338667*Deflactores!$H$5</f>
        <v>4313.5955696629662</v>
      </c>
      <c r="L232" s="58">
        <f>1165.71968438876*Deflactores!$I$5</f>
        <v>2696.7123904105724</v>
      </c>
      <c r="M232" s="58">
        <f>1405.18071963139*Deflactores!$J$5</f>
        <v>3186.8734126666327</v>
      </c>
      <c r="N232" s="58">
        <f>2040.33261257751*Deflactores!$K$5</f>
        <v>4485.1299093610542</v>
      </c>
      <c r="O232" s="58">
        <f>2523.37737402437*Deflactores!$L$5</f>
        <v>5347.6842980130532</v>
      </c>
      <c r="P232" s="58">
        <f>3297.61244630149*Deflactores!$M$5</f>
        <v>6822.0296066143692</v>
      </c>
      <c r="Q232" s="58">
        <f>4402.14297601206*Deflactores!$N$5</f>
        <v>8933.7439451291611</v>
      </c>
      <c r="R232" s="58">
        <f>6626.36259600607*Deflactores!$O$5</f>
        <v>12972.788848870099</v>
      </c>
      <c r="S232" s="58">
        <f>7078.9036062747*Deflactores!$P$5</f>
        <v>12980.00645144434</v>
      </c>
      <c r="T232" s="58">
        <f>7099.38734047325*Deflactores!$Q$5</f>
        <v>12309.754892829793</v>
      </c>
      <c r="U232" s="58">
        <f>3142.1313713618*Deflactores!$R$5</f>
        <v>5234.122274043275</v>
      </c>
      <c r="V232" s="58">
        <f>3454.66944035939*Deflactores!$S$5</f>
        <v>5577.3834021650891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12.311477938*Deflactores!$S$5</f>
        <v>19.876238202512237</v>
      </c>
    </row>
    <row r="234" spans="2:22" x14ac:dyDescent="0.2">
      <c r="C234" s="87" t="s">
        <v>149</v>
      </c>
      <c r="D234" s="56">
        <f>0.9*Deflactores!$A$5</f>
        <v>3.3587240155542215</v>
      </c>
      <c r="E234" s="56">
        <f>7*Deflactores!$B$5</f>
        <v>24.267367006077176</v>
      </c>
      <c r="F234" s="56">
        <f>0.38702772838*Deflactores!$C$5</f>
        <v>1.254053432008575</v>
      </c>
      <c r="G234" s="56">
        <f>0.24037830266*Deflactores!$D$5</f>
        <v>0.73139981076056682</v>
      </c>
      <c r="H234" s="56">
        <f>0.605019502299999*Deflactores!$E$5</f>
        <v>1.7449738145861082</v>
      </c>
      <c r="I234" s="56">
        <f>1.19005012462*Deflactores!$F$5</f>
        <v>3.2733689962885149</v>
      </c>
      <c r="J234" s="56">
        <f>0.807912724299999*Deflactores!$G$5</f>
        <v>2.127009957042937</v>
      </c>
      <c r="K234" s="56">
        <f>1.19006984709*Deflactores!$H$5</f>
        <v>2.9643214531811881</v>
      </c>
      <c r="L234" s="56">
        <f>1.92006559438999*Deflactores!$I$5</f>
        <v>4.4417751095174456</v>
      </c>
      <c r="M234" s="56">
        <f>3.05148939007*Deflactores!$J$5</f>
        <v>6.9206118973788717</v>
      </c>
      <c r="N234" s="56">
        <f>6.25642824614*Deflactores!$K$5</f>
        <v>13.75309754868109</v>
      </c>
      <c r="O234" s="56">
        <f>19.44710051079*Deflactores!$L$5</f>
        <v>41.213397216752945</v>
      </c>
      <c r="P234" s="56">
        <f>9.783529715*Deflactores!$M$5</f>
        <v>20.239955561721366</v>
      </c>
      <c r="Q234" s="56">
        <f>5.51859364191*Deflactores!$N$5</f>
        <v>11.199477800401795</v>
      </c>
      <c r="R234" s="56">
        <f>7.60710882539999*Deflactores!$O$5</f>
        <v>14.892848846178643</v>
      </c>
      <c r="S234" s="56">
        <f>8.1561896*Deflactores!$P$5</f>
        <v>14.955337650503246</v>
      </c>
      <c r="T234" s="56">
        <f>13.23162612418*Deflactores!$Q$5</f>
        <v>22.942553576934667</v>
      </c>
      <c r="U234" s="56">
        <f>15.3048944705*Deflactores!$R$5</f>
        <v>25.494697573770484</v>
      </c>
      <c r="V234" s="56">
        <f>14.28308803855*Deflactores!$S$5</f>
        <v>23.05929974868571</v>
      </c>
    </row>
    <row r="235" spans="2:22" x14ac:dyDescent="0.2">
      <c r="C235" s="88" t="s">
        <v>150</v>
      </c>
      <c r="D235" s="57">
        <f>239.15476422431*Deflactores!$A$5</f>
        <v>892.50538892710836</v>
      </c>
      <c r="E235" s="57">
        <f>594.4040249575*Deflactores!$B$5</f>
        <v>2060.6600890761588</v>
      </c>
      <c r="F235" s="57">
        <f>256.27602103435*Deflactores!$C$5</f>
        <v>830.38965984390734</v>
      </c>
      <c r="G235" s="57">
        <f>238.58582148553*Deflactores!$D$5</f>
        <v>725.94582270385945</v>
      </c>
      <c r="H235" s="57">
        <f>409.78370103496*Deflactores!$E$5</f>
        <v>1181.8822785577315</v>
      </c>
      <c r="I235" s="57">
        <f>767.08849781248*Deflactores!$F$5</f>
        <v>2109.9646596404409</v>
      </c>
      <c r="J235" s="57">
        <f>1051.26897507379*Deflactores!$G$5</f>
        <v>2767.6994188322342</v>
      </c>
      <c r="K235" s="57">
        <f>1609.2470181785*Deflactores!$H$5</f>
        <v>4008.4415810710184</v>
      </c>
      <c r="L235" s="57">
        <f>1270.22957897993*Deflactores!$I$5</f>
        <v>2938.4798851512046</v>
      </c>
      <c r="M235" s="57">
        <f>1947.25148996654*Deflactores!$J$5</f>
        <v>4416.2604243372552</v>
      </c>
      <c r="N235" s="57">
        <f>1934.3605943792*Deflactores!$K$5</f>
        <v>4252.1785437618155</v>
      </c>
      <c r="O235" s="57">
        <f>3164.36580043212*Deflactores!$L$5</f>
        <v>6706.1032877347689</v>
      </c>
      <c r="P235" s="57">
        <f>4944.76015204961*Deflactores!$M$5</f>
        <v>10229.613304839306</v>
      </c>
      <c r="Q235" s="57">
        <f>4996.5949702616*Deflactores!$N$5</f>
        <v>10140.129547149698</v>
      </c>
      <c r="R235" s="57">
        <f>4721.09369190794*Deflactores!$O$5</f>
        <v>9242.7407515805371</v>
      </c>
      <c r="S235" s="57">
        <f>3977.45884045568*Deflactores!$P$5</f>
        <v>7293.1408987836448</v>
      </c>
      <c r="T235" s="57">
        <f>2735.05237667384*Deflactores!$Q$5</f>
        <v>4742.3563134762326</v>
      </c>
      <c r="U235" s="57">
        <f>2315.20575671139*Deflactores!$R$5</f>
        <v>3856.6401553555447</v>
      </c>
      <c r="V235" s="57">
        <f>2102.86130212911*Deflactores!$S$5</f>
        <v>3394.9597569398852</v>
      </c>
    </row>
    <row r="236" spans="2:22" x14ac:dyDescent="0.2">
      <c r="C236" s="87" t="s">
        <v>151</v>
      </c>
      <c r="D236" s="56">
        <f>61.406353339*Deflactores!$A$5</f>
        <v>229.1633262970083</v>
      </c>
      <c r="E236" s="56">
        <f>21.2143876185*Deflactores!$B$5</f>
        <v>73.545332878188447</v>
      </c>
      <c r="F236" s="56">
        <f>55.4416432174*Deflactores!$C$5</f>
        <v>179.64289856955961</v>
      </c>
      <c r="G236" s="56">
        <f>35.2659554043*Deflactores!$D$5</f>
        <v>107.30383243232612</v>
      </c>
      <c r="H236" s="56">
        <f>9.5346043585*Deflactores!$E$5</f>
        <v>27.499336591254711</v>
      </c>
      <c r="I236" s="56">
        <f>22.65820576873*Deflactores!$F$5</f>
        <v>62.323986814059175</v>
      </c>
      <c r="J236" s="56">
        <f>105.59388483823*Deflactores!$G$5</f>
        <v>277.99938990731982</v>
      </c>
      <c r="K236" s="56">
        <f>276.6781556009*Deflactores!$H$5</f>
        <v>689.17214756750775</v>
      </c>
      <c r="L236" s="56">
        <f>203.12475467744*Deflactores!$I$5</f>
        <v>469.89773791542399</v>
      </c>
      <c r="M236" s="56">
        <f>240.12921720191*Deflactores!$J$5</f>
        <v>544.59999857239927</v>
      </c>
      <c r="N236" s="56">
        <f>175.59608600289*Deflactores!$K$5</f>
        <v>386.00140606652138</v>
      </c>
      <c r="O236" s="56">
        <f>468.302105733759*Deflactores!$L$5</f>
        <v>992.45235506129472</v>
      </c>
      <c r="P236" s="56">
        <f>732.85055749066*Deflactores!$M$5</f>
        <v>1516.1054495753312</v>
      </c>
      <c r="Q236" s="56">
        <f>551.64323463517*Deflactores!$N$5</f>
        <v>1119.5091650017125</v>
      </c>
      <c r="R236" s="56">
        <f>713.7241593518*Deflactores!$O$5</f>
        <v>1397.2964324634033</v>
      </c>
      <c r="S236" s="56">
        <f>542.36887843788*Deflactores!$P$5</f>
        <v>994.4974437773302</v>
      </c>
      <c r="T236" s="56">
        <f>330.25736957812*Deflactores!$Q$5</f>
        <v>572.63916956337789</v>
      </c>
      <c r="U236" s="56">
        <f>357.64562416536*Deflactores!$R$5</f>
        <v>595.76150912070636</v>
      </c>
      <c r="V236" s="56">
        <f>347.59598352293*Deflactores!$S$5</f>
        <v>561.17556328583464</v>
      </c>
    </row>
    <row r="237" spans="2:22" x14ac:dyDescent="0.2">
      <c r="C237" s="79" t="s">
        <v>202</v>
      </c>
      <c r="D237" s="44">
        <f t="shared" ref="D237:V237" si="63">+SUM(D208:D236)</f>
        <v>9761.9880569773832</v>
      </c>
      <c r="E237" s="44">
        <f t="shared" si="63"/>
        <v>17943.527120598246</v>
      </c>
      <c r="F237" s="44">
        <f t="shared" si="63"/>
        <v>11705.761864240181</v>
      </c>
      <c r="G237" s="44">
        <f t="shared" si="63"/>
        <v>11619.702368031618</v>
      </c>
      <c r="H237" s="44">
        <f t="shared" si="63"/>
        <v>13463.496380042769</v>
      </c>
      <c r="I237" s="44">
        <f t="shared" si="63"/>
        <v>16098.066352841113</v>
      </c>
      <c r="J237" s="44">
        <f t="shared" si="63"/>
        <v>16470.691514742637</v>
      </c>
      <c r="K237" s="44">
        <f t="shared" si="63"/>
        <v>27635.264888761129</v>
      </c>
      <c r="L237" s="44">
        <f t="shared" si="63"/>
        <v>27479.081414904624</v>
      </c>
      <c r="M237" s="44">
        <f t="shared" si="63"/>
        <v>38595.213649985526</v>
      </c>
      <c r="N237" s="44">
        <f t="shared" si="63"/>
        <v>27525.004341413511</v>
      </c>
      <c r="O237" s="44">
        <f t="shared" si="63"/>
        <v>35358.240747798009</v>
      </c>
      <c r="P237" s="44">
        <f t="shared" si="63"/>
        <v>40841.072220534246</v>
      </c>
      <c r="Q237" s="44">
        <f t="shared" si="63"/>
        <v>48086.238541230792</v>
      </c>
      <c r="R237" s="44">
        <f t="shared" si="63"/>
        <v>54487.933469558506</v>
      </c>
      <c r="S237" s="44">
        <f t="shared" si="63"/>
        <v>52778.557529457765</v>
      </c>
      <c r="T237" s="44">
        <f t="shared" si="63"/>
        <v>41440.086161055784</v>
      </c>
      <c r="U237" s="44">
        <f t="shared" si="63"/>
        <v>37198.304396510743</v>
      </c>
      <c r="V237" s="44">
        <f t="shared" si="63"/>
        <v>37499.965244990723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5.75" customHeight="1" x14ac:dyDescent="0.2">
      <c r="D242" s="164" t="s">
        <v>216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t="11.25" hidden="1" customHeight="1" x14ac:dyDescent="0.2">
      <c r="H243" s="27"/>
      <c r="I243" s="27"/>
      <c r="J243" s="27"/>
      <c r="L243" s="179"/>
      <c r="M243" s="160"/>
      <c r="N243" s="160"/>
      <c r="O243" s="160"/>
      <c r="P243" s="160"/>
      <c r="Q243" s="160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thickBot="1" x14ac:dyDescent="0.25">
      <c r="C245" s="181" t="s">
        <v>120</v>
      </c>
      <c r="D245" s="155">
        <v>2000</v>
      </c>
      <c r="E245" s="155">
        <v>2001</v>
      </c>
      <c r="F245" s="155">
        <v>2002</v>
      </c>
      <c r="G245" s="155">
        <v>2003</v>
      </c>
      <c r="H245" s="155">
        <v>2004</v>
      </c>
      <c r="I245" s="155">
        <v>2005</v>
      </c>
      <c r="J245" s="155">
        <v>2006</v>
      </c>
      <c r="K245" s="155">
        <v>2007</v>
      </c>
      <c r="L245" s="155">
        <v>2008</v>
      </c>
      <c r="M245" s="155">
        <v>2009</v>
      </c>
      <c r="N245" s="155">
        <v>2010</v>
      </c>
      <c r="O245" s="155">
        <v>2011</v>
      </c>
      <c r="P245" s="155">
        <v>2012</v>
      </c>
      <c r="Q245" s="155">
        <v>2013</v>
      </c>
      <c r="R245" s="155">
        <v>2014</v>
      </c>
      <c r="S245" s="155">
        <v>2015</v>
      </c>
      <c r="T245" s="155">
        <v>2016</v>
      </c>
      <c r="U245" s="155">
        <v>2017</v>
      </c>
      <c r="V245" s="155">
        <v>2018</v>
      </c>
    </row>
    <row r="246" spans="3:22" ht="12" customHeight="1" thickBot="1" x14ac:dyDescent="0.25">
      <c r="C246" s="162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</row>
    <row r="247" spans="3:22" x14ac:dyDescent="0.2">
      <c r="C247" s="87" t="s">
        <v>123</v>
      </c>
      <c r="D247" s="60">
        <f t="shared" ref="D247:V247" si="64">+IFERROR(IF(D208&gt;0,+((D208/D13)*100)," "),"")</f>
        <v>37.099053936193677</v>
      </c>
      <c r="E247" s="60">
        <f t="shared" si="64"/>
        <v>50.494226667437879</v>
      </c>
      <c r="F247" s="60">
        <f t="shared" si="64"/>
        <v>42.816291273955493</v>
      </c>
      <c r="G247" s="60">
        <f t="shared" si="64"/>
        <v>41.042579723748254</v>
      </c>
      <c r="H247" s="60">
        <f t="shared" si="64"/>
        <v>53.654693945053609</v>
      </c>
      <c r="I247" s="60">
        <f t="shared" si="64"/>
        <v>64.404010138229808</v>
      </c>
      <c r="J247" s="60">
        <f t="shared" si="64"/>
        <v>77.443944816447072</v>
      </c>
      <c r="K247" s="60">
        <f t="shared" si="64"/>
        <v>87.739084491309953</v>
      </c>
      <c r="L247" s="60">
        <f t="shared" si="64"/>
        <v>90.671464761177234</v>
      </c>
      <c r="M247" s="60">
        <f t="shared" si="64"/>
        <v>71.729109364817916</v>
      </c>
      <c r="N247" s="60">
        <f t="shared" si="64"/>
        <v>71.909992329072423</v>
      </c>
      <c r="O247" s="60">
        <f t="shared" si="64"/>
        <v>74.414337929759981</v>
      </c>
      <c r="P247" s="60">
        <f t="shared" si="64"/>
        <v>58.182898160258588</v>
      </c>
      <c r="Q247" s="60">
        <f t="shared" si="64"/>
        <v>59.300007202663387</v>
      </c>
      <c r="R247" s="60">
        <f t="shared" si="64"/>
        <v>52.458935018140082</v>
      </c>
      <c r="S247" s="60">
        <f t="shared" si="64"/>
        <v>53.494753071783229</v>
      </c>
      <c r="T247" s="60">
        <f t="shared" si="64"/>
        <v>39.802235291524148</v>
      </c>
      <c r="U247" s="60">
        <f t="shared" si="64"/>
        <v>54.104335627640751</v>
      </c>
      <c r="V247" s="60">
        <f t="shared" si="64"/>
        <v>51.973485058378529</v>
      </c>
    </row>
    <row r="248" spans="3:22" x14ac:dyDescent="0.2">
      <c r="C248" s="88" t="s">
        <v>124</v>
      </c>
      <c r="D248" s="62">
        <f t="shared" ref="D248:V248" si="65">+IFERROR(IF(D209&gt;0,+((D209/D14)*100)," "),"")</f>
        <v>19.37480557724944</v>
      </c>
      <c r="E248" s="62">
        <f t="shared" si="65"/>
        <v>47.815378586134251</v>
      </c>
      <c r="F248" s="62">
        <f t="shared" si="65"/>
        <v>40.890487156243275</v>
      </c>
      <c r="G248" s="62">
        <f t="shared" si="65"/>
        <v>39.721485667466958</v>
      </c>
      <c r="H248" s="62">
        <f t="shared" si="65"/>
        <v>15.258944135550042</v>
      </c>
      <c r="I248" s="62">
        <f t="shared" si="65"/>
        <v>27.700395701711567</v>
      </c>
      <c r="J248" s="62">
        <f t="shared" si="65"/>
        <v>27.831578512743661</v>
      </c>
      <c r="K248" s="62">
        <f t="shared" si="65"/>
        <v>78.084255761543659</v>
      </c>
      <c r="L248" s="62">
        <f t="shared" si="65"/>
        <v>28.92605264189546</v>
      </c>
      <c r="M248" s="62">
        <f t="shared" si="65"/>
        <v>22.825100789482342</v>
      </c>
      <c r="N248" s="62">
        <f t="shared" si="65"/>
        <v>48.18421038463336</v>
      </c>
      <c r="O248" s="62">
        <f t="shared" si="65"/>
        <v>81.665706162248625</v>
      </c>
      <c r="P248" s="62">
        <f t="shared" si="65"/>
        <v>67.152424491630953</v>
      </c>
      <c r="Q248" s="62">
        <f t="shared" si="65"/>
        <v>47.69597284533166</v>
      </c>
      <c r="R248" s="62">
        <f t="shared" si="65"/>
        <v>50.57452703973717</v>
      </c>
      <c r="S248" s="62">
        <f t="shared" si="65"/>
        <v>44.116626433629079</v>
      </c>
      <c r="T248" s="62">
        <f t="shared" si="65"/>
        <v>41.296508779731987</v>
      </c>
      <c r="U248" s="62">
        <f t="shared" si="65"/>
        <v>45.329455090273498</v>
      </c>
      <c r="V248" s="62">
        <f t="shared" si="65"/>
        <v>52.804062194177078</v>
      </c>
    </row>
    <row r="249" spans="3:22" x14ac:dyDescent="0.2">
      <c r="C249" s="87" t="s">
        <v>125</v>
      </c>
      <c r="D249" s="60">
        <f t="shared" ref="D249:V249" si="66">+IFERROR(IF(D210&gt;0,+((D210/D15)*100)," "),"")</f>
        <v>64.104460357979349</v>
      </c>
      <c r="E249" s="60">
        <f t="shared" si="66"/>
        <v>51.928768749157804</v>
      </c>
      <c r="F249" s="60">
        <f t="shared" si="66"/>
        <v>27.848722067416588</v>
      </c>
      <c r="G249" s="60">
        <f t="shared" si="66"/>
        <v>24.225124449428922</v>
      </c>
      <c r="H249" s="60">
        <f t="shared" si="66"/>
        <v>56.75939133023715</v>
      </c>
      <c r="I249" s="60">
        <f t="shared" si="66"/>
        <v>51.467405519330825</v>
      </c>
      <c r="J249" s="60">
        <f t="shared" si="66"/>
        <v>48.942487004883468</v>
      </c>
      <c r="K249" s="60">
        <f t="shared" si="66"/>
        <v>74.0504661621965</v>
      </c>
      <c r="L249" s="60">
        <f t="shared" si="66"/>
        <v>64.582906990435134</v>
      </c>
      <c r="M249" s="60">
        <f t="shared" si="66"/>
        <v>42.050995854762832</v>
      </c>
      <c r="N249" s="60">
        <f t="shared" si="66"/>
        <v>64.109691535495443</v>
      </c>
      <c r="O249" s="60">
        <f t="shared" si="66"/>
        <v>60.999650063014386</v>
      </c>
      <c r="P249" s="60">
        <f t="shared" si="66"/>
        <v>74.080908886874823</v>
      </c>
      <c r="Q249" s="60">
        <f t="shared" si="66"/>
        <v>86.30124621956476</v>
      </c>
      <c r="R249" s="60">
        <f t="shared" si="66"/>
        <v>79.154578023594865</v>
      </c>
      <c r="S249" s="60">
        <f t="shared" si="66"/>
        <v>47.621802803948334</v>
      </c>
      <c r="T249" s="60">
        <f t="shared" si="66"/>
        <v>78.529510000672971</v>
      </c>
      <c r="U249" s="60">
        <f t="shared" si="66"/>
        <v>88.178664485980946</v>
      </c>
      <c r="V249" s="60">
        <f t="shared" si="66"/>
        <v>59.722672579745272</v>
      </c>
    </row>
    <row r="250" spans="3:22" x14ac:dyDescent="0.2">
      <c r="C250" s="88" t="s">
        <v>126</v>
      </c>
      <c r="D250" s="62">
        <f t="shared" ref="D250:V250" si="67">+IFERROR(IF(D211&gt;0,+((D211/D16)*100)," "),"")</f>
        <v>9.2591284270818406</v>
      </c>
      <c r="E250" s="62">
        <f t="shared" si="67"/>
        <v>31.314973751384805</v>
      </c>
      <c r="F250" s="62">
        <f t="shared" si="67"/>
        <v>14.956042422316587</v>
      </c>
      <c r="G250" s="62">
        <f t="shared" si="67"/>
        <v>34.912227342854798</v>
      </c>
      <c r="H250" s="62">
        <f t="shared" si="67"/>
        <v>33.675702551095569</v>
      </c>
      <c r="I250" s="62">
        <f t="shared" si="67"/>
        <v>35.200937030409293</v>
      </c>
      <c r="J250" s="62">
        <f t="shared" si="67"/>
        <v>48.851667995885997</v>
      </c>
      <c r="K250" s="62">
        <f t="shared" si="67"/>
        <v>77.953690895266007</v>
      </c>
      <c r="L250" s="62">
        <f t="shared" si="67"/>
        <v>73.699785081176742</v>
      </c>
      <c r="M250" s="62">
        <f t="shared" si="67"/>
        <v>63.64109504267914</v>
      </c>
      <c r="N250" s="62">
        <f t="shared" si="67"/>
        <v>63.740708552930357</v>
      </c>
      <c r="O250" s="62">
        <f t="shared" si="67"/>
        <v>89.912688904760884</v>
      </c>
      <c r="P250" s="62">
        <f t="shared" si="67"/>
        <v>92.870846480001404</v>
      </c>
      <c r="Q250" s="62">
        <f t="shared" si="67"/>
        <v>57.177061627286406</v>
      </c>
      <c r="R250" s="62">
        <f t="shared" si="67"/>
        <v>53.065372403758815</v>
      </c>
      <c r="S250" s="62">
        <f t="shared" si="67"/>
        <v>51.774004073405003</v>
      </c>
      <c r="T250" s="62">
        <f t="shared" si="67"/>
        <v>38.476878263530729</v>
      </c>
      <c r="U250" s="62">
        <f t="shared" si="67"/>
        <v>42.704209240596455</v>
      </c>
      <c r="V250" s="62">
        <f t="shared" si="67"/>
        <v>46.602141374206937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>
        <f t="shared" si="68"/>
        <v>51.065452320000006</v>
      </c>
      <c r="J251" s="60">
        <f t="shared" si="68"/>
        <v>74.81860701411766</v>
      </c>
      <c r="K251" s="60">
        <f t="shared" si="68"/>
        <v>93.49219133194245</v>
      </c>
      <c r="L251" s="60">
        <f t="shared" si="68"/>
        <v>46.262473947643976</v>
      </c>
      <c r="M251" s="60">
        <f t="shared" si="68"/>
        <v>46.481868632318495</v>
      </c>
      <c r="N251" s="60">
        <f t="shared" si="68"/>
        <v>66.620908732875009</v>
      </c>
      <c r="O251" s="60">
        <f t="shared" si="68"/>
        <v>2.3999999959999996</v>
      </c>
      <c r="P251" s="60">
        <f t="shared" si="68"/>
        <v>7.5522709230646647</v>
      </c>
      <c r="Q251" s="60">
        <f t="shared" si="68"/>
        <v>46.351510708886131</v>
      </c>
      <c r="R251" s="60">
        <f t="shared" si="68"/>
        <v>71.512180167422613</v>
      </c>
      <c r="S251" s="60">
        <f t="shared" si="68"/>
        <v>79.385243161525338</v>
      </c>
      <c r="T251" s="60">
        <f t="shared" si="68"/>
        <v>89.423839948414468</v>
      </c>
      <c r="U251" s="60">
        <f t="shared" si="68"/>
        <v>80.536720004597228</v>
      </c>
      <c r="V251" s="60">
        <f t="shared" si="68"/>
        <v>65.555159428505732</v>
      </c>
    </row>
    <row r="252" spans="3:22" x14ac:dyDescent="0.2">
      <c r="C252" s="88" t="s">
        <v>128</v>
      </c>
      <c r="D252" s="62">
        <f t="shared" ref="D252:V252" si="69">+IFERROR(IF(D213&gt;0,+((D213/D18)*100)," "),"")</f>
        <v>16.305735460650538</v>
      </c>
      <c r="E252" s="62">
        <f t="shared" si="69"/>
        <v>53.521620087283431</v>
      </c>
      <c r="F252" s="62">
        <f t="shared" si="69"/>
        <v>40.770932521935748</v>
      </c>
      <c r="G252" s="62">
        <f t="shared" si="69"/>
        <v>50.935888801920846</v>
      </c>
      <c r="H252" s="62">
        <f t="shared" si="69"/>
        <v>55.837152726441495</v>
      </c>
      <c r="I252" s="62">
        <f t="shared" si="69"/>
        <v>76.308080396416074</v>
      </c>
      <c r="J252" s="62">
        <f t="shared" si="69"/>
        <v>76.109056966743864</v>
      </c>
      <c r="K252" s="62">
        <f t="shared" si="69"/>
        <v>64.22510089821921</v>
      </c>
      <c r="L252" s="62">
        <f t="shared" si="69"/>
        <v>73.797837843266905</v>
      </c>
      <c r="M252" s="62">
        <f t="shared" si="69"/>
        <v>76.718050621999339</v>
      </c>
      <c r="N252" s="62">
        <f t="shared" si="69"/>
        <v>84.053743124518533</v>
      </c>
      <c r="O252" s="62">
        <f t="shared" si="69"/>
        <v>77.954135825294813</v>
      </c>
      <c r="P252" s="62">
        <f t="shared" si="69"/>
        <v>71.923311547673308</v>
      </c>
      <c r="Q252" s="62">
        <f t="shared" si="69"/>
        <v>76.668966831799978</v>
      </c>
      <c r="R252" s="62">
        <f t="shared" si="69"/>
        <v>80.195007942244359</v>
      </c>
      <c r="S252" s="62">
        <f t="shared" si="69"/>
        <v>70.031985838674586</v>
      </c>
      <c r="T252" s="62">
        <f t="shared" si="69"/>
        <v>61.918567936031543</v>
      </c>
      <c r="U252" s="62">
        <f t="shared" si="69"/>
        <v>64.759390978192371</v>
      </c>
      <c r="V252" s="62">
        <f t="shared" si="69"/>
        <v>77.662020867903152</v>
      </c>
    </row>
    <row r="253" spans="3:22" x14ac:dyDescent="0.2">
      <c r="C253" s="87" t="s">
        <v>129</v>
      </c>
      <c r="D253" s="60">
        <f t="shared" ref="D253:V253" si="70">+IFERROR(IF(D214&gt;0,+((D214/D19)*100)," "),"")</f>
        <v>52.071635720486562</v>
      </c>
      <c r="E253" s="60">
        <f t="shared" si="70"/>
        <v>51.971062190948828</v>
      </c>
      <c r="F253" s="60">
        <f t="shared" si="70"/>
        <v>50.108144028353117</v>
      </c>
      <c r="G253" s="60">
        <f t="shared" si="70"/>
        <v>49.211638386810698</v>
      </c>
      <c r="H253" s="60">
        <f t="shared" si="70"/>
        <v>43.284605473130803</v>
      </c>
      <c r="I253" s="60">
        <f t="shared" si="70"/>
        <v>52.148887308081306</v>
      </c>
      <c r="J253" s="60">
        <f t="shared" si="70"/>
        <v>62.611370148941667</v>
      </c>
      <c r="K253" s="60">
        <f t="shared" si="70"/>
        <v>80.155032590702262</v>
      </c>
      <c r="L253" s="60">
        <f t="shared" si="70"/>
        <v>83.400112903769369</v>
      </c>
      <c r="M253" s="60">
        <f t="shared" si="70"/>
        <v>68.255839550938589</v>
      </c>
      <c r="N253" s="60">
        <f t="shared" si="70"/>
        <v>60.960546471461022</v>
      </c>
      <c r="O253" s="60">
        <f t="shared" si="70"/>
        <v>61.009428493815008</v>
      </c>
      <c r="P253" s="60">
        <f t="shared" si="70"/>
        <v>65.896107082982766</v>
      </c>
      <c r="Q253" s="60">
        <f t="shared" si="70"/>
        <v>68.338370709108446</v>
      </c>
      <c r="R253" s="60">
        <f t="shared" si="70"/>
        <v>60.177438815691673</v>
      </c>
      <c r="S253" s="60">
        <f t="shared" si="70"/>
        <v>57.434229861293218</v>
      </c>
      <c r="T253" s="60">
        <f t="shared" si="70"/>
        <v>56.420859046274387</v>
      </c>
      <c r="U253" s="60">
        <f t="shared" si="70"/>
        <v>61.998403821807749</v>
      </c>
      <c r="V253" s="60">
        <f t="shared" si="70"/>
        <v>66.796623616317959</v>
      </c>
    </row>
    <row r="254" spans="3:22" x14ac:dyDescent="0.2">
      <c r="C254" s="88" t="s">
        <v>130</v>
      </c>
      <c r="D254" s="62">
        <f t="shared" ref="D254:V254" si="71">+IFERROR(IF(D215&gt;0,+((D215/D20)*100)," "),"")</f>
        <v>40.736598923351139</v>
      </c>
      <c r="E254" s="62">
        <f t="shared" si="71"/>
        <v>57.622234481452693</v>
      </c>
      <c r="F254" s="62">
        <f t="shared" si="71"/>
        <v>27.186120310921808</v>
      </c>
      <c r="G254" s="62">
        <f t="shared" si="71"/>
        <v>48.734918681668653</v>
      </c>
      <c r="H254" s="62">
        <f t="shared" si="71"/>
        <v>84.806046071997528</v>
      </c>
      <c r="I254" s="62">
        <f t="shared" si="71"/>
        <v>87.570122915789483</v>
      </c>
      <c r="J254" s="62">
        <f t="shared" si="71"/>
        <v>92.403385143431819</v>
      </c>
      <c r="K254" s="62">
        <f t="shared" si="71"/>
        <v>84.999339203715181</v>
      </c>
      <c r="L254" s="62">
        <f t="shared" si="71"/>
        <v>91.890617744669754</v>
      </c>
      <c r="M254" s="62">
        <f t="shared" si="71"/>
        <v>83.898951778422372</v>
      </c>
      <c r="N254" s="62">
        <f t="shared" si="71"/>
        <v>86.905621909193968</v>
      </c>
      <c r="O254" s="62">
        <f t="shared" si="71"/>
        <v>81.014747109725903</v>
      </c>
      <c r="P254" s="62">
        <f t="shared" si="71"/>
        <v>62.189977282187272</v>
      </c>
      <c r="Q254" s="62">
        <f t="shared" si="71"/>
        <v>70.374619261157363</v>
      </c>
      <c r="R254" s="62">
        <f t="shared" si="71"/>
        <v>69.114650835189337</v>
      </c>
      <c r="S254" s="62">
        <f t="shared" si="71"/>
        <v>79.740545089734013</v>
      </c>
      <c r="T254" s="62">
        <f t="shared" si="71"/>
        <v>48.491657135704621</v>
      </c>
      <c r="U254" s="62">
        <f t="shared" si="71"/>
        <v>57.023578287916365</v>
      </c>
      <c r="V254" s="62">
        <f t="shared" si="71"/>
        <v>68.995378630883096</v>
      </c>
    </row>
    <row r="255" spans="3:22" x14ac:dyDescent="0.2">
      <c r="C255" s="87" t="s">
        <v>131</v>
      </c>
      <c r="D255" s="60">
        <f t="shared" ref="D255:V255" si="72">+IFERROR(IF(D216&gt;0,+((D216/D21)*100)," "),"")</f>
        <v>21.982564330784879</v>
      </c>
      <c r="E255" s="60">
        <f t="shared" si="72"/>
        <v>32.004789746542926</v>
      </c>
      <c r="F255" s="60">
        <f t="shared" si="72"/>
        <v>19.832426537184126</v>
      </c>
      <c r="G255" s="60">
        <f t="shared" si="72"/>
        <v>73.08809219348214</v>
      </c>
      <c r="H255" s="60">
        <f t="shared" si="72"/>
        <v>48.610973483176636</v>
      </c>
      <c r="I255" s="60">
        <f t="shared" si="72"/>
        <v>51.103543563274435</v>
      </c>
      <c r="J255" s="60">
        <f t="shared" si="72"/>
        <v>52.216045919445484</v>
      </c>
      <c r="K255" s="60">
        <f t="shared" si="72"/>
        <v>83.239318708319928</v>
      </c>
      <c r="L255" s="60">
        <f t="shared" si="72"/>
        <v>65.526445383021965</v>
      </c>
      <c r="M255" s="60">
        <f t="shared" si="72"/>
        <v>69.276226032480054</v>
      </c>
      <c r="N255" s="60">
        <f t="shared" si="72"/>
        <v>71.713559840607005</v>
      </c>
      <c r="O255" s="60">
        <f t="shared" si="72"/>
        <v>72.966309087416889</v>
      </c>
      <c r="P255" s="60">
        <f t="shared" si="72"/>
        <v>66.876073739831781</v>
      </c>
      <c r="Q255" s="60">
        <f t="shared" si="72"/>
        <v>66.638409099017736</v>
      </c>
      <c r="R255" s="60">
        <f t="shared" si="72"/>
        <v>84.396276245071689</v>
      </c>
      <c r="S255" s="60">
        <f t="shared" si="72"/>
        <v>90.179592413987677</v>
      </c>
      <c r="T255" s="60">
        <f t="shared" si="72"/>
        <v>88.527405409336026</v>
      </c>
      <c r="U255" s="60">
        <f t="shared" si="72"/>
        <v>93.576025235248423</v>
      </c>
      <c r="V255" s="60">
        <f t="shared" si="72"/>
        <v>93.882935177313513</v>
      </c>
    </row>
    <row r="256" spans="3:22" x14ac:dyDescent="0.2">
      <c r="C256" s="88" t="s">
        <v>132</v>
      </c>
      <c r="D256" s="62" t="str">
        <f t="shared" ref="D256:V256" si="73">+IFERROR(IF(D217&gt;0,+((D217/D22)*100)," "),"")</f>
        <v xml:space="preserve"> </v>
      </c>
      <c r="E256" s="62" t="str">
        <f t="shared" si="73"/>
        <v xml:space="preserve"> </v>
      </c>
      <c r="F256" s="62" t="str">
        <f t="shared" si="73"/>
        <v xml:space="preserve"> </v>
      </c>
      <c r="G256" s="62" t="str">
        <f t="shared" si="73"/>
        <v xml:space="preserve"> </v>
      </c>
      <c r="H256" s="62">
        <f t="shared" si="73"/>
        <v>28.999999999999996</v>
      </c>
      <c r="I256" s="62">
        <f t="shared" si="73"/>
        <v>9.5599208460129752</v>
      </c>
      <c r="J256" s="62" t="str">
        <f t="shared" si="73"/>
        <v xml:space="preserve"> </v>
      </c>
      <c r="K256" s="62">
        <f t="shared" si="73"/>
        <v>40.727023666115478</v>
      </c>
      <c r="L256" s="62">
        <f t="shared" si="73"/>
        <v>54.410018192893403</v>
      </c>
      <c r="M256" s="62">
        <f t="shared" si="73"/>
        <v>99.999999881807682</v>
      </c>
      <c r="N256" s="62">
        <f t="shared" si="73"/>
        <v>42.125888543458743</v>
      </c>
      <c r="O256" s="62">
        <f t="shared" si="73"/>
        <v>74.157506613999999</v>
      </c>
      <c r="P256" s="62">
        <f t="shared" si="73"/>
        <v>87.808186107929657</v>
      </c>
      <c r="Q256" s="62">
        <f t="shared" si="73"/>
        <v>94.963184166355717</v>
      </c>
      <c r="R256" s="62">
        <f t="shared" si="73"/>
        <v>88.931445705582078</v>
      </c>
      <c r="S256" s="62">
        <f t="shared" si="73"/>
        <v>88.001867394991791</v>
      </c>
      <c r="T256" s="62">
        <f t="shared" si="73"/>
        <v>78.62835366927014</v>
      </c>
      <c r="U256" s="62">
        <f t="shared" si="73"/>
        <v>84.153494581497995</v>
      </c>
      <c r="V256" s="62">
        <f t="shared" si="73"/>
        <v>73.619341543945495</v>
      </c>
    </row>
    <row r="257" spans="3:22" x14ac:dyDescent="0.2">
      <c r="C257" s="87" t="s">
        <v>133</v>
      </c>
      <c r="D257" s="60">
        <f t="shared" ref="D257:V257" si="74">+IFERROR(IF(D218&gt;0,+((D218/D23)*100)," "),"")</f>
        <v>13.181733438083853</v>
      </c>
      <c r="E257" s="60">
        <f t="shared" si="74"/>
        <v>60.527737494739597</v>
      </c>
      <c r="F257" s="60">
        <f t="shared" si="74"/>
        <v>23.815772359565401</v>
      </c>
      <c r="G257" s="60">
        <f t="shared" si="74"/>
        <v>28.446408802058006</v>
      </c>
      <c r="H257" s="60">
        <f t="shared" si="74"/>
        <v>66.82566113793807</v>
      </c>
      <c r="I257" s="60">
        <f t="shared" si="74"/>
        <v>68.964335956587504</v>
      </c>
      <c r="J257" s="60">
        <f t="shared" si="74"/>
        <v>48.531429967239035</v>
      </c>
      <c r="K257" s="60">
        <f t="shared" si="74"/>
        <v>53.790709313158516</v>
      </c>
      <c r="L257" s="60">
        <f t="shared" si="74"/>
        <v>46.510888711626272</v>
      </c>
      <c r="M257" s="60">
        <f t="shared" si="74"/>
        <v>48.924808282070067</v>
      </c>
      <c r="N257" s="60">
        <f t="shared" si="74"/>
        <v>35.742914505480869</v>
      </c>
      <c r="O257" s="60">
        <f t="shared" si="74"/>
        <v>43.401319456881971</v>
      </c>
      <c r="P257" s="60">
        <f t="shared" si="74"/>
        <v>52.636010749196416</v>
      </c>
      <c r="Q257" s="60">
        <f t="shared" si="74"/>
        <v>56.931491513600953</v>
      </c>
      <c r="R257" s="60">
        <f t="shared" si="74"/>
        <v>60.196473390977403</v>
      </c>
      <c r="S257" s="60">
        <f t="shared" si="74"/>
        <v>42.149999884037101</v>
      </c>
      <c r="T257" s="60">
        <f t="shared" si="74"/>
        <v>39.556123288841455</v>
      </c>
      <c r="U257" s="60">
        <f t="shared" si="74"/>
        <v>48.527672376332617</v>
      </c>
      <c r="V257" s="60">
        <f t="shared" si="74"/>
        <v>62.346337336715493</v>
      </c>
    </row>
    <row r="258" spans="3:22" x14ac:dyDescent="0.2">
      <c r="C258" s="88" t="s">
        <v>134</v>
      </c>
      <c r="D258" s="62">
        <f t="shared" ref="D258:V258" si="75">+IFERROR(IF(D219&gt;0,+((D219/D24)*100)," "),"")</f>
        <v>67.944615954121318</v>
      </c>
      <c r="E258" s="62">
        <f t="shared" si="75"/>
        <v>84.848983386535721</v>
      </c>
      <c r="F258" s="62">
        <f t="shared" si="75"/>
        <v>70.308907558722879</v>
      </c>
      <c r="G258" s="62">
        <f t="shared" si="75"/>
        <v>83.661170790971511</v>
      </c>
      <c r="H258" s="62">
        <f t="shared" si="75"/>
        <v>58.675862982520954</v>
      </c>
      <c r="I258" s="62">
        <f t="shared" si="75"/>
        <v>58.548836685356655</v>
      </c>
      <c r="J258" s="62">
        <f t="shared" si="75"/>
        <v>28.444023824791049</v>
      </c>
      <c r="K258" s="62">
        <f t="shared" si="75"/>
        <v>72.553133935924535</v>
      </c>
      <c r="L258" s="62">
        <f t="shared" si="75"/>
        <v>75.171582404185372</v>
      </c>
      <c r="M258" s="62">
        <f t="shared" si="75"/>
        <v>79.843558569933634</v>
      </c>
      <c r="N258" s="62">
        <f t="shared" si="75"/>
        <v>70.039898084028295</v>
      </c>
      <c r="O258" s="62">
        <f t="shared" si="75"/>
        <v>67.387354223558106</v>
      </c>
      <c r="P258" s="62">
        <f t="shared" si="75"/>
        <v>29.008562581960813</v>
      </c>
      <c r="Q258" s="62">
        <f t="shared" si="75"/>
        <v>39.583015894306428</v>
      </c>
      <c r="R258" s="62">
        <f t="shared" si="75"/>
        <v>21.287667194908757</v>
      </c>
      <c r="S258" s="62">
        <f t="shared" si="75"/>
        <v>18.968699636782212</v>
      </c>
      <c r="T258" s="62">
        <f t="shared" si="75"/>
        <v>24.697960907519239</v>
      </c>
      <c r="U258" s="62">
        <f t="shared" si="75"/>
        <v>35.895371569898025</v>
      </c>
      <c r="V258" s="62">
        <f t="shared" si="75"/>
        <v>46.932427007518157</v>
      </c>
    </row>
    <row r="259" spans="3:22" x14ac:dyDescent="0.2">
      <c r="C259" s="87" t="s">
        <v>135</v>
      </c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</row>
    <row r="260" spans="3:22" x14ac:dyDescent="0.2">
      <c r="C260" s="88" t="s">
        <v>136</v>
      </c>
      <c r="D260" s="62">
        <f t="shared" ref="D260:V260" si="76">+IFERROR(IF(D221&gt;0,+((D221/D26)*100)," "),"")</f>
        <v>48.619920933476479</v>
      </c>
      <c r="E260" s="62">
        <f t="shared" si="76"/>
        <v>74.36078176067484</v>
      </c>
      <c r="F260" s="62">
        <f t="shared" si="76"/>
        <v>41.732509131122868</v>
      </c>
      <c r="G260" s="62">
        <f t="shared" si="76"/>
        <v>42.9710373270876</v>
      </c>
      <c r="H260" s="62">
        <f t="shared" si="76"/>
        <v>50.953399122689135</v>
      </c>
      <c r="I260" s="62">
        <f t="shared" si="76"/>
        <v>59.043625544929682</v>
      </c>
      <c r="J260" s="62">
        <f t="shared" si="76"/>
        <v>74.239090312660494</v>
      </c>
      <c r="K260" s="62">
        <f t="shared" si="76"/>
        <v>79.970612521255674</v>
      </c>
      <c r="L260" s="62">
        <f t="shared" si="76"/>
        <v>76.987851713821229</v>
      </c>
      <c r="M260" s="62">
        <f t="shared" si="76"/>
        <v>76.468511549550669</v>
      </c>
      <c r="N260" s="62">
        <f t="shared" si="76"/>
        <v>80.276527697437217</v>
      </c>
      <c r="O260" s="62">
        <f t="shared" si="76"/>
        <v>78.716489385122273</v>
      </c>
      <c r="P260" s="62">
        <f t="shared" si="76"/>
        <v>71.482334337969505</v>
      </c>
      <c r="Q260" s="62">
        <f t="shared" si="76"/>
        <v>80.816333135680907</v>
      </c>
      <c r="R260" s="62">
        <f t="shared" si="76"/>
        <v>87.897360069528474</v>
      </c>
      <c r="S260" s="62">
        <f t="shared" si="76"/>
        <v>92.119931162950735</v>
      </c>
      <c r="T260" s="62">
        <f t="shared" si="76"/>
        <v>79.835485383952516</v>
      </c>
      <c r="U260" s="62">
        <f t="shared" si="76"/>
        <v>85.668729821361993</v>
      </c>
      <c r="V260" s="62">
        <f t="shared" si="76"/>
        <v>91.12555284782502</v>
      </c>
    </row>
    <row r="261" spans="3:22" x14ac:dyDescent="0.2">
      <c r="C261" s="87" t="s">
        <v>137</v>
      </c>
      <c r="D261" s="60">
        <f t="shared" ref="D261:V261" si="77">+IFERROR(IF(D222&gt;0,+((D222/D27)*100)," "),"")</f>
        <v>32.406282394175513</v>
      </c>
      <c r="E261" s="60">
        <f t="shared" si="77"/>
        <v>65.174274962043796</v>
      </c>
      <c r="F261" s="60">
        <f t="shared" si="77"/>
        <v>37.802410270753555</v>
      </c>
      <c r="G261" s="60">
        <f t="shared" si="77"/>
        <v>43.987619972117479</v>
      </c>
      <c r="H261" s="60">
        <f t="shared" si="77"/>
        <v>64.170805190269846</v>
      </c>
      <c r="I261" s="60">
        <f t="shared" si="77"/>
        <v>76.040258308395295</v>
      </c>
      <c r="J261" s="60">
        <f t="shared" si="77"/>
        <v>94.900199825249004</v>
      </c>
      <c r="K261" s="60">
        <f t="shared" si="77"/>
        <v>63.974206993177482</v>
      </c>
      <c r="L261" s="60">
        <f t="shared" si="77"/>
        <v>82.722889694994038</v>
      </c>
      <c r="M261" s="60">
        <f t="shared" si="77"/>
        <v>76.8005044523793</v>
      </c>
      <c r="N261" s="60">
        <f t="shared" si="77"/>
        <v>76.244560896430443</v>
      </c>
      <c r="O261" s="60">
        <f t="shared" si="77"/>
        <v>84.996398485756828</v>
      </c>
      <c r="P261" s="60">
        <f t="shared" si="77"/>
        <v>81.589882727259379</v>
      </c>
      <c r="Q261" s="60">
        <f t="shared" si="77"/>
        <v>74.627379937321578</v>
      </c>
      <c r="R261" s="60">
        <f t="shared" si="77"/>
        <v>81.285901790146326</v>
      </c>
      <c r="S261" s="60">
        <f t="shared" si="77"/>
        <v>75.20849884827598</v>
      </c>
      <c r="T261" s="60">
        <f t="shared" si="77"/>
        <v>80.539652375745902</v>
      </c>
      <c r="U261" s="60">
        <f t="shared" si="77"/>
        <v>65.915171467104486</v>
      </c>
      <c r="V261" s="60">
        <f t="shared" si="77"/>
        <v>93.021752929747208</v>
      </c>
    </row>
    <row r="262" spans="3:22" x14ac:dyDescent="0.2">
      <c r="C262" s="88" t="s">
        <v>138</v>
      </c>
      <c r="D262" s="62">
        <f t="shared" ref="D262:V262" si="78">+IFERROR(IF(D223&gt;0,+((D223/D28)*100)," "),"")</f>
        <v>53.399999999999991</v>
      </c>
      <c r="E262" s="62">
        <f t="shared" si="78"/>
        <v>94.999885124277782</v>
      </c>
      <c r="F262" s="62">
        <f t="shared" si="78"/>
        <v>0.94872887999999844</v>
      </c>
      <c r="G262" s="62" t="str">
        <f t="shared" si="78"/>
        <v xml:space="preserve"> </v>
      </c>
      <c r="H262" s="62" t="str">
        <f t="shared" si="78"/>
        <v xml:space="preserve"> </v>
      </c>
      <c r="I262" s="62" t="str">
        <f t="shared" si="78"/>
        <v xml:space="preserve"> </v>
      </c>
      <c r="J262" s="62" t="str">
        <f t="shared" si="78"/>
        <v xml:space="preserve"> </v>
      </c>
      <c r="K262" s="62" t="str">
        <f t="shared" si="78"/>
        <v xml:space="preserve"> </v>
      </c>
      <c r="L262" s="62">
        <f t="shared" si="78"/>
        <v>70.926257170244227</v>
      </c>
      <c r="M262" s="62">
        <f t="shared" si="78"/>
        <v>5.5729729729729716</v>
      </c>
      <c r="N262" s="62">
        <f t="shared" si="78"/>
        <v>44.056654412903221</v>
      </c>
      <c r="O262" s="62" t="str">
        <f t="shared" si="78"/>
        <v xml:space="preserve"> </v>
      </c>
      <c r="P262" s="62">
        <f t="shared" si="78"/>
        <v>67.193385953338421</v>
      </c>
      <c r="Q262" s="62">
        <f t="shared" si="78"/>
        <v>78.822926384171424</v>
      </c>
      <c r="R262" s="62">
        <f t="shared" si="78"/>
        <v>60.248886620839428</v>
      </c>
      <c r="S262" s="62">
        <f t="shared" si="78"/>
        <v>72.150588462035444</v>
      </c>
      <c r="T262" s="62">
        <f t="shared" si="78"/>
        <v>75.210390246946062</v>
      </c>
      <c r="U262" s="62">
        <f t="shared" si="78"/>
        <v>78.465566416782522</v>
      </c>
      <c r="V262" s="62">
        <f t="shared" si="78"/>
        <v>96.85860163507715</v>
      </c>
    </row>
    <row r="263" spans="3:22" x14ac:dyDescent="0.2">
      <c r="C263" s="87" t="s">
        <v>139</v>
      </c>
      <c r="D263" s="60">
        <f t="shared" ref="D263:V263" si="79">+IFERROR(IF(D224&gt;0,+((D224/D29)*100)," "),"")</f>
        <v>38.025381854028268</v>
      </c>
      <c r="E263" s="60">
        <f t="shared" si="79"/>
        <v>49.825398340540659</v>
      </c>
      <c r="F263" s="60">
        <f t="shared" si="79"/>
        <v>25.079850553987615</v>
      </c>
      <c r="G263" s="60">
        <f t="shared" si="79"/>
        <v>72.058359740323496</v>
      </c>
      <c r="H263" s="60">
        <f t="shared" si="79"/>
        <v>36.388776556411138</v>
      </c>
      <c r="I263" s="60">
        <f t="shared" si="79"/>
        <v>62.531483736695328</v>
      </c>
      <c r="J263" s="60">
        <f t="shared" si="79"/>
        <v>55.849817627236007</v>
      </c>
      <c r="K263" s="60">
        <f t="shared" si="79"/>
        <v>63.128341327781655</v>
      </c>
      <c r="L263" s="60">
        <f t="shared" si="79"/>
        <v>48.328366771458775</v>
      </c>
      <c r="M263" s="60">
        <f t="shared" si="79"/>
        <v>70.009970079630207</v>
      </c>
      <c r="N263" s="60">
        <f t="shared" si="79"/>
        <v>55.666333018247308</v>
      </c>
      <c r="O263" s="60">
        <f t="shared" si="79"/>
        <v>44.904459964663801</v>
      </c>
      <c r="P263" s="60">
        <f t="shared" si="79"/>
        <v>44.826223268434063</v>
      </c>
      <c r="Q263" s="60">
        <f t="shared" si="79"/>
        <v>35.834342006400618</v>
      </c>
      <c r="R263" s="60">
        <f t="shared" si="79"/>
        <v>33.566088451803765</v>
      </c>
      <c r="S263" s="60">
        <f t="shared" si="79"/>
        <v>48.703877748665249</v>
      </c>
      <c r="T263" s="60">
        <f t="shared" si="79"/>
        <v>32.986188403640504</v>
      </c>
      <c r="U263" s="60">
        <f t="shared" si="79"/>
        <v>26.653220835643353</v>
      </c>
      <c r="V263" s="60">
        <f t="shared" si="79"/>
        <v>31.526014489967931</v>
      </c>
    </row>
    <row r="264" spans="3:22" x14ac:dyDescent="0.2">
      <c r="C264" s="88" t="s">
        <v>140</v>
      </c>
      <c r="D264" s="62">
        <f t="shared" ref="D264:V264" si="80">+IFERROR(IF(D225&gt;0,+((D225/D30)*100)," "),"")</f>
        <v>74.944152717230949</v>
      </c>
      <c r="E264" s="62">
        <f t="shared" si="80"/>
        <v>72.11725373738534</v>
      </c>
      <c r="F264" s="62">
        <f t="shared" si="80"/>
        <v>67.235722057023111</v>
      </c>
      <c r="G264" s="62">
        <f t="shared" si="80"/>
        <v>85.057424264260632</v>
      </c>
      <c r="H264" s="62">
        <f t="shared" si="80"/>
        <v>83.022277123325068</v>
      </c>
      <c r="I264" s="62">
        <f t="shared" si="80"/>
        <v>77.611428349961386</v>
      </c>
      <c r="J264" s="62">
        <f t="shared" si="80"/>
        <v>64.61622824557233</v>
      </c>
      <c r="K264" s="62">
        <f t="shared" si="80"/>
        <v>57.566196152092289</v>
      </c>
      <c r="L264" s="62">
        <f t="shared" si="80"/>
        <v>93.694629555582125</v>
      </c>
      <c r="M264" s="62">
        <f t="shared" si="80"/>
        <v>88.317252966996676</v>
      </c>
      <c r="N264" s="62">
        <f t="shared" si="80"/>
        <v>92.477087896334453</v>
      </c>
      <c r="O264" s="62">
        <f t="shared" si="80"/>
        <v>91.267035767127538</v>
      </c>
      <c r="P264" s="62">
        <f t="shared" si="80"/>
        <v>89.600605292327344</v>
      </c>
      <c r="Q264" s="62">
        <f t="shared" si="80"/>
        <v>85.147323986789374</v>
      </c>
      <c r="R264" s="62">
        <f t="shared" si="80"/>
        <v>86.157790462005792</v>
      </c>
      <c r="S264" s="62">
        <f t="shared" si="80"/>
        <v>91.62016812999812</v>
      </c>
      <c r="T264" s="62">
        <f t="shared" si="80"/>
        <v>88.401053673014701</v>
      </c>
      <c r="U264" s="62">
        <f t="shared" si="80"/>
        <v>83.028390926945733</v>
      </c>
      <c r="V264" s="62">
        <f t="shared" si="80"/>
        <v>92.667416238096195</v>
      </c>
    </row>
    <row r="265" spans="3:22" x14ac:dyDescent="0.2">
      <c r="C265" s="87" t="s">
        <v>141</v>
      </c>
      <c r="D265" s="60">
        <f t="shared" ref="D265:V265" si="81">+IFERROR(IF(D226&gt;0,+((D226/D31)*100)," "),"")</f>
        <v>6.4027266509730065</v>
      </c>
      <c r="E265" s="60">
        <f t="shared" si="81"/>
        <v>9.7236506598786843</v>
      </c>
      <c r="F265" s="60">
        <f t="shared" si="81"/>
        <v>5.8642826621428101</v>
      </c>
      <c r="G265" s="60">
        <f t="shared" si="81"/>
        <v>8.8870284793393672</v>
      </c>
      <c r="H265" s="60">
        <f t="shared" si="81"/>
        <v>13.299353192915724</v>
      </c>
      <c r="I265" s="60">
        <f t="shared" si="81"/>
        <v>9.9031270868852239</v>
      </c>
      <c r="J265" s="60">
        <f t="shared" si="81"/>
        <v>38.332145079577437</v>
      </c>
      <c r="K265" s="60">
        <f t="shared" si="81"/>
        <v>40.434998631730942</v>
      </c>
      <c r="L265" s="60">
        <f t="shared" si="81"/>
        <v>48.649877015191251</v>
      </c>
      <c r="M265" s="60">
        <f t="shared" si="81"/>
        <v>64.838482182440018</v>
      </c>
      <c r="N265" s="60">
        <f t="shared" si="81"/>
        <v>45.327537195557824</v>
      </c>
      <c r="O265" s="60">
        <f t="shared" si="81"/>
        <v>38.662446130293269</v>
      </c>
      <c r="P265" s="60">
        <f t="shared" si="81"/>
        <v>61.266372930044255</v>
      </c>
      <c r="Q265" s="60">
        <f t="shared" si="81"/>
        <v>56.901586322244555</v>
      </c>
      <c r="R265" s="60">
        <f t="shared" si="81"/>
        <v>54.043194695113009</v>
      </c>
      <c r="S265" s="60">
        <f t="shared" si="81"/>
        <v>22.954811427255407</v>
      </c>
      <c r="T265" s="60">
        <f t="shared" si="81"/>
        <v>48.038926114476226</v>
      </c>
      <c r="U265" s="60">
        <f t="shared" si="81"/>
        <v>70.922382253126628</v>
      </c>
      <c r="V265" s="60">
        <f t="shared" si="81"/>
        <v>83.1352783129702</v>
      </c>
    </row>
    <row r="266" spans="3:22" x14ac:dyDescent="0.2">
      <c r="C266" s="88" t="s">
        <v>142</v>
      </c>
      <c r="D266" s="62">
        <f t="shared" ref="D266:V266" si="82">+IFERROR(IF(D227&gt;0,+((D227/D32)*100)," "),"")</f>
        <v>14.821739429873707</v>
      </c>
      <c r="E266" s="62">
        <f t="shared" si="82"/>
        <v>22.116944681124842</v>
      </c>
      <c r="F266" s="62">
        <f t="shared" si="82"/>
        <v>8.5382998697210688</v>
      </c>
      <c r="G266" s="62">
        <f t="shared" si="82"/>
        <v>17.888580250148944</v>
      </c>
      <c r="H266" s="62">
        <f t="shared" si="82"/>
        <v>55.125929844005015</v>
      </c>
      <c r="I266" s="62">
        <f t="shared" si="82"/>
        <v>18.433763303284938</v>
      </c>
      <c r="J266" s="62">
        <f t="shared" si="82"/>
        <v>21.112968061446395</v>
      </c>
      <c r="K266" s="62">
        <f t="shared" si="82"/>
        <v>40.795998023634006</v>
      </c>
      <c r="L266" s="62">
        <f t="shared" si="82"/>
        <v>28.647091715634058</v>
      </c>
      <c r="M266" s="62">
        <f t="shared" si="82"/>
        <v>28.910241184259849</v>
      </c>
      <c r="N266" s="62">
        <f t="shared" si="82"/>
        <v>35.957926240754496</v>
      </c>
      <c r="O266" s="62">
        <f t="shared" si="82"/>
        <v>32.085981372711117</v>
      </c>
      <c r="P266" s="62">
        <f t="shared" si="82"/>
        <v>47.290047621372381</v>
      </c>
      <c r="Q266" s="62">
        <f t="shared" si="82"/>
        <v>51.989228250017419</v>
      </c>
      <c r="R266" s="62">
        <f t="shared" si="82"/>
        <v>75.802264085224806</v>
      </c>
      <c r="S266" s="62">
        <f t="shared" si="82"/>
        <v>63.946657576604139</v>
      </c>
      <c r="T266" s="62">
        <f t="shared" si="82"/>
        <v>52.426503193430129</v>
      </c>
      <c r="U266" s="62">
        <f t="shared" si="82"/>
        <v>62.212552718574024</v>
      </c>
      <c r="V266" s="62">
        <f t="shared" si="82"/>
        <v>56.878400706374102</v>
      </c>
    </row>
    <row r="267" spans="3:22" x14ac:dyDescent="0.2">
      <c r="C267" s="87" t="s">
        <v>143</v>
      </c>
      <c r="D267" s="60">
        <f t="shared" ref="D267:V267" si="83">+IFERROR(IF(D228&gt;0,+((D228/D33)*100)," "),"")</f>
        <v>64.58012444228919</v>
      </c>
      <c r="E267" s="60">
        <f t="shared" si="83"/>
        <v>49.997195680537999</v>
      </c>
      <c r="F267" s="60">
        <f t="shared" si="83"/>
        <v>48.183877831121997</v>
      </c>
      <c r="G267" s="60">
        <f t="shared" si="83"/>
        <v>59.392378621525886</v>
      </c>
      <c r="H267" s="60">
        <f t="shared" si="83"/>
        <v>63.740485059131466</v>
      </c>
      <c r="I267" s="60">
        <f t="shared" si="83"/>
        <v>76.773198671949132</v>
      </c>
      <c r="J267" s="60">
        <f t="shared" si="83"/>
        <v>85.00096669103047</v>
      </c>
      <c r="K267" s="60">
        <f t="shared" si="83"/>
        <v>84.314733808307835</v>
      </c>
      <c r="L267" s="60">
        <f t="shared" si="83"/>
        <v>42.110741797044469</v>
      </c>
      <c r="M267" s="60">
        <f t="shared" si="83"/>
        <v>54.791765842045947</v>
      </c>
      <c r="N267" s="60">
        <f t="shared" si="83"/>
        <v>58.623818828911901</v>
      </c>
      <c r="O267" s="60">
        <f t="shared" si="83"/>
        <v>66.016694115934854</v>
      </c>
      <c r="P267" s="60">
        <f t="shared" si="83"/>
        <v>18.0093831212988</v>
      </c>
      <c r="Q267" s="60">
        <f t="shared" si="83"/>
        <v>71.812399696194731</v>
      </c>
      <c r="R267" s="60">
        <f t="shared" si="83"/>
        <v>74.054383446350627</v>
      </c>
      <c r="S267" s="60">
        <f t="shared" si="83"/>
        <v>47.669214715740651</v>
      </c>
      <c r="T267" s="60">
        <f t="shared" si="83"/>
        <v>61.476874216850895</v>
      </c>
      <c r="U267" s="60">
        <f t="shared" si="83"/>
        <v>52.235287848021407</v>
      </c>
      <c r="V267" s="60">
        <f t="shared" si="83"/>
        <v>3.1667350353548898</v>
      </c>
    </row>
    <row r="268" spans="3:22" x14ac:dyDescent="0.2">
      <c r="C268" s="88" t="s">
        <v>144</v>
      </c>
      <c r="D268" s="62">
        <f t="shared" ref="D268:V268" si="84">+IFERROR(IF(D229&gt;0,+((D229/D34)*100)," "),"")</f>
        <v>13.985294214522401</v>
      </c>
      <c r="E268" s="62">
        <f t="shared" si="84"/>
        <v>73.747265066863775</v>
      </c>
      <c r="F268" s="62">
        <f t="shared" si="84"/>
        <v>36.32029967947669</v>
      </c>
      <c r="G268" s="62">
        <f t="shared" si="84"/>
        <v>39.971840485615687</v>
      </c>
      <c r="H268" s="62">
        <f t="shared" si="84"/>
        <v>36.577170716514388</v>
      </c>
      <c r="I268" s="62">
        <f t="shared" si="84"/>
        <v>36.465909737511694</v>
      </c>
      <c r="J268" s="62">
        <f t="shared" si="84"/>
        <v>48.076967916871489</v>
      </c>
      <c r="K268" s="62">
        <f t="shared" si="84"/>
        <v>55.190799319271214</v>
      </c>
      <c r="L268" s="62">
        <f t="shared" si="84"/>
        <v>58.402309997319236</v>
      </c>
      <c r="M268" s="62">
        <f t="shared" si="84"/>
        <v>67.290691103497522</v>
      </c>
      <c r="N268" s="62">
        <f t="shared" si="84"/>
        <v>37.075140650558545</v>
      </c>
      <c r="O268" s="62">
        <f t="shared" si="84"/>
        <v>15.606057493292205</v>
      </c>
      <c r="P268" s="62">
        <f t="shared" si="84"/>
        <v>18.940680530956239</v>
      </c>
      <c r="Q268" s="62">
        <f t="shared" si="84"/>
        <v>31.521835747942411</v>
      </c>
      <c r="R268" s="62">
        <f t="shared" si="84"/>
        <v>43.474231170922565</v>
      </c>
      <c r="S268" s="62">
        <f t="shared" si="84"/>
        <v>26.711259359461227</v>
      </c>
      <c r="T268" s="62">
        <f t="shared" si="84"/>
        <v>35.53712567133563</v>
      </c>
      <c r="U268" s="62">
        <f t="shared" si="84"/>
        <v>38.015504430966644</v>
      </c>
      <c r="V268" s="62">
        <f t="shared" si="84"/>
        <v>51.204978626295237</v>
      </c>
    </row>
    <row r="269" spans="3:22" x14ac:dyDescent="0.2">
      <c r="C269" s="87" t="s">
        <v>145</v>
      </c>
      <c r="D269" s="60">
        <f t="shared" ref="D269:V269" si="85">+IFERROR(IF(D230&gt;0,+((D230/D35)*100)," "),"")</f>
        <v>16.744298652558683</v>
      </c>
      <c r="E269" s="60" t="str">
        <f t="shared" si="85"/>
        <v xml:space="preserve"> </v>
      </c>
      <c r="F269" s="60" t="str">
        <f t="shared" si="85"/>
        <v xml:space="preserve"> </v>
      </c>
      <c r="G269" s="60">
        <f t="shared" si="85"/>
        <v>76.167329565111018</v>
      </c>
      <c r="H269" s="60">
        <f t="shared" si="85"/>
        <v>85.000000000000014</v>
      </c>
      <c r="I269" s="60">
        <f t="shared" si="85"/>
        <v>93.277979428070168</v>
      </c>
      <c r="J269" s="60">
        <f t="shared" si="85"/>
        <v>99.829380949005909</v>
      </c>
      <c r="K269" s="60">
        <f t="shared" si="85"/>
        <v>1.2642962257982533</v>
      </c>
      <c r="L269" s="60">
        <f t="shared" si="85"/>
        <v>64.415053448272758</v>
      </c>
      <c r="M269" s="60">
        <f t="shared" si="85"/>
        <v>34.809944639465087</v>
      </c>
      <c r="N269" s="60">
        <f t="shared" si="85"/>
        <v>63.751536281214527</v>
      </c>
      <c r="O269" s="60">
        <f t="shared" si="85"/>
        <v>62.686599811080143</v>
      </c>
      <c r="P269" s="60">
        <f t="shared" si="85"/>
        <v>65.597194573703177</v>
      </c>
      <c r="Q269" s="60">
        <f t="shared" si="85"/>
        <v>82.912838464694772</v>
      </c>
      <c r="R269" s="60">
        <f t="shared" si="85"/>
        <v>74.350221607246723</v>
      </c>
      <c r="S269" s="60">
        <f t="shared" si="85"/>
        <v>67.371891771417381</v>
      </c>
      <c r="T269" s="60">
        <f t="shared" si="85"/>
        <v>62.045454545454547</v>
      </c>
      <c r="U269" s="60">
        <f t="shared" si="85"/>
        <v>72.084677729212927</v>
      </c>
      <c r="V269" s="60">
        <f t="shared" si="85"/>
        <v>71</v>
      </c>
    </row>
    <row r="270" spans="3:22" x14ac:dyDescent="0.2">
      <c r="C270" s="88" t="s">
        <v>146</v>
      </c>
      <c r="D270" s="62" t="str">
        <f t="shared" ref="D270:V270" si="86">+IFERROR(IF(D231&gt;0,+((D231/D36)*100)," "),"")</f>
        <v xml:space="preserve"> </v>
      </c>
      <c r="E270" s="62" t="str">
        <f t="shared" si="86"/>
        <v xml:space="preserve"> </v>
      </c>
      <c r="F270" s="62" t="str">
        <f t="shared" si="86"/>
        <v xml:space="preserve"> </v>
      </c>
      <c r="G270" s="62" t="str">
        <f t="shared" si="86"/>
        <v xml:space="preserve"> </v>
      </c>
      <c r="H270" s="62">
        <f t="shared" si="86"/>
        <v>81.170134493000006</v>
      </c>
      <c r="I270" s="62">
        <f t="shared" si="86"/>
        <v>97.007569971980672</v>
      </c>
      <c r="J270" s="62">
        <f t="shared" si="86"/>
        <v>99.734089129472295</v>
      </c>
      <c r="K270" s="62">
        <f t="shared" si="86"/>
        <v>28.178776996845428</v>
      </c>
      <c r="L270" s="62">
        <f t="shared" si="86"/>
        <v>59.669573594945092</v>
      </c>
      <c r="M270" s="62">
        <f t="shared" si="86"/>
        <v>65.815125068691103</v>
      </c>
      <c r="N270" s="62">
        <f t="shared" si="86"/>
        <v>68.228084687263987</v>
      </c>
      <c r="O270" s="62">
        <f t="shared" si="86"/>
        <v>82.645050575843442</v>
      </c>
      <c r="P270" s="62">
        <f t="shared" si="86"/>
        <v>49.595679039155705</v>
      </c>
      <c r="Q270" s="62">
        <f t="shared" si="86"/>
        <v>75.955625433820714</v>
      </c>
      <c r="R270" s="62">
        <f t="shared" si="86"/>
        <v>89.394323102465194</v>
      </c>
      <c r="S270" s="62">
        <f t="shared" si="86"/>
        <v>83.168661390475663</v>
      </c>
      <c r="T270" s="62">
        <f t="shared" si="86"/>
        <v>87.153457728019433</v>
      </c>
      <c r="U270" s="62">
        <f t="shared" si="86"/>
        <v>98.822436202125161</v>
      </c>
      <c r="V270" s="62">
        <f t="shared" si="86"/>
        <v>97.522711889104684</v>
      </c>
    </row>
    <row r="271" spans="3:22" x14ac:dyDescent="0.2">
      <c r="C271" s="90" t="s">
        <v>147</v>
      </c>
      <c r="D271" s="61">
        <f t="shared" ref="D271:V271" si="87">+IFERROR(IF(D232&gt;0,+((D232/D37)*100)," "),"")</f>
        <v>54.532886807486612</v>
      </c>
      <c r="E271" s="61">
        <f t="shared" si="87"/>
        <v>74.583154527591972</v>
      </c>
      <c r="F271" s="61">
        <f t="shared" si="87"/>
        <v>66.952346070329781</v>
      </c>
      <c r="G271" s="61">
        <f t="shared" si="87"/>
        <v>69.97257009175685</v>
      </c>
      <c r="H271" s="61">
        <f t="shared" si="87"/>
        <v>71.354758959650979</v>
      </c>
      <c r="I271" s="61">
        <f t="shared" si="87"/>
        <v>81.396746605067676</v>
      </c>
      <c r="J271" s="61">
        <f t="shared" si="87"/>
        <v>64.389678281487335</v>
      </c>
      <c r="K271" s="61">
        <f t="shared" si="87"/>
        <v>64.916572046197203</v>
      </c>
      <c r="L271" s="61">
        <f t="shared" si="87"/>
        <v>66.37644388175417</v>
      </c>
      <c r="M271" s="61">
        <f t="shared" si="87"/>
        <v>69.347914305119303</v>
      </c>
      <c r="N271" s="61">
        <f t="shared" si="87"/>
        <v>80.040133610082222</v>
      </c>
      <c r="O271" s="61">
        <f t="shared" si="87"/>
        <v>70.306731080275526</v>
      </c>
      <c r="P271" s="61">
        <f t="shared" si="87"/>
        <v>84.578459917293316</v>
      </c>
      <c r="Q271" s="61">
        <f t="shared" si="87"/>
        <v>88.603147408003068</v>
      </c>
      <c r="R271" s="61">
        <f t="shared" si="87"/>
        <v>90.089012730036771</v>
      </c>
      <c r="S271" s="61">
        <f t="shared" si="87"/>
        <v>92.961580871726213</v>
      </c>
      <c r="T271" s="61">
        <f t="shared" si="87"/>
        <v>95.176475573454738</v>
      </c>
      <c r="U271" s="61">
        <f t="shared" si="87"/>
        <v>88.34887476709396</v>
      </c>
      <c r="V271" s="61">
        <f t="shared" si="87"/>
        <v>93.049068151889685</v>
      </c>
    </row>
    <row r="272" spans="3:22" ht="22.5" customHeight="1" x14ac:dyDescent="0.2">
      <c r="C272" s="89" t="s">
        <v>148</v>
      </c>
      <c r="D272" s="63" t="str">
        <f t="shared" ref="D272:V272" si="88">+IFERROR(IF(D233&gt;0,+((D233/D38)*100)," "),"")</f>
        <v xml:space="preserve"> </v>
      </c>
      <c r="E272" s="63" t="str">
        <f t="shared" si="88"/>
        <v xml:space="preserve"> </v>
      </c>
      <c r="F272" s="63" t="str">
        <f t="shared" si="88"/>
        <v xml:space="preserve"> </v>
      </c>
      <c r="G272" s="63" t="str">
        <f t="shared" si="88"/>
        <v xml:space="preserve"> </v>
      </c>
      <c r="H272" s="63" t="str">
        <f t="shared" si="88"/>
        <v xml:space="preserve"> </v>
      </c>
      <c r="I272" s="63" t="str">
        <f t="shared" si="88"/>
        <v xml:space="preserve"> </v>
      </c>
      <c r="J272" s="63" t="str">
        <f t="shared" si="88"/>
        <v xml:space="preserve"> </v>
      </c>
      <c r="K272" s="63" t="str">
        <f t="shared" si="88"/>
        <v xml:space="preserve"> </v>
      </c>
      <c r="L272" s="63" t="str">
        <f t="shared" si="88"/>
        <v xml:space="preserve"> </v>
      </c>
      <c r="M272" s="63" t="str">
        <f t="shared" si="88"/>
        <v xml:space="preserve"> </v>
      </c>
      <c r="N272" s="63" t="str">
        <f t="shared" si="88"/>
        <v xml:space="preserve"> </v>
      </c>
      <c r="O272" s="63" t="str">
        <f t="shared" si="88"/>
        <v xml:space="preserve"> </v>
      </c>
      <c r="P272" s="63" t="str">
        <f t="shared" si="88"/>
        <v xml:space="preserve"> </v>
      </c>
      <c r="Q272" s="63" t="str">
        <f t="shared" si="88"/>
        <v xml:space="preserve"> </v>
      </c>
      <c r="R272" s="63" t="str">
        <f t="shared" si="88"/>
        <v xml:space="preserve"> </v>
      </c>
      <c r="S272" s="63" t="str">
        <f t="shared" si="88"/>
        <v xml:space="preserve"> </v>
      </c>
      <c r="T272" s="63" t="str">
        <f t="shared" si="88"/>
        <v xml:space="preserve"> </v>
      </c>
      <c r="U272" s="63" t="str">
        <f t="shared" si="88"/>
        <v xml:space="preserve"> </v>
      </c>
      <c r="V272" s="63">
        <f t="shared" si="88"/>
        <v>56.255603915121867</v>
      </c>
    </row>
    <row r="273" spans="3:22" x14ac:dyDescent="0.2">
      <c r="C273" s="87" t="s">
        <v>149</v>
      </c>
      <c r="D273" s="60">
        <f t="shared" ref="D273:V273" si="89">+IFERROR(IF(D234&gt;0,+((D234/D39)*100)," "),"")</f>
        <v>51.428571428571423</v>
      </c>
      <c r="E273" s="60">
        <f t="shared" si="89"/>
        <v>77.777777777777786</v>
      </c>
      <c r="F273" s="60">
        <f t="shared" si="89"/>
        <v>19.351386419000001</v>
      </c>
      <c r="G273" s="60">
        <f t="shared" si="89"/>
        <v>63.019711678876931</v>
      </c>
      <c r="H273" s="60">
        <f t="shared" si="89"/>
        <v>49.510597569558023</v>
      </c>
      <c r="I273" s="60">
        <f t="shared" si="89"/>
        <v>29.897187521355328</v>
      </c>
      <c r="J273" s="60">
        <f t="shared" si="89"/>
        <v>32.516238536495898</v>
      </c>
      <c r="K273" s="60">
        <f t="shared" si="89"/>
        <v>54.094083958636361</v>
      </c>
      <c r="L273" s="60">
        <f t="shared" si="89"/>
        <v>87.674228054337462</v>
      </c>
      <c r="M273" s="60">
        <f t="shared" si="89"/>
        <v>23.349065652077435</v>
      </c>
      <c r="N273" s="60">
        <f t="shared" si="89"/>
        <v>39.831332538742025</v>
      </c>
      <c r="O273" s="60">
        <f t="shared" si="89"/>
        <v>61.996424746127452</v>
      </c>
      <c r="P273" s="60">
        <f t="shared" si="89"/>
        <v>54.531685608383029</v>
      </c>
      <c r="Q273" s="60">
        <f t="shared" si="89"/>
        <v>30.393752502671145</v>
      </c>
      <c r="R273" s="60">
        <f t="shared" si="89"/>
        <v>81.796869090322474</v>
      </c>
      <c r="S273" s="60">
        <f t="shared" si="89"/>
        <v>69.896217327962972</v>
      </c>
      <c r="T273" s="60">
        <f t="shared" si="89"/>
        <v>95.542105019712622</v>
      </c>
      <c r="U273" s="60">
        <f t="shared" si="89"/>
        <v>93.562137611566214</v>
      </c>
      <c r="V273" s="60">
        <f t="shared" si="89"/>
        <v>91.34745483851367</v>
      </c>
    </row>
    <row r="274" spans="3:22" x14ac:dyDescent="0.2">
      <c r="C274" s="88" t="s">
        <v>150</v>
      </c>
      <c r="D274" s="62">
        <f t="shared" ref="D274:V274" si="90">+IFERROR(IF(D235&gt;0,+((D235/D40)*100)," "),"")</f>
        <v>39.934363425481898</v>
      </c>
      <c r="E274" s="62">
        <f t="shared" si="90"/>
        <v>63.828793038900379</v>
      </c>
      <c r="F274" s="62">
        <f t="shared" si="90"/>
        <v>35.935872829804879</v>
      </c>
      <c r="G274" s="62">
        <f t="shared" si="90"/>
        <v>69.678124781356161</v>
      </c>
      <c r="H274" s="62">
        <f t="shared" si="90"/>
        <v>67.638693144251704</v>
      </c>
      <c r="I274" s="62">
        <f t="shared" si="90"/>
        <v>72.668925199291465</v>
      </c>
      <c r="J274" s="62">
        <f t="shared" si="90"/>
        <v>54.052168338443728</v>
      </c>
      <c r="K274" s="62">
        <f t="shared" si="90"/>
        <v>71.33385992693708</v>
      </c>
      <c r="L274" s="62">
        <f t="shared" si="90"/>
        <v>73.657934192652874</v>
      </c>
      <c r="M274" s="62">
        <f t="shared" si="90"/>
        <v>71.118898543595023</v>
      </c>
      <c r="N274" s="62">
        <f t="shared" si="90"/>
        <v>67.918614653948467</v>
      </c>
      <c r="O274" s="62">
        <f t="shared" si="90"/>
        <v>73.093816304230074</v>
      </c>
      <c r="P274" s="62">
        <f t="shared" si="90"/>
        <v>72.675639193685512</v>
      </c>
      <c r="Q274" s="62">
        <f t="shared" si="90"/>
        <v>69.905493600792568</v>
      </c>
      <c r="R274" s="62">
        <f t="shared" si="90"/>
        <v>79.127605239025485</v>
      </c>
      <c r="S274" s="62">
        <f t="shared" si="90"/>
        <v>73.07408639784569</v>
      </c>
      <c r="T274" s="62">
        <f t="shared" si="90"/>
        <v>67.578064561984746</v>
      </c>
      <c r="U274" s="62">
        <f t="shared" si="90"/>
        <v>58.894220643998196</v>
      </c>
      <c r="V274" s="62">
        <f t="shared" si="90"/>
        <v>67.183184142142579</v>
      </c>
    </row>
    <row r="275" spans="3:22" x14ac:dyDescent="0.2">
      <c r="C275" s="87" t="s">
        <v>151</v>
      </c>
      <c r="D275" s="60">
        <f t="shared" ref="D275:V275" si="91">+IFERROR(IF(D236&gt;0,+((D236/D41)*100)," "),"")</f>
        <v>43.040842892925745</v>
      </c>
      <c r="E275" s="60">
        <f t="shared" si="91"/>
        <v>14.164833354588433</v>
      </c>
      <c r="F275" s="60">
        <f t="shared" si="91"/>
        <v>37.349530596469954</v>
      </c>
      <c r="G275" s="60">
        <f t="shared" si="91"/>
        <v>18.079571394020729</v>
      </c>
      <c r="H275" s="60">
        <f t="shared" si="91"/>
        <v>4.2751927339771134</v>
      </c>
      <c r="I275" s="60">
        <f t="shared" si="91"/>
        <v>12.835692263832318</v>
      </c>
      <c r="J275" s="60">
        <f t="shared" si="91"/>
        <v>53.492342876509625</v>
      </c>
      <c r="K275" s="60">
        <f t="shared" si="91"/>
        <v>74.879067821623821</v>
      </c>
      <c r="L275" s="60">
        <f t="shared" si="91"/>
        <v>46.878533200932431</v>
      </c>
      <c r="M275" s="60">
        <f t="shared" si="91"/>
        <v>33.620806969470536</v>
      </c>
      <c r="N275" s="60">
        <f t="shared" si="91"/>
        <v>28.177398627722845</v>
      </c>
      <c r="O275" s="60">
        <f t="shared" si="91"/>
        <v>57.316615592943165</v>
      </c>
      <c r="P275" s="60">
        <f t="shared" si="91"/>
        <v>42.709448037640371</v>
      </c>
      <c r="Q275" s="60">
        <f t="shared" si="91"/>
        <v>25.901049819547545</v>
      </c>
      <c r="R275" s="60">
        <f t="shared" si="91"/>
        <v>32.499995098232468</v>
      </c>
      <c r="S275" s="60">
        <f t="shared" si="91"/>
        <v>23.725694563739747</v>
      </c>
      <c r="T275" s="60">
        <f t="shared" si="91"/>
        <v>22.109144252663988</v>
      </c>
      <c r="U275" s="60">
        <f t="shared" si="91"/>
        <v>18.815770110885687</v>
      </c>
      <c r="V275" s="60">
        <f t="shared" si="91"/>
        <v>18.897253307643837</v>
      </c>
    </row>
    <row r="276" spans="3:22" x14ac:dyDescent="0.2">
      <c r="C276" s="91" t="s">
        <v>202</v>
      </c>
      <c r="D276" s="64">
        <f t="shared" ref="D276:V276" si="92">+IFERROR(IF(D237&gt;0,+((D237/D42)*100)," "),"")</f>
        <v>49.518796976516214</v>
      </c>
      <c r="E276" s="64">
        <f t="shared" si="92"/>
        <v>59.611200935830134</v>
      </c>
      <c r="F276" s="64">
        <f t="shared" si="92"/>
        <v>46.970355820624377</v>
      </c>
      <c r="G276" s="64">
        <f t="shared" si="92"/>
        <v>60.89861351166703</v>
      </c>
      <c r="H276" s="64">
        <f t="shared" si="92"/>
        <v>58.614949680972373</v>
      </c>
      <c r="I276" s="64">
        <f t="shared" si="92"/>
        <v>63.866228077868456</v>
      </c>
      <c r="J276" s="64">
        <f t="shared" si="92"/>
        <v>58.20127621985192</v>
      </c>
      <c r="K276" s="64">
        <f t="shared" si="92"/>
        <v>68.800021416312703</v>
      </c>
      <c r="L276" s="64">
        <f t="shared" si="92"/>
        <v>73.238123681284748</v>
      </c>
      <c r="M276" s="64">
        <f t="shared" si="92"/>
        <v>71.80844076254192</v>
      </c>
      <c r="N276" s="64">
        <f t="shared" si="92"/>
        <v>68.787668702205679</v>
      </c>
      <c r="O276" s="64">
        <f t="shared" si="92"/>
        <v>66.636864632228907</v>
      </c>
      <c r="P276" s="64">
        <f t="shared" si="92"/>
        <v>66.140001945763402</v>
      </c>
      <c r="Q276" s="64">
        <f t="shared" si="92"/>
        <v>68.237607228302963</v>
      </c>
      <c r="R276" s="64">
        <f t="shared" si="92"/>
        <v>72.142620167932236</v>
      </c>
      <c r="S276" s="64">
        <f t="shared" si="92"/>
        <v>72.450871376606258</v>
      </c>
      <c r="T276" s="64">
        <f t="shared" si="92"/>
        <v>71.538721199321813</v>
      </c>
      <c r="U276" s="64">
        <f t="shared" si="92"/>
        <v>70.43928467858872</v>
      </c>
      <c r="V276" s="64">
        <f t="shared" si="92"/>
        <v>75.04654621120153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K245:K246"/>
    <mergeCell ref="G51:G52"/>
    <mergeCell ref="Q90:Q91"/>
    <mergeCell ref="I51:I52"/>
    <mergeCell ref="M206:M207"/>
    <mergeCell ref="C51:C52"/>
    <mergeCell ref="G206:G207"/>
    <mergeCell ref="G129:G130"/>
    <mergeCell ref="O51:O52"/>
    <mergeCell ref="L6:L7"/>
    <mergeCell ref="S206:S207"/>
    <mergeCell ref="D168:D169"/>
    <mergeCell ref="N6:N7"/>
    <mergeCell ref="U206:U207"/>
    <mergeCell ref="P206:P207"/>
    <mergeCell ref="Q11:Q12"/>
    <mergeCell ref="N168:N169"/>
    <mergeCell ref="P168:P169"/>
    <mergeCell ref="N90:N91"/>
    <mergeCell ref="J129:J130"/>
    <mergeCell ref="J51:J52"/>
    <mergeCell ref="N206:N207"/>
    <mergeCell ref="I6:I7"/>
    <mergeCell ref="K6:K7"/>
    <mergeCell ref="Q168:Q169"/>
    <mergeCell ref="N129:N130"/>
    <mergeCell ref="P129:P130"/>
    <mergeCell ref="K129:K130"/>
    <mergeCell ref="D9:V9"/>
    <mergeCell ref="C245:C246"/>
    <mergeCell ref="G90:G91"/>
    <mergeCell ref="G11:G12"/>
    <mergeCell ref="I206:I207"/>
    <mergeCell ref="O206:O207"/>
    <mergeCell ref="L245:L246"/>
    <mergeCell ref="L206:L207"/>
    <mergeCell ref="R206:R207"/>
    <mergeCell ref="N245:N246"/>
    <mergeCell ref="F245:F246"/>
    <mergeCell ref="O11:O12"/>
    <mergeCell ref="P245:P246"/>
    <mergeCell ref="J90:J91"/>
    <mergeCell ref="O129:O130"/>
    <mergeCell ref="L90:L91"/>
    <mergeCell ref="C206:C207"/>
    <mergeCell ref="C90:C91"/>
    <mergeCell ref="P51:P52"/>
    <mergeCell ref="D11:D12"/>
    <mergeCell ref="P90:P91"/>
    <mergeCell ref="C168:C169"/>
    <mergeCell ref="P11:P12"/>
    <mergeCell ref="D206:D207"/>
    <mergeCell ref="C129:C130"/>
    <mergeCell ref="G6:G7"/>
    <mergeCell ref="M168:M169"/>
    <mergeCell ref="O168:O169"/>
    <mergeCell ref="L129:L130"/>
    <mergeCell ref="Q6:Q7"/>
    <mergeCell ref="S6:S7"/>
    <mergeCell ref="O6:O7"/>
    <mergeCell ref="S129:S130"/>
    <mergeCell ref="U129:U130"/>
    <mergeCell ref="S51:S52"/>
    <mergeCell ref="U51:U52"/>
    <mergeCell ref="T90:T91"/>
    <mergeCell ref="S168:S169"/>
    <mergeCell ref="U6:U7"/>
    <mergeCell ref="D165:V165"/>
    <mergeCell ref="P6:P7"/>
    <mergeCell ref="M129:M130"/>
    <mergeCell ref="R6:R7"/>
    <mergeCell ref="H11:H12"/>
    <mergeCell ref="M90:M91"/>
    <mergeCell ref="J11:J12"/>
    <mergeCell ref="K90:K91"/>
    <mergeCell ref="J168:J169"/>
    <mergeCell ref="H90:H91"/>
    <mergeCell ref="D6:D7"/>
    <mergeCell ref="F206:F207"/>
    <mergeCell ref="F6:F7"/>
    <mergeCell ref="I129:I130"/>
    <mergeCell ref="M245:M246"/>
    <mergeCell ref="O245:O246"/>
    <mergeCell ref="E206:E207"/>
    <mergeCell ref="V129:V130"/>
    <mergeCell ref="A7:C7"/>
    <mergeCell ref="I11:I12"/>
    <mergeCell ref="F168:F169"/>
    <mergeCell ref="D87:V87"/>
    <mergeCell ref="D90:D91"/>
    <mergeCell ref="S11:S12"/>
    <mergeCell ref="U11:U12"/>
    <mergeCell ref="L166:Q166"/>
    <mergeCell ref="E51:E52"/>
    <mergeCell ref="M11:M12"/>
    <mergeCell ref="F129:F130"/>
    <mergeCell ref="H129:H130"/>
    <mergeCell ref="K11:K12"/>
    <mergeCell ref="F51:F52"/>
    <mergeCell ref="H51:H52"/>
    <mergeCell ref="R51:R52"/>
    <mergeCell ref="Q129:Q130"/>
    <mergeCell ref="L11:L12"/>
    <mergeCell ref="N11:N12"/>
    <mergeCell ref="I90:I91"/>
    <mergeCell ref="R245:R246"/>
    <mergeCell ref="T245:T246"/>
    <mergeCell ref="L243:Q243"/>
    <mergeCell ref="D48:V48"/>
    <mergeCell ref="O90:O91"/>
    <mergeCell ref="R11:R12"/>
    <mergeCell ref="F11:F12"/>
    <mergeCell ref="I245:I246"/>
    <mergeCell ref="V206:V207"/>
    <mergeCell ref="V245:V246"/>
    <mergeCell ref="V11:V12"/>
    <mergeCell ref="J206:J207"/>
    <mergeCell ref="V168:V169"/>
    <mergeCell ref="J245:J246"/>
    <mergeCell ref="T206:T207"/>
    <mergeCell ref="E245:E246"/>
    <mergeCell ref="L168:L169"/>
    <mergeCell ref="S245:S246"/>
    <mergeCell ref="U245:U246"/>
    <mergeCell ref="T11:T12"/>
    <mergeCell ref="D242:V242"/>
    <mergeCell ref="D4:V4"/>
    <mergeCell ref="K51:K52"/>
    <mergeCell ref="U90:U91"/>
    <mergeCell ref="S90:S91"/>
    <mergeCell ref="H6:H7"/>
    <mergeCell ref="M51:M52"/>
    <mergeCell ref="Q245:Q246"/>
    <mergeCell ref="J6:J7"/>
    <mergeCell ref="Q206:Q207"/>
    <mergeCell ref="L88:Q88"/>
    <mergeCell ref="R168:R169"/>
    <mergeCell ref="D127:V127"/>
    <mergeCell ref="H168:H169"/>
    <mergeCell ref="T168:T169"/>
    <mergeCell ref="R90:R91"/>
    <mergeCell ref="V6:V7"/>
    <mergeCell ref="Q51:Q52"/>
    <mergeCell ref="G245:G246"/>
    <mergeCell ref="E90:E91"/>
    <mergeCell ref="M6:M7"/>
    <mergeCell ref="E6:E7"/>
    <mergeCell ref="R129:R130"/>
    <mergeCell ref="T6:T7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C11:C12"/>
    <mergeCell ref="E11:E12"/>
    <mergeCell ref="T129:T130"/>
    <mergeCell ref="V90:V91"/>
    <mergeCell ref="T51:T52"/>
    <mergeCell ref="V51:V52"/>
    <mergeCell ref="L51:L52"/>
    <mergeCell ref="D245:D246"/>
    <mergeCell ref="F90:F91"/>
    <mergeCell ref="E168:E169"/>
    <mergeCell ref="D129:D130"/>
    <mergeCell ref="G168:G169"/>
  </mergeCells>
  <pageMargins left="0.7" right="0.7" top="0.75" bottom="0.75" header="0.3" footer="0.3"/>
  <pageSetup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O300"/>
  <sheetViews>
    <sheetView showGridLines="0" zoomScaleNormal="100" workbookViewId="0">
      <pane xSplit="3" ySplit="9" topLeftCell="D1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M141" sqref="M141:O173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2" width="10.7109375" style="9" customWidth="1"/>
    <col min="13" max="14" width="16.140625" style="9" bestFit="1" customWidth="1"/>
    <col min="15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5"/>
      <c r="E6" s="182"/>
      <c r="F6" s="182"/>
      <c r="G6" s="182"/>
      <c r="H6" s="182"/>
      <c r="I6" s="182"/>
      <c r="J6" s="182"/>
      <c r="K6" s="182"/>
    </row>
    <row r="7" spans="1:11" ht="19.5" customHeight="1" x14ac:dyDescent="0.2">
      <c r="A7" s="169" t="s">
        <v>23</v>
      </c>
      <c r="B7" s="160"/>
      <c r="C7" s="160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19.5" customHeight="1" x14ac:dyDescent="0.25">
      <c r="A8" s="180"/>
      <c r="B8" s="180"/>
      <c r="C8" s="18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1" s="102" customFormat="1" ht="16.5" customHeight="1" x14ac:dyDescent="0.25">
      <c r="A9" s="166" t="s">
        <v>227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 ht="16.5" customHeight="1" x14ac:dyDescent="0.2"/>
    <row r="11" spans="1:11" ht="16.5" customHeight="1" x14ac:dyDescent="0.2">
      <c r="D11" s="164" t="s">
        <v>210</v>
      </c>
      <c r="E11" s="182"/>
      <c r="F11" s="182"/>
      <c r="G11" s="182"/>
      <c r="H11" s="182"/>
      <c r="I11" s="182"/>
      <c r="J11" s="182"/>
      <c r="K11" s="182"/>
    </row>
    <row r="12" spans="1:1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1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C15" s="87" t="s">
        <v>123</v>
      </c>
      <c r="D15" s="42">
        <f>1466.674192823*Deflactores!$T$5</f>
        <v>2281.1839035116459</v>
      </c>
      <c r="E15" s="42">
        <f>1041.206232414*Deflactores!$U$5</f>
        <v>1593.7748003737834</v>
      </c>
      <c r="F15" s="42">
        <f>1680.586588003*Deflactores!$V$5</f>
        <v>2435.5941761432596</v>
      </c>
      <c r="G15" s="42">
        <f>1758.986807812*Deflactores!$W$5</f>
        <v>2253.5501098522436</v>
      </c>
      <c r="H15" s="42">
        <f>4376.210043642*Deflactores!$X$5</f>
        <v>5130.5285578247958</v>
      </c>
      <c r="I15" s="42">
        <f>6710.197926328*Deflactores!$Y$5</f>
        <v>7477.9669511498696</v>
      </c>
      <c r="J15" s="42">
        <f>4095.977895684*Deflactores!$Z$5</f>
        <v>4343.0905499147275</v>
      </c>
      <c r="K15" s="42">
        <f>3140.53295549*Deflactores!$AA$5</f>
        <v>3140.5329554899999</v>
      </c>
    </row>
    <row r="16" spans="1:11" x14ac:dyDescent="0.2">
      <c r="C16" s="88" t="s">
        <v>124</v>
      </c>
      <c r="D16" s="50">
        <f>203.928186782*Deflactores!$T$5</f>
        <v>317.17862047058969</v>
      </c>
      <c r="E16" s="50">
        <f>258.852998999*Deflactores!$U$5</f>
        <v>396.22639008728936</v>
      </c>
      <c r="F16" s="50">
        <f>609.433485249*Deflactores!$V$5</f>
        <v>883.22295204256602</v>
      </c>
      <c r="G16" s="50">
        <f>753.48938061*Deflactores!$W$5</f>
        <v>965.3432697191945</v>
      </c>
      <c r="H16" s="50">
        <f>1324.016221117*Deflactores!$X$5</f>
        <v>1552.2342313831905</v>
      </c>
      <c r="I16" s="50">
        <f>1253.139971971*Deflactores!$Y$5</f>
        <v>1396.5220398039794</v>
      </c>
      <c r="J16" s="50">
        <f>807.783551153*Deflactores!$Z$5</f>
        <v>856.51758792103931</v>
      </c>
      <c r="K16" s="50">
        <f>920.309079644*Deflactores!$AA$5</f>
        <v>920.30907964400001</v>
      </c>
    </row>
    <row r="17" spans="3:11" x14ac:dyDescent="0.2">
      <c r="C17" s="87" t="s">
        <v>125</v>
      </c>
      <c r="D17" s="42">
        <f>327.50009532*Deflactores!$T$5</f>
        <v>509.37553104725094</v>
      </c>
      <c r="E17" s="42">
        <f>245.873068343*Deflactores!$U$5</f>
        <v>376.35800499112094</v>
      </c>
      <c r="F17" s="42">
        <f>386.465162527*Deflactores!$V$5</f>
        <v>560.08557122397974</v>
      </c>
      <c r="G17" s="42">
        <f>302.901433272*Deflactores!$W$5</f>
        <v>388.06633181837606</v>
      </c>
      <c r="H17" s="42">
        <f>457.611289945*Deflactores!$X$5</f>
        <v>536.4888266404995</v>
      </c>
      <c r="I17" s="42">
        <f>347.851577998*Deflactores!$Y$5</f>
        <v>387.65214271374458</v>
      </c>
      <c r="J17" s="42">
        <f>254.424632408*Deflactores!$Z$5</f>
        <v>269.77421383085556</v>
      </c>
      <c r="K17" s="42">
        <f>348.567095647*Deflactores!$AA$5</f>
        <v>348.56709564699997</v>
      </c>
    </row>
    <row r="18" spans="3:11" x14ac:dyDescent="0.2">
      <c r="C18" s="88" t="s">
        <v>126</v>
      </c>
      <c r="D18" s="50">
        <f>199.642718299*Deflactores!$T$5</f>
        <v>310.51323986304675</v>
      </c>
      <c r="E18" s="50">
        <f>213.766834282*Deflactores!$U$5</f>
        <v>327.2129795501109</v>
      </c>
      <c r="F18" s="50">
        <f>322.983198554*Deflactores!$V$5</f>
        <v>468.08418144346166</v>
      </c>
      <c r="G18" s="50">
        <f>313.100437191*Deflactores!$W$5</f>
        <v>401.13292578029194</v>
      </c>
      <c r="H18" s="50">
        <f>465.736688699*Deflactores!$X$5</f>
        <v>546.01478401808856</v>
      </c>
      <c r="I18" s="50">
        <f>188.19075652*Deflactores!$Y$5</f>
        <v>209.72321132985647</v>
      </c>
      <c r="J18" s="50">
        <f>227.83641067*Deflactores!$Z$5</f>
        <v>241.58190969488277</v>
      </c>
      <c r="K18" s="50">
        <f>208.787069182*Deflactores!$AA$5</f>
        <v>208.78706918200001</v>
      </c>
    </row>
    <row r="19" spans="3:11" x14ac:dyDescent="0.2">
      <c r="C19" s="87" t="s">
        <v>127</v>
      </c>
      <c r="D19" s="42">
        <f>90*Deflactores!$T$5</f>
        <v>139.98102122522639</v>
      </c>
      <c r="E19" s="42">
        <f>83.141129558*Deflactores!$U$5</f>
        <v>127.26416058510968</v>
      </c>
      <c r="F19" s="42">
        <f>115.71346817*Deflactores!$V$5</f>
        <v>167.69802352825116</v>
      </c>
      <c r="G19" s="42">
        <f>209.033450966*Deflactores!$W$5</f>
        <v>267.8060769387933</v>
      </c>
      <c r="H19" s="42">
        <f>276.516725483*Deflactores!$X$5</f>
        <v>324.17935671708983</v>
      </c>
      <c r="I19" s="42">
        <f>263*Deflactores!$Y$5</f>
        <v>293.09199665122986</v>
      </c>
      <c r="J19" s="42">
        <f>200*Deflactores!$Z$5</f>
        <v>212.06611268537921</v>
      </c>
      <c r="K19" s="42">
        <f>200*Deflactores!$AA$5</f>
        <v>200</v>
      </c>
    </row>
    <row r="20" spans="3:11" x14ac:dyDescent="0.2">
      <c r="C20" s="88" t="s">
        <v>128</v>
      </c>
      <c r="D20" s="50">
        <f>139.471230582*Deflactores!$T$5</f>
        <v>216.92583653785982</v>
      </c>
      <c r="E20" s="50">
        <f>134.204512594*Deflactores!$U$5</f>
        <v>205.42690161665928</v>
      </c>
      <c r="F20" s="50">
        <f>361.082271087*Deflactores!$V$5</f>
        <v>523.29935443142358</v>
      </c>
      <c r="G20" s="50">
        <f>358.382491445*Deflactores!$W$5</f>
        <v>459.14665157131759</v>
      </c>
      <c r="H20" s="50">
        <f>492.687188011*Deflactores!$X$5</f>
        <v>577.61068663449521</v>
      </c>
      <c r="I20" s="50">
        <f>970.553083497*Deflactores!$Y$5</f>
        <v>1081.6020574073898</v>
      </c>
      <c r="J20" s="50">
        <f>718.534204271*Deflactores!$Z$5</f>
        <v>761.88377765616588</v>
      </c>
      <c r="K20" s="50">
        <f>740.95873321*Deflactores!$AA$5</f>
        <v>740.95873320999999</v>
      </c>
    </row>
    <row r="21" spans="3:11" x14ac:dyDescent="0.2">
      <c r="C21" s="87" t="s">
        <v>129</v>
      </c>
      <c r="D21" s="42">
        <f>1056.435357489*Deflactores!$T$5</f>
        <v>1643.1211133305255</v>
      </c>
      <c r="E21" s="42">
        <f>1336.703475162*Deflactores!$U$5</f>
        <v>2046.0925491638593</v>
      </c>
      <c r="F21" s="42">
        <f>2030.060887*Deflactores!$V$5</f>
        <v>2942.0706489564068</v>
      </c>
      <c r="G21" s="42">
        <f>2023.015793576*Deflactores!$W$5</f>
        <v>2591.8144716030638</v>
      </c>
      <c r="H21" s="42">
        <f>1918.920645*Deflactores!$X$5</f>
        <v>2249.6811330332625</v>
      </c>
      <c r="I21" s="42">
        <f>3012.759349434*Deflactores!$Y$5</f>
        <v>3357.4739663698529</v>
      </c>
      <c r="J21" s="42">
        <f>2201.70201282334*Deflactores!$Z$5</f>
        <v>2334.5319357551029</v>
      </c>
      <c r="K21" s="42">
        <f>3548.763580895*Deflactores!$AA$5</f>
        <v>3548.7635808949999</v>
      </c>
    </row>
    <row r="22" spans="3:11" x14ac:dyDescent="0.2">
      <c r="C22" s="88" t="s">
        <v>130</v>
      </c>
      <c r="D22" s="50">
        <f>462*Deflactores!$T$5</f>
        <v>718.56924228949538</v>
      </c>
      <c r="E22" s="50">
        <f>422.38737623*Deflactores!$U$5</f>
        <v>646.54852734660096</v>
      </c>
      <c r="F22" s="50">
        <f>727.839792982*Deflactores!$V$5</f>
        <v>1054.8235798184951</v>
      </c>
      <c r="G22" s="50">
        <f>845.29875289*Deflactores!$W$5</f>
        <v>1082.9661080873902</v>
      </c>
      <c r="H22" s="50">
        <f>891.709127023*Deflactores!$X$5</f>
        <v>1045.4112338851844</v>
      </c>
      <c r="I22" s="50">
        <f>994.03887389*Deflactores!$Y$5</f>
        <v>1107.7750505603049</v>
      </c>
      <c r="J22" s="50">
        <f>400*Deflactores!$Z$5</f>
        <v>424.13222537075842</v>
      </c>
      <c r="K22" s="50">
        <f>441.892487504*Deflactores!$AA$5</f>
        <v>441.89248750399997</v>
      </c>
    </row>
    <row r="23" spans="3:11" x14ac:dyDescent="0.2">
      <c r="C23" s="87" t="s">
        <v>131</v>
      </c>
      <c r="D23" s="42">
        <f>4052.997032233*Deflactores!$T$5</f>
        <v>6303.8073732754119</v>
      </c>
      <c r="E23" s="42">
        <f>3984.903081277*Deflactores!$U$5</f>
        <v>6099.6927555326547</v>
      </c>
      <c r="F23" s="42">
        <f>4849.786376583*Deflactores!$V$5</f>
        <v>7028.5646325313819</v>
      </c>
      <c r="G23" s="42">
        <f>5522.531404122*Deflactores!$W$5</f>
        <v>7075.2669645671094</v>
      </c>
      <c r="H23" s="42">
        <f>7386.914456427*Deflactores!$X$5</f>
        <v>8660.1820285040922</v>
      </c>
      <c r="I23" s="42">
        <f>8061.939062033*Deflactores!$Y$5</f>
        <v>8984.3719261284987</v>
      </c>
      <c r="J23" s="42">
        <f>6754.99444239*Deflactores!$Z$5</f>
        <v>7162.5270630449395</v>
      </c>
      <c r="K23" s="42">
        <f>6778.173590684*Deflactores!$AA$5</f>
        <v>6778.1735906840004</v>
      </c>
    </row>
    <row r="24" spans="3:11" x14ac:dyDescent="0.2">
      <c r="C24" s="88" t="s">
        <v>132</v>
      </c>
      <c r="D24" s="50">
        <f>18.19119714*Deflactores!$T$5</f>
        <v>28.29358169962908</v>
      </c>
      <c r="E24" s="50">
        <f>21.188013383*Deflactores!$U$5</f>
        <v>32.432500640642367</v>
      </c>
      <c r="F24" s="50">
        <f>20.397418487*Deflactores!$V$5</f>
        <v>29.561008061076688</v>
      </c>
      <c r="G24" s="50">
        <f>18.802547553*Deflactores!$W$5</f>
        <v>24.089142064841422</v>
      </c>
      <c r="H24" s="50">
        <f>19.802547553*Deflactores!$X$5</f>
        <v>23.215872804358778</v>
      </c>
      <c r="I24" s="50">
        <f>18.299953403*Deflactores!$Y$5</f>
        <v>20.393801830835507</v>
      </c>
      <c r="J24" s="50">
        <f>17.000356199*Deflactores!$Z$5</f>
        <v>18.025997266943595</v>
      </c>
      <c r="K24" s="50">
        <f>10.4882057*Deflactores!$AA$5</f>
        <v>10.4882057</v>
      </c>
    </row>
    <row r="25" spans="3:11" x14ac:dyDescent="0.2">
      <c r="C25" s="87" t="s">
        <v>133</v>
      </c>
      <c r="D25" s="42">
        <f>113.314550998*Deflactores!$T$5</f>
        <v>176.24318409308927</v>
      </c>
      <c r="E25" s="42">
        <f>122.936083129*Deflactores!$U$5</f>
        <v>188.1783120846236</v>
      </c>
      <c r="F25" s="42">
        <f>124.973290241*Deflactores!$V$5</f>
        <v>181.11784305391438</v>
      </c>
      <c r="G25" s="42">
        <f>170.827948948*Deflactores!$W$5</f>
        <v>218.8585732467553</v>
      </c>
      <c r="H25" s="42">
        <f>202.904041101*Deflactores!$X$5</f>
        <v>237.87820213958111</v>
      </c>
      <c r="I25" s="42">
        <f>229.26492575*Deflactores!$Y$5</f>
        <v>255.4970146394048</v>
      </c>
      <c r="J25" s="42">
        <f>317.921120658*Deflactores!$Z$5</f>
        <v>337.10148099260732</v>
      </c>
      <c r="K25" s="42">
        <f>390.663726128*Deflactores!$AA$5</f>
        <v>390.66372612800001</v>
      </c>
    </row>
    <row r="26" spans="3:11" x14ac:dyDescent="0.2">
      <c r="C26" s="88" t="s">
        <v>134</v>
      </c>
      <c r="D26" s="50">
        <f>1789.626144378*Deflactores!$T$5</f>
        <v>2783.4855033488539</v>
      </c>
      <c r="E26" s="50">
        <f>1883.055276047*Deflactores!$U$5</f>
        <v>2882.3934713841554</v>
      </c>
      <c r="F26" s="50">
        <f>2199.840409842*Deflactores!$V$5</f>
        <v>3188.1240329440329</v>
      </c>
      <c r="G26" s="50">
        <f>2532.153492221*Deflactores!$W$5</f>
        <v>3244.1032276162859</v>
      </c>
      <c r="H26" s="50">
        <f>4750.120582741*Deflactores!$X$5</f>
        <v>5568.8893037186517</v>
      </c>
      <c r="I26" s="50">
        <f>3240.749095713*Deflactores!$Y$5</f>
        <v>3611.5498977497746</v>
      </c>
      <c r="J26" s="50">
        <f>2716.631356722*Deflactores!$Z$5</f>
        <v>2880.5272570962111</v>
      </c>
      <c r="K26" s="50">
        <f>4685.281665639*Deflactores!$AA$5</f>
        <v>4685.2816656389996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6500.113342468*Deflactores!$Y$5</f>
        <v>7243.84485932793</v>
      </c>
      <c r="J27" s="42">
        <f>6742.595023627*Deflactores!$Z$5</f>
        <v>7149.3795803618023</v>
      </c>
      <c r="K27" s="42">
        <f>6344.971081069*Deflactores!$AA$5</f>
        <v>6344.9710810690003</v>
      </c>
    </row>
    <row r="28" spans="3:11" x14ac:dyDescent="0.2">
      <c r="C28" s="88" t="s">
        <v>136</v>
      </c>
      <c r="D28" s="50">
        <f>8001.684931111*Deflactores!$T$5</f>
        <v>12445.378090882477</v>
      </c>
      <c r="E28" s="50">
        <f>8633.77710867*Deflactores!$U$5</f>
        <v>13215.72610638289</v>
      </c>
      <c r="F28" s="50">
        <f>12190.763841607*Deflactores!$V$5</f>
        <v>17667.493973421402</v>
      </c>
      <c r="G28" s="50">
        <f>19275.123051394*Deflactores!$W$5</f>
        <v>24694.588655793399</v>
      </c>
      <c r="H28" s="50">
        <f>16782.000923871*Deflactores!$X$5</f>
        <v>19674.680634320535</v>
      </c>
      <c r="I28" s="50">
        <f>11152.307544973*Deflactores!$Y$5</f>
        <v>12428.334926329704</v>
      </c>
      <c r="J28" s="50">
        <f>8876.386753354*Deflactores!$Z$5</f>
        <v>9411.9041673788834</v>
      </c>
      <c r="K28" s="50">
        <f>11238.801236285*Deflactores!$AA$5</f>
        <v>11238.801236285</v>
      </c>
    </row>
    <row r="29" spans="3:11" x14ac:dyDescent="0.2">
      <c r="C29" s="87" t="s">
        <v>137</v>
      </c>
      <c r="D29" s="42">
        <f>184.979086051*Deflactores!$T$5</f>
        <v>287.7062374525334</v>
      </c>
      <c r="E29" s="42">
        <f>179.40547086*Deflactores!$U$5</f>
        <v>274.61602668564331</v>
      </c>
      <c r="F29" s="42">
        <f>320.568678185*Deflactores!$V$5</f>
        <v>464.58493196063455</v>
      </c>
      <c r="G29" s="42">
        <f>397.302015718*Deflactores!$W$5</f>
        <v>509.00893468298847</v>
      </c>
      <c r="H29" s="42">
        <f>751.841612575*Deflactores!$X$5</f>
        <v>881.43503758034831</v>
      </c>
      <c r="I29" s="42">
        <f>988.154749737*Deflactores!$Y$5</f>
        <v>1101.2176752882649</v>
      </c>
      <c r="J29" s="42">
        <f>703.613494832*Deflactores!$Z$5</f>
        <v>746.06289340998194</v>
      </c>
      <c r="K29" s="42">
        <f>469.615108053*Deflactores!$AA$5</f>
        <v>469.61510805299997</v>
      </c>
    </row>
    <row r="30" spans="3:11" x14ac:dyDescent="0.2">
      <c r="C30" s="88" t="s">
        <v>138</v>
      </c>
      <c r="D30" s="50">
        <f>7.240789965*Deflactores!$T$5</f>
        <v>11.26192415308968</v>
      </c>
      <c r="E30" s="50">
        <f>7.094353307*Deflactores!$U$5</f>
        <v>10.859329471578935</v>
      </c>
      <c r="F30" s="50">
        <f>7.846050941*Deflactores!$V$5</f>
        <v>11.370908297162268</v>
      </c>
      <c r="G30" s="50">
        <f>8*Deflactores!$W$5</f>
        <v>10.249309886094847</v>
      </c>
      <c r="H30" s="50">
        <f>29*Deflactores!$X$5</f>
        <v>33.998671611542655</v>
      </c>
      <c r="I30" s="50">
        <f>40.538191002*Deflactores!$Y$5</f>
        <v>45.176499396977562</v>
      </c>
      <c r="J30" s="50">
        <f>35.198878846*Deflactores!$Z$5</f>
        <v>37.322447038774229</v>
      </c>
      <c r="K30" s="50">
        <f>23.154858491*Deflactores!$AA$5</f>
        <v>23.154858490999999</v>
      </c>
    </row>
    <row r="31" spans="3:11" x14ac:dyDescent="0.2">
      <c r="C31" s="87" t="s">
        <v>160</v>
      </c>
      <c r="D31" s="42">
        <f>99.126838442*Deflactores!$T$5</f>
        <v>154.17640084376873</v>
      </c>
      <c r="E31" s="42">
        <f>215.442899543*Deflactores!$U$5</f>
        <v>329.77853332188431</v>
      </c>
      <c r="F31" s="42">
        <f>356.557706831*Deflactores!$V$5</f>
        <v>516.74211874349976</v>
      </c>
      <c r="G31" s="42">
        <f>667.239572578*Deflactores!$W$5</f>
        <v>854.84314345217444</v>
      </c>
      <c r="H31" s="42">
        <f>496.367897221*Deflactores!$X$5</f>
        <v>581.92583228030117</v>
      </c>
      <c r="I31" s="42">
        <f>561.259970633*Deflactores!$Y$5</f>
        <v>625.47834765489199</v>
      </c>
      <c r="J31" s="42">
        <f>467.11101387*Deflactores!$Z$5</f>
        <v>495.29208451968577</v>
      </c>
      <c r="K31" s="42">
        <f>453.842954339*Deflactores!$AA$5</f>
        <v>453.84295433900002</v>
      </c>
    </row>
    <row r="32" spans="3:11" x14ac:dyDescent="0.2">
      <c r="C32" s="88" t="s">
        <v>161</v>
      </c>
      <c r="D32" s="50">
        <f>319.180407099*Deflactores!$T$5</f>
        <v>496.43554823112788</v>
      </c>
      <c r="E32" s="50">
        <f>389.223976564*Deflactores!$U$5</f>
        <v>595.78529808715564</v>
      </c>
      <c r="F32" s="50">
        <f>447.051614849*Deflactores!$V$5</f>
        <v>647.89063374324644</v>
      </c>
      <c r="G32" s="50">
        <f>516.724841571*Deflactores!$W$5</f>
        <v>662.0091283880555</v>
      </c>
      <c r="H32" s="50">
        <f>387.286214312*Deflactores!$X$5</f>
        <v>454.04195931280066</v>
      </c>
      <c r="I32" s="50">
        <f>589.111543675*Deflactores!$Y$5</f>
        <v>656.51664861594656</v>
      </c>
      <c r="J32" s="50">
        <f>527.897224174*Deflactores!$Z$5</f>
        <v>559.74556113991184</v>
      </c>
      <c r="K32" s="50">
        <f>521.739381047*Deflactores!$AA$5</f>
        <v>521.73938104700005</v>
      </c>
    </row>
    <row r="33" spans="1:11" x14ac:dyDescent="0.2">
      <c r="C33" s="87" t="s">
        <v>140</v>
      </c>
      <c r="D33" s="42">
        <f>3015.746627716*Deflactores!$T$5</f>
        <v>4690.5254744913145</v>
      </c>
      <c r="E33" s="42">
        <f>2987.407243519*Deflactores!$U$5</f>
        <v>4572.8254739081694</v>
      </c>
      <c r="F33" s="42">
        <f>4390.634058904*Deflactores!$V$5</f>
        <v>6363.1370259535443</v>
      </c>
      <c r="G33" s="42">
        <f>4290.222945237*Deflactores!$W$5</f>
        <v>5496.4780557710674</v>
      </c>
      <c r="H33" s="42">
        <f>6744.203689364*Deflactores!$X$5</f>
        <v>7906.6885005531394</v>
      </c>
      <c r="I33" s="42">
        <f>6957.878078506*Deflactores!$Y$5</f>
        <v>7753.9862299815441</v>
      </c>
      <c r="J33" s="42">
        <f>6553.371386211*Deflactores!$Z$5</f>
        <v>6948.7399742868083</v>
      </c>
      <c r="K33" s="42">
        <f>9629.741911809*Deflactores!$AA$5</f>
        <v>9629.7419118090002</v>
      </c>
    </row>
    <row r="34" spans="1:11" x14ac:dyDescent="0.2">
      <c r="C34" s="88" t="s">
        <v>141</v>
      </c>
      <c r="D34" s="50">
        <f>160.351239781*Deflactores!$T$5</f>
        <v>249.40144776972807</v>
      </c>
      <c r="E34" s="50">
        <f>223.229508317*Deflactores!$U$5</f>
        <v>341.69749851631866</v>
      </c>
      <c r="F34" s="50">
        <f>353.941613602*Deflactores!$V$5</f>
        <v>512.95073930593583</v>
      </c>
      <c r="G34" s="50">
        <f>444.371286924*Deflactores!$W$5</f>
        <v>569.31237802085536</v>
      </c>
      <c r="H34" s="50">
        <f>581.61888279*Deflactores!$X$5</f>
        <v>681.87135858791476</v>
      </c>
      <c r="I34" s="50">
        <f>515.167917902*Deflactores!$Y$5</f>
        <v>574.11252345457808</v>
      </c>
      <c r="J34" s="50">
        <f>382.814399842*Deflactores!$Z$5</f>
        <v>405.9098082723969</v>
      </c>
      <c r="K34" s="50">
        <f>888.987193087*Deflactores!$AA$5</f>
        <v>888.98719308700004</v>
      </c>
    </row>
    <row r="35" spans="1:11" x14ac:dyDescent="0.2">
      <c r="C35" s="87" t="s">
        <v>142</v>
      </c>
      <c r="D35" s="42">
        <f>279.312903117*Deflactores!$T$5</f>
        <v>434.42783799667086</v>
      </c>
      <c r="E35" s="42">
        <f>191.749630738*Deflactores!$U$5</f>
        <v>293.51123719521593</v>
      </c>
      <c r="F35" s="42">
        <f>561.620910213*Deflactores!$V$5</f>
        <v>813.93046206591373</v>
      </c>
      <c r="G35" s="42">
        <f>1108.078265449*Deflactores!$W$5</f>
        <v>1419.6296900791581</v>
      </c>
      <c r="H35" s="42">
        <f>1377.770357741*Deflactores!$X$5</f>
        <v>1615.2538603087553</v>
      </c>
      <c r="I35" s="42">
        <f>949.427258332*Deflactores!$Y$5</f>
        <v>1058.0590525461173</v>
      </c>
      <c r="J35" s="42">
        <f>607.27635273*Deflactores!$Z$5</f>
        <v>643.91367724603128</v>
      </c>
      <c r="K35" s="42">
        <f>950.752665535*Deflactores!$AA$5</f>
        <v>950.75266553500001</v>
      </c>
    </row>
    <row r="36" spans="1:11" x14ac:dyDescent="0.2">
      <c r="C36" s="88" t="s">
        <v>143</v>
      </c>
      <c r="D36" s="50">
        <f>262.161517598*Deflactores!$T$5</f>
        <v>407.75152177025774</v>
      </c>
      <c r="E36" s="50">
        <f>691.703288843*Deflactores!$U$5</f>
        <v>1058.7905035275496</v>
      </c>
      <c r="F36" s="50">
        <f>2352.552110093*Deflactores!$V$5</f>
        <v>3409.4418337734696</v>
      </c>
      <c r="G36" s="50">
        <f>1235.851900956*Deflactores!$W$5</f>
        <v>1583.3286382771801</v>
      </c>
      <c r="H36" s="50">
        <f>2232.806995745*Deflactores!$X$5</f>
        <v>2617.671442078944</v>
      </c>
      <c r="I36" s="50">
        <f>767.991502413*Deflactores!$Y$5</f>
        <v>855.86373708518624</v>
      </c>
      <c r="J36" s="50">
        <f>483.416375768*Deflactores!$Z$5</f>
        <v>512.58115808787159</v>
      </c>
      <c r="K36" s="50">
        <f>278.419727579*Deflactores!$AA$5</f>
        <v>278.41972757899998</v>
      </c>
    </row>
    <row r="37" spans="1:11" x14ac:dyDescent="0.2">
      <c r="C37" s="87" t="s">
        <v>144</v>
      </c>
      <c r="D37" s="42">
        <f>342.568474523*Deflactores!$T$5</f>
        <v>532.81205448108324</v>
      </c>
      <c r="E37" s="42">
        <f>276.349705141*Deflactores!$U$5</f>
        <v>423.00860524365902</v>
      </c>
      <c r="F37" s="42">
        <f>480.260662865*Deflactores!$V$5</f>
        <v>696.0189268763861</v>
      </c>
      <c r="G37" s="42">
        <f>580.82202774*Deflactores!$W$5</f>
        <v>744.12811887215469</v>
      </c>
      <c r="H37" s="42">
        <f>726.90985*Deflactores!$X$5</f>
        <v>852.20583728778377</v>
      </c>
      <c r="I37" s="42">
        <f>1137.039817889*Deflactores!$Y$5</f>
        <v>1267.1379106351246</v>
      </c>
      <c r="J37" s="42">
        <f>1249.41526791*Deflactores!$Z$5</f>
        <v>1324.7931949771767</v>
      </c>
      <c r="K37" s="42">
        <f>1449.610576324*Deflactores!$AA$5</f>
        <v>1449.610576324</v>
      </c>
    </row>
    <row r="38" spans="1:11" x14ac:dyDescent="0.2">
      <c r="C38" s="88" t="s">
        <v>145</v>
      </c>
      <c r="D38" s="50">
        <f>58.97835*Deflactores!$T$5</f>
        <v>91.731662924209218</v>
      </c>
      <c r="E38" s="50">
        <f>117.767830496*Deflactores!$U$5</f>
        <v>180.26726569245633</v>
      </c>
      <c r="F38" s="50">
        <f>65.592240351*Deflactores!$V$5</f>
        <v>95.059712923758809</v>
      </c>
      <c r="G38" s="50">
        <f>152.679874662*Deflactores!$W$5</f>
        <v>195.60791859761986</v>
      </c>
      <c r="H38" s="50">
        <f>243.770270902*Deflactores!$X$5</f>
        <v>285.78846169151342</v>
      </c>
      <c r="I38" s="50">
        <f>186.90178941*Deflactores!$Y$5</f>
        <v>208.28676287400984</v>
      </c>
      <c r="J38" s="50">
        <f>176.267154181*Deflactores!$Z$5</f>
        <v>186.90145090639527</v>
      </c>
      <c r="K38" s="50">
        <f>225.900008151*Deflactores!$AA$5</f>
        <v>225.90000815100001</v>
      </c>
    </row>
    <row r="39" spans="1:11" x14ac:dyDescent="0.2">
      <c r="C39" s="87" t="s">
        <v>146</v>
      </c>
      <c r="D39" s="42">
        <f>40.346122132*Deflactores!$T$5</f>
        <v>62.752126427945193</v>
      </c>
      <c r="E39" s="42">
        <f>42.892189563*Deflactores!$U$5</f>
        <v>65.655091883068565</v>
      </c>
      <c r="F39" s="42">
        <f>70.796015878*Deflactores!$V$5</f>
        <v>102.60129718844021</v>
      </c>
      <c r="G39" s="42">
        <f>74.870463919*Deflactores!$W$5</f>
        <v>95.921323252689291</v>
      </c>
      <c r="H39" s="42">
        <f>87.870463919*Deflactores!$X$5</f>
        <v>103.01651886675822</v>
      </c>
      <c r="I39" s="42">
        <f>37.625364298*Deflactores!$Y$5</f>
        <v>41.930392193272695</v>
      </c>
      <c r="J39" s="42">
        <f>19.027537134*Deflactores!$Z$5</f>
        <v>20.175479169920404</v>
      </c>
      <c r="K39" s="42">
        <f>10*Deflactores!$AA$5</f>
        <v>10</v>
      </c>
    </row>
    <row r="40" spans="1:11" x14ac:dyDescent="0.2">
      <c r="C40" s="88" t="s">
        <v>162</v>
      </c>
      <c r="D40" s="50">
        <f>533.462898135*Deflactores!$T$5</f>
        <v>829.71868074118015</v>
      </c>
      <c r="E40" s="50">
        <f>587.125494067*Deflactores!$U$5</f>
        <v>898.71323083756249</v>
      </c>
      <c r="F40" s="50">
        <f>748.562235219*Deflactores!$V$5</f>
        <v>1084.8556293351321</v>
      </c>
      <c r="G40" s="50">
        <f>1025.306904989*Deflactores!$W$5</f>
        <v>1313.5860246981335</v>
      </c>
      <c r="H40" s="50">
        <f>1945.190785537*Deflactores!$X$5</f>
        <v>2280.4794048024537</v>
      </c>
      <c r="I40" s="50">
        <f>1873.733030912*Deflactores!$Y$5</f>
        <v>2088.1222631990822</v>
      </c>
      <c r="J40" s="50">
        <f>1977.619120258*Deflactores!$Z$5</f>
        <v>2096.9299960269677</v>
      </c>
      <c r="K40" s="50">
        <f>2632.408300005*Deflactores!$AA$5</f>
        <v>2632.408300005</v>
      </c>
    </row>
    <row r="41" spans="1:11" x14ac:dyDescent="0.2">
      <c r="C41" s="87" t="s">
        <v>148</v>
      </c>
      <c r="D41" s="42">
        <f>150.61064771*Deflactores!$T$5</f>
        <v>234.2514697093178</v>
      </c>
      <c r="E41" s="42">
        <f>177.973974653*Deflactores!$U$5</f>
        <v>272.42483486357963</v>
      </c>
      <c r="F41" s="42">
        <f>214.222987376*Deflactores!$V$5</f>
        <v>310.46318242310355</v>
      </c>
      <c r="G41" s="42">
        <f>255.085613218*Deflactores!$W$5</f>
        <v>326.80643716947674</v>
      </c>
      <c r="H41" s="42">
        <f>249.063806801*Deflactores!$X$5</f>
        <v>291.99443371544493</v>
      </c>
      <c r="I41" s="42">
        <f>254.269322249*Deflactores!$Y$5</f>
        <v>283.36237013351479</v>
      </c>
      <c r="J41" s="42">
        <f>264.583564807*Deflactores!$Z$5</f>
        <v>280.54604034530297</v>
      </c>
      <c r="K41" s="42">
        <f>267.481541366*Deflactores!$AA$5</f>
        <v>267.48154136599999</v>
      </c>
    </row>
    <row r="42" spans="1:11" x14ac:dyDescent="0.2">
      <c r="C42" s="88" t="s">
        <v>149</v>
      </c>
      <c r="D42" s="50">
        <f>14.778*Deflactores!$T$5</f>
        <v>22.984883685182172</v>
      </c>
      <c r="E42" s="50">
        <f>0*Deflactores!$U$5</f>
        <v>0</v>
      </c>
      <c r="F42" s="50">
        <f>0*Deflactores!$V$5</f>
        <v>0</v>
      </c>
      <c r="G42" s="50">
        <f>0*Deflactores!$W$5</f>
        <v>0</v>
      </c>
      <c r="H42" s="50">
        <f>0*Deflactores!$X$5</f>
        <v>0</v>
      </c>
      <c r="I42" s="50">
        <f>806.350055307*Deflactores!$Y$5</f>
        <v>898.61120802189453</v>
      </c>
      <c r="J42" s="50">
        <f>503.674902708*Deflactores!$Z$5</f>
        <v>534.06189337236071</v>
      </c>
      <c r="K42" s="50">
        <f>200*Deflactores!$AA$5</f>
        <v>200</v>
      </c>
    </row>
    <row r="43" spans="1:11" x14ac:dyDescent="0.2">
      <c r="C43" s="87" t="s">
        <v>163</v>
      </c>
      <c r="D43" s="42">
        <f>3608.984847861*Deflactores!$T$5</f>
        <v>5613.2153843327897</v>
      </c>
      <c r="E43" s="42">
        <f>4286.925304835*Deflactores!$U$5</f>
        <v>6561.9982950832509</v>
      </c>
      <c r="F43" s="42">
        <f>2534.187077095*Deflactores!$V$5</f>
        <v>3672.6767488751807</v>
      </c>
      <c r="G43" s="42">
        <f>2667.539107948*Deflactores!$W$5</f>
        <v>3417.5543688295083</v>
      </c>
      <c r="H43" s="42">
        <f>2927.217261362*Deflactores!$X$5</f>
        <v>3431.7758070581331</v>
      </c>
      <c r="I43" s="42">
        <f>3503.082783503*Deflactores!$Y$5</f>
        <v>3903.8993439218334</v>
      </c>
      <c r="J43" s="42">
        <f>3699.600755797*Deflactores!$Z$5</f>
        <v>3922.7997538488034</v>
      </c>
      <c r="K43" s="42">
        <f>3865.835827663*Deflactores!$AA$5</f>
        <v>3865.8358276630001</v>
      </c>
    </row>
    <row r="44" spans="1:11" x14ac:dyDescent="0.2">
      <c r="C44" s="88" t="s">
        <v>150</v>
      </c>
      <c r="D44" s="50">
        <f>4513.114606101*Deflactores!$T$5</f>
        <v>7019.4487940944809</v>
      </c>
      <c r="E44" s="50">
        <f>4880.829689609*Deflactores!$U$5</f>
        <v>7471.0879766631942</v>
      </c>
      <c r="F44" s="50">
        <f>7619.875755481*Deflactores!$V$5</f>
        <v>11043.123362681277</v>
      </c>
      <c r="G44" s="50">
        <f>8618.152924772*Deflactores!$W$5</f>
        <v>11041.264996467859</v>
      </c>
      <c r="H44" s="50">
        <f>8819.917613877*Deflactores!$X$5</f>
        <v>10340.18905500224</v>
      </c>
      <c r="I44" s="50">
        <f>9607.832654119*Deflactores!$Y$5</f>
        <v>10707.143939492862</v>
      </c>
      <c r="J44" s="50">
        <f>8351.582413401*Deflactores!$Z$5</f>
        <v>8855.4380859076391</v>
      </c>
      <c r="K44" s="50">
        <f>10011.880536984*Deflactores!$AA$5</f>
        <v>10011.880536983999</v>
      </c>
    </row>
    <row r="45" spans="1:11" x14ac:dyDescent="0.2">
      <c r="C45" s="87" t="s">
        <v>151</v>
      </c>
      <c r="D45" s="42">
        <f>1956.813877382*Deflactores!$T$5</f>
        <v>3043.5200544847476</v>
      </c>
      <c r="E45" s="42">
        <f>1995.97249401*Deflactores!$U$5</f>
        <v>3055.2359025137712</v>
      </c>
      <c r="F45" s="42">
        <f>3233.300557485*Deflactores!$V$5</f>
        <v>4685.8686507125467</v>
      </c>
      <c r="G45" s="42">
        <f>3165.347167423*Deflactores!$W$5</f>
        <v>4055.3280019988597</v>
      </c>
      <c r="H45" s="42">
        <f>5008.42949458*Deflactores!$X$5</f>
        <v>5871.7224026134472</v>
      </c>
      <c r="I45" s="42">
        <f>5366.906197157*Deflactores!$Y$5</f>
        <v>5980.9781489148445</v>
      </c>
      <c r="J45" s="42">
        <f>4001.528694152*Deflactores!$Z$5</f>
        <v>4242.9431748390816</v>
      </c>
      <c r="K45" s="42">
        <f>2632.130594413*Deflactores!$AA$5</f>
        <v>2632.1305944129999</v>
      </c>
    </row>
    <row r="46" spans="1:11" ht="21" customHeight="1" x14ac:dyDescent="0.2">
      <c r="C46" s="79" t="s">
        <v>202</v>
      </c>
      <c r="D46" s="44">
        <f t="shared" ref="D46:K46" si="0">+SUM(D15:D45)</f>
        <v>52056.177745164525</v>
      </c>
      <c r="E46" s="44">
        <f t="shared" si="0"/>
        <v>54543.582563233547</v>
      </c>
      <c r="F46" s="44">
        <f t="shared" si="0"/>
        <v>71560.456142458905</v>
      </c>
      <c r="G46" s="44">
        <f t="shared" si="0"/>
        <v>75961.788977102929</v>
      </c>
      <c r="H46" s="44">
        <f t="shared" si="0"/>
        <v>84357.053434975343</v>
      </c>
      <c r="I46" s="44">
        <f t="shared" si="0"/>
        <v>85905.682895402322</v>
      </c>
      <c r="J46" s="44">
        <f t="shared" si="0"/>
        <v>68217.200532365401</v>
      </c>
      <c r="K46" s="44">
        <f t="shared" si="0"/>
        <v>73509.691691923013</v>
      </c>
    </row>
    <row r="47" spans="1:11" s="31" customFormat="1" x14ac:dyDescent="0.2">
      <c r="A47" s="5"/>
      <c r="B47" s="5"/>
      <c r="C47" s="72" t="str">
        <f>+'C1 Aprop Resumen 2000-2026'!B20</f>
        <v>* Información con corte a 30 de Junio</v>
      </c>
      <c r="D47" s="121">
        <f>+D46-'C6 Ejec. Nac 19-26'!D32</f>
        <v>0</v>
      </c>
      <c r="E47" s="121">
        <f>+E46-'C6 Ejec. Nac 19-26'!E32</f>
        <v>0</v>
      </c>
      <c r="F47" s="121">
        <f>+F46-'C6 Ejec. Nac 19-26'!F32</f>
        <v>0</v>
      </c>
      <c r="G47" s="121">
        <f>+G46-'C6 Ejec. Nac 19-26'!G32</f>
        <v>0</v>
      </c>
      <c r="H47" s="121">
        <f>+H46-'C6 Ejec. Nac 19-26'!H32</f>
        <v>0</v>
      </c>
      <c r="I47" s="121">
        <f>+I46-'C6 Ejec. Nac 19-26'!I32</f>
        <v>0</v>
      </c>
      <c r="J47" s="121">
        <f>+J46-'C6 Ejec. Nac 19-26'!J32</f>
        <v>0</v>
      </c>
      <c r="K47" s="121">
        <f>+K46-'C6 Ejec. Nac 19-26'!K32</f>
        <v>0</v>
      </c>
    </row>
    <row r="48" spans="1:11" x14ac:dyDescent="0.2">
      <c r="C48" s="1" t="s">
        <v>52</v>
      </c>
      <c r="D48" s="10"/>
      <c r="E48" s="10"/>
      <c r="F48" s="10"/>
      <c r="G48" s="10"/>
      <c r="H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8" customHeight="1" x14ac:dyDescent="0.2">
      <c r="D53" s="164" t="s">
        <v>211</v>
      </c>
      <c r="E53" s="182"/>
      <c r="F53" s="182"/>
      <c r="G53" s="182"/>
      <c r="H53" s="182"/>
      <c r="I53" s="182"/>
      <c r="J53" s="182"/>
      <c r="K53" s="182"/>
    </row>
    <row r="54" spans="3:11" ht="11.25" hidden="1" customHeight="1" x14ac:dyDescent="0.2">
      <c r="D54" s="28"/>
    </row>
    <row r="55" spans="3:11" x14ac:dyDescent="0.2">
      <c r="C55" s="150"/>
      <c r="D55" s="150"/>
      <c r="E55" s="150"/>
      <c r="F55" s="150"/>
      <c r="G55" s="150"/>
      <c r="H55" s="150"/>
      <c r="I55" s="150"/>
      <c r="J55" s="150"/>
    </row>
    <row r="56" spans="3:11" ht="12" thickBot="1" x14ac:dyDescent="0.25">
      <c r="C56" s="181" t="s">
        <v>120</v>
      </c>
      <c r="D56" s="155">
        <v>2019</v>
      </c>
      <c r="E56" s="155">
        <v>2020</v>
      </c>
      <c r="F56" s="155">
        <v>2021</v>
      </c>
      <c r="G56" s="155">
        <v>2022</v>
      </c>
      <c r="H56" s="155">
        <v>2023</v>
      </c>
      <c r="I56" s="155">
        <v>2024</v>
      </c>
      <c r="J56" s="155">
        <v>2025</v>
      </c>
      <c r="K56" s="155" t="s">
        <v>36</v>
      </c>
    </row>
    <row r="57" spans="3:11" ht="12" customHeight="1" thickBot="1" x14ac:dyDescent="0.25">
      <c r="C57" s="162"/>
      <c r="D57" s="156"/>
      <c r="E57" s="156"/>
      <c r="F57" s="156"/>
      <c r="G57" s="156"/>
      <c r="H57" s="156"/>
      <c r="I57" s="156"/>
      <c r="J57" s="156"/>
      <c r="K57" s="156"/>
    </row>
    <row r="58" spans="3:11" x14ac:dyDescent="0.2">
      <c r="C58" s="87" t="s">
        <v>123</v>
      </c>
      <c r="D58" s="42">
        <f>1404.14782862822*Deflactores!$T$5</f>
        <v>2183.9338555840263</v>
      </c>
      <c r="E58" s="42">
        <f>990.40824020897*Deflactores!$U$5</f>
        <v>1516.0182931943591</v>
      </c>
      <c r="F58" s="42">
        <f>1571.26912269242*Deflactores!$V$5</f>
        <v>2277.1655752238785</v>
      </c>
      <c r="G58" s="42">
        <f>1553.93507047853*Deflactores!$W$5</f>
        <v>1990.8452600256364</v>
      </c>
      <c r="H58" s="42">
        <f>4035.83661742135*Deflactores!$X$5</f>
        <v>4731.485649432675</v>
      </c>
      <c r="I58" s="42">
        <f>6525.33252325709*Deflactores!$Y$5</f>
        <v>7271.9495743521984</v>
      </c>
      <c r="J58" s="42">
        <f>3901.20504799269*Deflactores!$Z$5</f>
        <v>4136.5669465819401</v>
      </c>
      <c r="K58" s="42">
        <f>1761.88371251553*Deflactores!$AA$5</f>
        <v>1761.8837125155301</v>
      </c>
    </row>
    <row r="59" spans="3:11" x14ac:dyDescent="0.2">
      <c r="C59" s="88" t="s">
        <v>124</v>
      </c>
      <c r="D59" s="50">
        <f>192.67659888848*Deflactores!$T$5</f>
        <v>299.67852309569719</v>
      </c>
      <c r="E59" s="50">
        <f>245.8151425416*Deflactores!$U$5</f>
        <v>376.26933794352874</v>
      </c>
      <c r="F59" s="50">
        <f>453.23893047894*Deflactores!$V$5</f>
        <v>656.85761588020921</v>
      </c>
      <c r="G59" s="50">
        <f>619.48206390437*Deflactores!$W$5</f>
        <v>793.65795522918745</v>
      </c>
      <c r="H59" s="50">
        <f>1095.3441357279*Deflactores!$X$5</f>
        <v>1284.1463990428233</v>
      </c>
      <c r="I59" s="50">
        <f>1249.44996289236*Deflactores!$Y$5</f>
        <v>1392.4098263875544</v>
      </c>
      <c r="J59" s="50">
        <f>789.77001283758*Deflactores!$Z$5</f>
        <v>837.41728268973816</v>
      </c>
      <c r="K59" s="50">
        <f>422.935679535*Deflactores!$AA$5</f>
        <v>422.93567953500002</v>
      </c>
    </row>
    <row r="60" spans="3:11" x14ac:dyDescent="0.2">
      <c r="C60" s="87" t="s">
        <v>125</v>
      </c>
      <c r="D60" s="42">
        <f>327.372708889349*Deflactores!$T$5</f>
        <v>509.17740123999795</v>
      </c>
      <c r="E60" s="42">
        <f>243.643233944079*Deflactores!$U$5</f>
        <v>372.94479657633127</v>
      </c>
      <c r="F60" s="42">
        <f>383.2487069391*Deflactores!$V$5</f>
        <v>555.42411518616757</v>
      </c>
      <c r="G60" s="42">
        <f>302.683368367509*Deflactores!$W$5</f>
        <v>387.78695497069981</v>
      </c>
      <c r="H60" s="42">
        <f>451.84911058533*Deflactores!$X$5</f>
        <v>529.73343202614672</v>
      </c>
      <c r="I60" s="42">
        <f>341.72148436872*Deflactores!$Y$5</f>
        <v>380.8206545712934</v>
      </c>
      <c r="J60" s="42">
        <f>249.2123277102*Deflactores!$Z$5</f>
        <v>264.24744785388458</v>
      </c>
      <c r="K60" s="42">
        <f>217.37393658627*Deflactores!$AA$5</f>
        <v>217.37393658626999</v>
      </c>
    </row>
    <row r="61" spans="3:11" x14ac:dyDescent="0.2">
      <c r="C61" s="88" t="s">
        <v>126</v>
      </c>
      <c r="D61" s="50">
        <f>197.24931763552*Deflactores!$T$5</f>
        <v>306.79067687332378</v>
      </c>
      <c r="E61" s="50">
        <f>210.471278617659*Deflactores!$U$5</f>
        <v>322.16847116402653</v>
      </c>
      <c r="F61" s="50">
        <f>318.98651550106*Deflactores!$V$5</f>
        <v>462.29197886543318</v>
      </c>
      <c r="G61" s="50">
        <f>303.9895879126*Deflactores!$W$5</f>
        <v>389.46043608281371</v>
      </c>
      <c r="H61" s="50">
        <f>460.02047952681*Deflactores!$X$5</f>
        <v>539.31328337987566</v>
      </c>
      <c r="I61" s="50">
        <f>184.601879886389*Deflactores!$Y$5</f>
        <v>205.72370175464738</v>
      </c>
      <c r="J61" s="50">
        <f>224.71977121763*Deflactores!$Z$5</f>
        <v>238.27724162835281</v>
      </c>
      <c r="K61" s="50">
        <f>188.447674017259*Deflactores!$AA$5</f>
        <v>188.447674017259</v>
      </c>
    </row>
    <row r="62" spans="3:11" x14ac:dyDescent="0.2">
      <c r="C62" s="87" t="s">
        <v>127</v>
      </c>
      <c r="D62" s="42">
        <f>85.0317916714599*Deflactores!$T$5</f>
        <v>132.25374483090729</v>
      </c>
      <c r="E62" s="42">
        <f>82.08811447538*Deflactores!$U$5</f>
        <v>125.65230997295738</v>
      </c>
      <c r="F62" s="42">
        <f>113.121567184129*Deflactores!$V$5</f>
        <v>163.94170475753626</v>
      </c>
      <c r="G62" s="42">
        <f>180.03564532904*Deflactores!$W$5</f>
        <v>230.65513994004939</v>
      </c>
      <c r="H62" s="42">
        <f>264.313946154429*Deflactores!$X$5</f>
        <v>309.87320888466894</v>
      </c>
      <c r="I62" s="42">
        <f>260.20243270279*Deflactores!$Y$5</f>
        <v>289.97433663257794</v>
      </c>
      <c r="J62" s="42">
        <f>198.71816047376*Deflactores!$Z$5</f>
        <v>210.70693905829827</v>
      </c>
      <c r="K62" s="42">
        <f>196.02518717376*Deflactores!$AA$5</f>
        <v>196.02518717376</v>
      </c>
    </row>
    <row r="63" spans="3:11" x14ac:dyDescent="0.2">
      <c r="C63" s="88" t="s">
        <v>128</v>
      </c>
      <c r="D63" s="50">
        <f>138.26560700624*Deflactores!$T$5</f>
        <v>215.050676322881</v>
      </c>
      <c r="E63" s="50">
        <f>133.90501217199*Deflactores!$U$5</f>
        <v>204.96845619975645</v>
      </c>
      <c r="F63" s="50">
        <f>359.94595309854*Deflactores!$V$5</f>
        <v>521.65254283915169</v>
      </c>
      <c r="G63" s="50">
        <f>350.301110505762*Deflactores!$W$5</f>
        <v>448.79307937708876</v>
      </c>
      <c r="H63" s="50">
        <f>486.395040145094*Deflactores!$X$5</f>
        <v>570.23397390952266</v>
      </c>
      <c r="I63" s="50">
        <f>963.291395357899*Deflactores!$Y$5</f>
        <v>1073.5094997049273</v>
      </c>
      <c r="J63" s="50">
        <f>716.38134140273*Deflactores!$Z$5</f>
        <v>759.60103135807219</v>
      </c>
      <c r="K63" s="50">
        <f>498.790731828399*Deflactores!$AA$5</f>
        <v>498.79073182839898</v>
      </c>
    </row>
    <row r="64" spans="3:11" x14ac:dyDescent="0.2">
      <c r="C64" s="87" t="s">
        <v>129</v>
      </c>
      <c r="D64" s="42">
        <f>1053.89981363973*Deflactores!$T$5</f>
        <v>1639.1774686929461</v>
      </c>
      <c r="E64" s="42">
        <f>1328.11968968863*Deflactores!$U$5</f>
        <v>2032.9533452738158</v>
      </c>
      <c r="F64" s="42">
        <f>2018.14714029689*Deflactores!$V$5</f>
        <v>2924.8046227407499</v>
      </c>
      <c r="G64" s="42">
        <f>1949.02550969444*Deflactores!$W$5</f>
        <v>2497.020803095284</v>
      </c>
      <c r="H64" s="42">
        <f>1826.43670990824*Deflactores!$X$5</f>
        <v>2141.2559282564357</v>
      </c>
      <c r="I64" s="42">
        <f>2813.11417452458*Deflactores!$Y$5</f>
        <v>3134.9857422786517</v>
      </c>
      <c r="J64" s="42">
        <f>2168.0641981001*Deflactores!$Z$5</f>
        <v>2298.8647327171607</v>
      </c>
      <c r="K64" s="42">
        <f>1923.53876383604*Deflactores!$AA$5</f>
        <v>1923.5387638360401</v>
      </c>
    </row>
    <row r="65" spans="3:11" x14ac:dyDescent="0.2">
      <c r="C65" s="88" t="s">
        <v>130</v>
      </c>
      <c r="D65" s="50">
        <f>444.223760381949*Deflactores!$T$5</f>
        <v>690.92106256417196</v>
      </c>
      <c r="E65" s="50">
        <f>403.02721940475*Deflactores!$U$5</f>
        <v>616.91392747695738</v>
      </c>
      <c r="F65" s="50">
        <f>696.8199241366*Deflactores!$V$5</f>
        <v>1009.8679598915502</v>
      </c>
      <c r="G65" s="50">
        <f>829.17265326404*Deflactores!$W$5</f>
        <v>1062.3059340473276</v>
      </c>
      <c r="H65" s="50">
        <f>650.19622214562*Deflactores!$X$5</f>
        <v>762.26923585498525</v>
      </c>
      <c r="I65" s="50">
        <f>929.65762236639*Deflactores!$Y$5</f>
        <v>1036.027409663119</v>
      </c>
      <c r="J65" s="50">
        <f>396.25331116953*Deflactores!$Z$5</f>
        <v>420.15949669216087</v>
      </c>
      <c r="K65" s="50">
        <f>386.27770850076*Deflactores!$AA$5</f>
        <v>386.27770850076001</v>
      </c>
    </row>
    <row r="66" spans="3:11" x14ac:dyDescent="0.2">
      <c r="C66" s="87" t="s">
        <v>131</v>
      </c>
      <c r="D66" s="42">
        <f>4050.95447037366*Deflactores!$T$5</f>
        <v>6300.6304855533444</v>
      </c>
      <c r="E66" s="42">
        <f>3981.92212260366*Deflactores!$U$5</f>
        <v>6095.1298008877229</v>
      </c>
      <c r="F66" s="42">
        <f>4846.41271580845*Deflactores!$V$5</f>
        <v>7023.6753464967123</v>
      </c>
      <c r="G66" s="42">
        <f>5517.98010916356*Deflactores!$W$5</f>
        <v>7069.4360105156002</v>
      </c>
      <c r="H66" s="42">
        <f>7369.36767830183*Deflactores!$X$5</f>
        <v>8639.6107475620829</v>
      </c>
      <c r="I66" s="42">
        <f>8037.75249255034*Deflactores!$Y$5</f>
        <v>8957.4179719771055</v>
      </c>
      <c r="J66" s="42">
        <f>6733.87455862854*Deflactores!$Z$5</f>
        <v>7140.1330047966412</v>
      </c>
      <c r="K66" s="42">
        <f>5057.43975253105*Deflactores!$AA$5</f>
        <v>5057.4397525310496</v>
      </c>
    </row>
    <row r="67" spans="3:11" x14ac:dyDescent="0.2">
      <c r="C67" s="88" t="s">
        <v>132</v>
      </c>
      <c r="D67" s="50">
        <f>17.26052396833*Deflactores!$T$5</f>
        <v>26.846064132992556</v>
      </c>
      <c r="E67" s="50">
        <f>19.7374142852399*Deflactores!$U$5</f>
        <v>30.212068015978883</v>
      </c>
      <c r="F67" s="50">
        <f>19.4154369081999*Deflactores!$V$5</f>
        <v>28.137868883673463</v>
      </c>
      <c r="G67" s="50">
        <f>17.39965048973*Deflactores!$W$5</f>
        <v>22.291801222373092</v>
      </c>
      <c r="H67" s="50">
        <f>19.19764458816*Deflactores!$X$5</f>
        <v>22.50670393337796</v>
      </c>
      <c r="I67" s="50">
        <f>17.1516034009*Deflactores!$Y$5</f>
        <v>19.114059644638044</v>
      </c>
      <c r="J67" s="50">
        <f>16.02565818293*Deflactores!$Z$5</f>
        <v>16.992495170393017</v>
      </c>
      <c r="K67" s="50">
        <f>5.56263346673999*Deflactores!$AA$5</f>
        <v>5.5626334667399897</v>
      </c>
    </row>
    <row r="68" spans="3:11" x14ac:dyDescent="0.2">
      <c r="C68" s="87" t="s">
        <v>133</v>
      </c>
      <c r="D68" s="42">
        <f>112.223584678999*Deflactores!$T$5</f>
        <v>174.5463554324661</v>
      </c>
      <c r="E68" s="42">
        <f>120.963758345869*Deflactores!$U$5</f>
        <v>185.15927374270078</v>
      </c>
      <c r="F68" s="42">
        <f>121.70798864205*Deflactores!$V$5</f>
        <v>176.38559681648357</v>
      </c>
      <c r="G68" s="42">
        <f>168.20035360599*Deflactores!$W$5</f>
        <v>215.49219338231529</v>
      </c>
      <c r="H68" s="42">
        <f>193.49738372993*Deflactores!$X$5</f>
        <v>226.85013817677745</v>
      </c>
      <c r="I68" s="42">
        <f>228.64600854682*Deflactores!$Y$5</f>
        <v>254.8072820202344</v>
      </c>
      <c r="J68" s="42">
        <f>316.223321697129*Deflactores!$Z$5</f>
        <v>335.3012528638414</v>
      </c>
      <c r="K68" s="42">
        <f>172.46282368369*Deflactores!$AA$5</f>
        <v>172.46282368369</v>
      </c>
    </row>
    <row r="69" spans="3:11" x14ac:dyDescent="0.2">
      <c r="C69" s="88" t="s">
        <v>134</v>
      </c>
      <c r="D69" s="50">
        <f>1169.71891650553*Deflactores!$T$5</f>
        <v>1819.3160942101042</v>
      </c>
      <c r="E69" s="50">
        <f>987.04384689056*Deflactores!$U$5</f>
        <v>1510.868414983396</v>
      </c>
      <c r="F69" s="50">
        <f>1616.70723046888*Deflactores!$V$5</f>
        <v>2343.0168627834328</v>
      </c>
      <c r="G69" s="50">
        <f>1976.41625472326*Deflactores!$W$5</f>
        <v>2532.1128323217076</v>
      </c>
      <c r="H69" s="50">
        <f>1640.47182457508*Deflactores!$X$5</f>
        <v>1923.2366500591845</v>
      </c>
      <c r="I69" s="50">
        <f>2963.56877232382*Deflactores!$Y$5</f>
        <v>3302.6550900898192</v>
      </c>
      <c r="J69" s="50">
        <f>2443.69903140145*Deflactores!$Z$5</f>
        <v>2591.1287708116597</v>
      </c>
      <c r="K69" s="50">
        <f>3781.04811141733*Deflactores!$AA$5</f>
        <v>3781.0481114173299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6476.39146826265*Deflactores!$Y$5</f>
        <v>7217.4087700687842</v>
      </c>
      <c r="J70" s="42">
        <f>6735.4282111402*Deflactores!$Z$5</f>
        <v>7141.7803900396984</v>
      </c>
      <c r="K70" s="42">
        <f>4668.64701923644*Deflactores!$AA$5</f>
        <v>4668.6470192364404</v>
      </c>
    </row>
    <row r="71" spans="3:11" x14ac:dyDescent="0.2">
      <c r="C71" s="88" t="s">
        <v>136</v>
      </c>
      <c r="D71" s="50">
        <f>7951.17159324398*Deflactores!$T$5</f>
        <v>12366.812439547806</v>
      </c>
      <c r="E71" s="50">
        <f>8575.50480492746*Deflactores!$U$5</f>
        <v>13126.528667515024</v>
      </c>
      <c r="F71" s="50">
        <f>11914.9247066506*Deflactores!$V$5</f>
        <v>17267.7334401361</v>
      </c>
      <c r="G71" s="50">
        <f>19048.9440520717*Deflactores!$W$5</f>
        <v>24404.816324070765</v>
      </c>
      <c r="H71" s="50">
        <f>15296.3502105005*Deflactores!$X$5</f>
        <v>17932.9512986882</v>
      </c>
      <c r="I71" s="50">
        <f>10863.196471742*Deflactores!$Y$5</f>
        <v>12106.144273450411</v>
      </c>
      <c r="J71" s="50">
        <f>8784.72130867526*Deflactores!$Z$5</f>
        <v>9314.7084947758976</v>
      </c>
      <c r="K71" s="50">
        <f>5698.4477396999*Deflactores!$AA$5</f>
        <v>5698.4477396999</v>
      </c>
    </row>
    <row r="72" spans="3:11" x14ac:dyDescent="0.2">
      <c r="C72" s="87" t="s">
        <v>137</v>
      </c>
      <c r="D72" s="42">
        <f>179.519353133389*Deflactores!$T$5</f>
        <v>279.21447090337591</v>
      </c>
      <c r="E72" s="42">
        <f>169.66980518353*Deflactores!$U$5</f>
        <v>259.713639303609</v>
      </c>
      <c r="F72" s="42">
        <f>217.88851002534*Deflactores!$V$5</f>
        <v>315.77544998550411</v>
      </c>
      <c r="G72" s="42">
        <f>251.49912177299*Deflactores!$W$5</f>
        <v>322.21155439150982</v>
      </c>
      <c r="H72" s="42">
        <f>634.72125268396*Deflactores!$X$5</f>
        <v>744.12687706444615</v>
      </c>
      <c r="I72" s="42">
        <f>949.73573878064*Deflactores!$Y$5</f>
        <v>1058.4028287842154</v>
      </c>
      <c r="J72" s="42">
        <f>687.39561462353*Deflactores!$Z$5</f>
        <v>728.86657935094513</v>
      </c>
      <c r="K72" s="42">
        <f>300.82458232059*Deflactores!$AA$5</f>
        <v>300.82458232059003</v>
      </c>
    </row>
    <row r="73" spans="3:11" x14ac:dyDescent="0.2">
      <c r="C73" s="88" t="s">
        <v>138</v>
      </c>
      <c r="D73" s="50">
        <f>7.24011327854*Deflactores!$T$5</f>
        <v>11.260871672403901</v>
      </c>
      <c r="E73" s="50">
        <f>7.09158704076*Deflactores!$U$5</f>
        <v>10.855095146728406</v>
      </c>
      <c r="F73" s="50">
        <f>7.62840792554*Deflactores!$V$5</f>
        <v>11.055488630769164</v>
      </c>
      <c r="G73" s="50">
        <f>7.00219109229*Deflactores!$W$5</f>
        <v>8.9709532983166476</v>
      </c>
      <c r="H73" s="50">
        <f>28.58911039884*Deflactores!$X$5</f>
        <v>33.516957797113804</v>
      </c>
      <c r="I73" s="50">
        <f>39.42857062632*Deflactores!$Y$5</f>
        <v>43.939918212821908</v>
      </c>
      <c r="J73" s="50">
        <f>35.1851783793699*Deflactores!$Z$5</f>
        <v>37.307920015273126</v>
      </c>
      <c r="K73" s="50">
        <f>7.39804815575*Deflactores!$AA$5</f>
        <v>7.3980481557499997</v>
      </c>
    </row>
    <row r="74" spans="3:11" x14ac:dyDescent="0.2">
      <c r="C74" s="87" t="s">
        <v>160</v>
      </c>
      <c r="D74" s="42">
        <f>90.8150400894*Deflactores!$T$5</f>
        <v>141.24868949248983</v>
      </c>
      <c r="E74" s="42">
        <f>204.8316122369*Deflactores!$U$5</f>
        <v>313.53583155781735</v>
      </c>
      <c r="F74" s="42">
        <f>337.176317504449*Deflactores!$V$5</f>
        <v>488.65359339985434</v>
      </c>
      <c r="G74" s="42">
        <f>527.31773120062*Deflactores!$W$5</f>
        <v>675.58035443845245</v>
      </c>
      <c r="H74" s="42">
        <f>459.49130289419*Deflactores!$X$5</f>
        <v>538.69289363653252</v>
      </c>
      <c r="I74" s="42">
        <f>487.09482211411*Deflactores!$Y$5</f>
        <v>542.82735350532369</v>
      </c>
      <c r="J74" s="42">
        <f>461.12502309919*Deflactores!$Z$5</f>
        <v>488.9449555530046</v>
      </c>
      <c r="K74" s="42">
        <f>198.34751462507*Deflactores!$AA$5</f>
        <v>198.34751462507</v>
      </c>
    </row>
    <row r="75" spans="3:11" x14ac:dyDescent="0.2">
      <c r="C75" s="88" t="s">
        <v>161</v>
      </c>
      <c r="D75" s="50">
        <f>269.58784915244*Deflactores!$T$5</f>
        <v>419.30202704745369</v>
      </c>
      <c r="E75" s="50">
        <f>351.93193547118*Deflactores!$U$5</f>
        <v>538.70235572861645</v>
      </c>
      <c r="F75" s="50">
        <f>399.29915884968*Deflactores!$V$5</f>
        <v>578.68527142586402</v>
      </c>
      <c r="G75" s="50">
        <f>386.70711822953*Deflactores!$W$5</f>
        <v>495.43513623664637</v>
      </c>
      <c r="H75" s="50">
        <f>341.70574375636*Deflactores!$X$5</f>
        <v>400.60487481898014</v>
      </c>
      <c r="I75" s="50">
        <f>572.39793868475*Deflactores!$Y$5</f>
        <v>637.89070238844715</v>
      </c>
      <c r="J75" s="50">
        <f>526.71303305281*Deflactores!$Z$5</f>
        <v>558.48992710117534</v>
      </c>
      <c r="K75" s="50">
        <f>290.04911776137*Deflactores!$AA$5</f>
        <v>290.04911776136998</v>
      </c>
    </row>
    <row r="76" spans="3:11" x14ac:dyDescent="0.2">
      <c r="C76" s="87" t="s">
        <v>140</v>
      </c>
      <c r="D76" s="42">
        <f>2947.84209677741*Deflactores!$T$5</f>
        <v>4584.910523529049</v>
      </c>
      <c r="E76" s="42">
        <f>2957.58303695216*Deflactores!$U$5</f>
        <v>4527.1735488739059</v>
      </c>
      <c r="F76" s="42">
        <f>4294.83381059289*Deflactores!$V$5</f>
        <v>6224.2982844538392</v>
      </c>
      <c r="G76" s="42">
        <f>4053.36020428291*Deflactores!$W$5</f>
        <v>5193.0181017075329</v>
      </c>
      <c r="H76" s="42">
        <f>6370.78567600493*Deflactores!$X$5</f>
        <v>7468.9051760693574</v>
      </c>
      <c r="I76" s="42">
        <f>6756.589148683*Deflactores!$Y$5</f>
        <v>7529.6661754354891</v>
      </c>
      <c r="J76" s="42">
        <f>6184.15258352854*Deflactores!$Z$5</f>
        <v>6557.2459932107113</v>
      </c>
      <c r="K76" s="42">
        <f>5723.75473978247*Deflactores!$AA$5</f>
        <v>5723.7547397824701</v>
      </c>
    </row>
    <row r="77" spans="3:11" x14ac:dyDescent="0.2">
      <c r="C77" s="88" t="s">
        <v>141</v>
      </c>
      <c r="D77" s="50">
        <f>150.28931646502*Deflactores!$T$5</f>
        <v>233.75168886683031</v>
      </c>
      <c r="E77" s="50">
        <f>203.082940816609*Deflactores!$U$5</f>
        <v>310.85913950870037</v>
      </c>
      <c r="F77" s="50">
        <f>300.75663554628*Deflactores!$V$5</f>
        <v>435.87228126305428</v>
      </c>
      <c r="G77" s="50">
        <f>322.99075886375*Deflactores!$W$5</f>
        <v>413.80404724243874</v>
      </c>
      <c r="H77" s="50">
        <f>520.29727482276*Deflactores!$X$5</f>
        <v>609.9798685199853</v>
      </c>
      <c r="I77" s="50">
        <f>461.550373040819*Deflactores!$Y$5</f>
        <v>514.36015357282747</v>
      </c>
      <c r="J77" s="50">
        <f>364.29935462833*Deflactores!$Z$5</f>
        <v>386.27773994911172</v>
      </c>
      <c r="K77" s="50">
        <f>240.58144979804*Deflactores!$AA$5</f>
        <v>240.58144979804001</v>
      </c>
    </row>
    <row r="78" spans="3:11" x14ac:dyDescent="0.2">
      <c r="C78" s="87" t="s">
        <v>142</v>
      </c>
      <c r="D78" s="42">
        <f>269.525839756349*Deflactores!$T$5</f>
        <v>419.20558106311614</v>
      </c>
      <c r="E78" s="42">
        <f>186.89580544895*Deflactores!$U$5</f>
        <v>286.08148486539221</v>
      </c>
      <c r="F78" s="42">
        <f>516.55555375496*Deflactores!$V$5</f>
        <v>748.61938525585276</v>
      </c>
      <c r="G78" s="42">
        <f>1030.49267358223*Deflactores!$W$5</f>
        <v>1320.2298433618325</v>
      </c>
      <c r="H78" s="42">
        <f>1288.00418734759*Deflactores!$X$5</f>
        <v>1510.0148758593991</v>
      </c>
      <c r="I78" s="42">
        <f>817.132259292449*Deflactores!$Y$5</f>
        <v>910.62709279146145</v>
      </c>
      <c r="J78" s="42">
        <f>602.660741276309*Deflactores!$Z$5</f>
        <v>639.01960335277954</v>
      </c>
      <c r="K78" s="42">
        <f>438.21788239603*Deflactores!$AA$5</f>
        <v>438.21788239603001</v>
      </c>
    </row>
    <row r="79" spans="3:11" x14ac:dyDescent="0.2">
      <c r="C79" s="88" t="s">
        <v>143</v>
      </c>
      <c r="D79" s="50">
        <f>259.46174088117*Deflactores!$T$5</f>
        <v>403.55243841579158</v>
      </c>
      <c r="E79" s="50">
        <f>683.62923952745*Deflactores!$U$5</f>
        <v>1046.431552980102</v>
      </c>
      <c r="F79" s="50">
        <f>2298.07416872874*Deflactores!$V$5</f>
        <v>3330.4895455294386</v>
      </c>
      <c r="G79" s="50">
        <f>1208.08034877217*Deflactores!$W$5</f>
        <v>1547.7487327334393</v>
      </c>
      <c r="H79" s="50">
        <f>2159.10552439612*Deflactores!$X$5</f>
        <v>2531.2661965038369</v>
      </c>
      <c r="I79" s="50">
        <f>696.05167274012*Deflactores!$Y$5</f>
        <v>775.69267884346084</v>
      </c>
      <c r="J79" s="50">
        <f>480.185708624419*Deflactores!$Z$5</f>
        <v>509.15558297527355</v>
      </c>
      <c r="K79" s="50">
        <f>188.38977016697*Deflactores!$AA$5</f>
        <v>188.38977016697001</v>
      </c>
    </row>
    <row r="80" spans="3:11" x14ac:dyDescent="0.2">
      <c r="C80" s="87" t="s">
        <v>144</v>
      </c>
      <c r="D80" s="42">
        <f>321.45615513963*Deflactores!$T$5</f>
        <v>499.97512083978012</v>
      </c>
      <c r="E80" s="42">
        <f>262.37118981223*Deflactores!$U$5</f>
        <v>401.61168618567359</v>
      </c>
      <c r="F80" s="42">
        <f>410.751881874079*Deflactores!$V$5</f>
        <v>595.2831579604424</v>
      </c>
      <c r="G80" s="42">
        <f>489.71873122904*Deflactores!$W$5</f>
        <v>627.40987917395307</v>
      </c>
      <c r="H80" s="42">
        <f>709.58348720248*Deflactores!$X$5</f>
        <v>831.89296421966878</v>
      </c>
      <c r="I80" s="42">
        <f>993.701711954949*Deflactores!$Y$5</f>
        <v>1107.3993111506513</v>
      </c>
      <c r="J80" s="42">
        <f>1184.2927216499*Deflactores!$Z$5</f>
        <v>1255.7417688094106</v>
      </c>
      <c r="K80" s="42">
        <f>447.32094507034*Deflactores!$AA$5</f>
        <v>447.32094507033997</v>
      </c>
    </row>
    <row r="81" spans="1:11" x14ac:dyDescent="0.2">
      <c r="C81" s="88" t="s">
        <v>145</v>
      </c>
      <c r="D81" s="50">
        <f>58.978342967*Deflactores!$T$5</f>
        <v>91.731651985470094</v>
      </c>
      <c r="E81" s="50">
        <f>116.956398882*Deflactores!$U$5</f>
        <v>179.02520699326712</v>
      </c>
      <c r="F81" s="50">
        <f>63.501036954*Deflactores!$V$5</f>
        <v>92.029031344348809</v>
      </c>
      <c r="G81" s="50">
        <f>146.586798132*Deflactores!$W$5</f>
        <v>187.80168990816219</v>
      </c>
      <c r="H81" s="50">
        <f>243.208853273*Deflactores!$X$5</f>
        <v>285.13027363615817</v>
      </c>
      <c r="I81" s="50">
        <f>177.269805231*Deflactores!$Y$5</f>
        <v>197.55270403470882</v>
      </c>
      <c r="J81" s="50">
        <f>171.065803333*Deflactores!$Z$5</f>
        <v>181.38629963115446</v>
      </c>
      <c r="K81" s="50">
        <f>215.681699587*Deflactores!$AA$5</f>
        <v>215.681699587</v>
      </c>
    </row>
    <row r="82" spans="1:11" x14ac:dyDescent="0.2">
      <c r="C82" s="87" t="s">
        <v>146</v>
      </c>
      <c r="D82" s="42">
        <f>39.61131378285*Deflactores!$T$5</f>
        <v>61.609246171069195</v>
      </c>
      <c r="E82" s="42">
        <f>41.32036290865*Deflactores!$U$5</f>
        <v>63.249096188583714</v>
      </c>
      <c r="F82" s="42">
        <f>57.22022487088*Deflactores!$V$5</f>
        <v>82.926549246550479</v>
      </c>
      <c r="G82" s="42">
        <f>59.06011413243*Deflactores!$W$5</f>
        <v>75.665676456425601</v>
      </c>
      <c r="H82" s="42">
        <f>79.4460932495*Deflactores!$X$5</f>
        <v>93.140056386542952</v>
      </c>
      <c r="I82" s="42">
        <f>32.02278792026*Deflactores!$Y$5</f>
        <v>35.686778896912124</v>
      </c>
      <c r="J82" s="42">
        <f>18.8420124656*Deflactores!$Z$5</f>
        <v>19.978761693746247</v>
      </c>
      <c r="K82" s="42">
        <f>6.5254535055*Deflactores!$AA$5</f>
        <v>6.5254535054999998</v>
      </c>
    </row>
    <row r="83" spans="1:11" x14ac:dyDescent="0.2">
      <c r="C83" s="88" t="s">
        <v>162</v>
      </c>
      <c r="D83" s="50">
        <f>522.14614027195*Deflactores!$T$5</f>
        <v>812.11722160086515</v>
      </c>
      <c r="E83" s="50">
        <f>570.31260894383*Deflactores!$U$5</f>
        <v>872.97774079082876</v>
      </c>
      <c r="F83" s="50">
        <f>714.72608173844*Deflactores!$V$5</f>
        <v>1035.8185020912044</v>
      </c>
      <c r="G83" s="50">
        <f>987.13788220809*Deflactores!$W$5</f>
        <v>1264.6852568817635</v>
      </c>
      <c r="H83" s="50">
        <f>1892.2162018296*Deflactores!$X$5</f>
        <v>2218.3736987601756</v>
      </c>
      <c r="I83" s="50">
        <f>1815.58085793159*Deflactores!$Y$5</f>
        <v>2023.3164210377283</v>
      </c>
      <c r="J83" s="50">
        <f>1965.36186308955*Deflactores!$Z$5</f>
        <v>2083.9332516274767</v>
      </c>
      <c r="K83" s="50">
        <f>1776.98751629089*Deflactores!$AA$5</f>
        <v>1776.98751629089</v>
      </c>
    </row>
    <row r="84" spans="1:11" x14ac:dyDescent="0.2">
      <c r="C84" s="87" t="s">
        <v>148</v>
      </c>
      <c r="D84" s="42">
        <f>131.86012306384*Deflactores!$T$5</f>
        <v>205.08794094844833</v>
      </c>
      <c r="E84" s="42">
        <f>169.528733938289*Deflactores!$U$5</f>
        <v>259.49770149155694</v>
      </c>
      <c r="F84" s="42">
        <f>196.59069856996*Deflactores!$V$5</f>
        <v>284.90954523794812</v>
      </c>
      <c r="G84" s="42">
        <f>242.37571934876*Deflactores!$W$5</f>
        <v>310.52298205882448</v>
      </c>
      <c r="H84" s="42">
        <f>233.308292914719*Deflactores!$X$5</f>
        <v>273.52317362265984</v>
      </c>
      <c r="I84" s="42">
        <f>247.65642707201*Deflactores!$Y$5</f>
        <v>275.99283914085589</v>
      </c>
      <c r="J84" s="42">
        <f>262.45457091479*Deflactores!$Z$5</f>
        <v>278.28860305204353</v>
      </c>
      <c r="K84" s="42">
        <f>206.60666206552*Deflactores!$AA$5</f>
        <v>206.60666206552</v>
      </c>
    </row>
    <row r="85" spans="1:11" x14ac:dyDescent="0.2">
      <c r="C85" s="88" t="s">
        <v>149</v>
      </c>
      <c r="D85" s="50">
        <f>14.31941515729*Deflactores!$T$5</f>
        <v>22.271626189615997</v>
      </c>
      <c r="E85" s="50">
        <f>0*Deflactores!$U$5</f>
        <v>0</v>
      </c>
      <c r="F85" s="50">
        <f>0*Deflactores!$V$5</f>
        <v>0</v>
      </c>
      <c r="G85" s="50">
        <f>0*Deflactores!$W$5</f>
        <v>0</v>
      </c>
      <c r="H85" s="50">
        <f>0*Deflactores!$X$5</f>
        <v>0</v>
      </c>
      <c r="I85" s="50">
        <f>791.205807196*Deflactores!$Y$5</f>
        <v>881.7341817229036</v>
      </c>
      <c r="J85" s="50">
        <f>491.35721619258*Deflactores!$Z$5</f>
        <v>521.00107388934953</v>
      </c>
      <c r="K85" s="50">
        <f>10*Deflactores!$AA$5</f>
        <v>10</v>
      </c>
    </row>
    <row r="86" spans="1:11" x14ac:dyDescent="0.2">
      <c r="C86" s="87" t="s">
        <v>163</v>
      </c>
      <c r="D86" s="42">
        <f>3557.51871904877*Deflactores!$T$5</f>
        <v>5533.1678146700669</v>
      </c>
      <c r="E86" s="42">
        <f>4143.55273728844*Deflactores!$U$5</f>
        <v>6342.5378480488353</v>
      </c>
      <c r="F86" s="42">
        <f>2476.32909317987*Deflactores!$V$5</f>
        <v>3588.8259257917175</v>
      </c>
      <c r="G86" s="42">
        <f>2613.25748991833*Deflactores!$W$5</f>
        <v>3348.0107282914182</v>
      </c>
      <c r="H86" s="42">
        <f>2855.65932673714*Deflactores!$X$5</f>
        <v>3347.8835753163794</v>
      </c>
      <c r="I86" s="42">
        <f>3399.25104821853*Deflactores!$Y$5</f>
        <v>3788.1873644150378</v>
      </c>
      <c r="J86" s="42">
        <f>3479.12664234872*Deflactores!$Z$5</f>
        <v>3689.0243129151431</v>
      </c>
      <c r="K86" s="42">
        <f>2578.13049079625*Deflactores!$AA$5</f>
        <v>2578.1304907962499</v>
      </c>
    </row>
    <row r="87" spans="1:11" x14ac:dyDescent="0.2">
      <c r="C87" s="88" t="s">
        <v>150</v>
      </c>
      <c r="D87" s="50">
        <f>4506.65704674783*Deflactores!$T$5</f>
        <v>7009.4050635069325</v>
      </c>
      <c r="E87" s="50">
        <f>4823.0439250498*Deflactores!$U$5</f>
        <v>7382.635283519724</v>
      </c>
      <c r="F87" s="50">
        <f>7593.31585938642*Deflactores!$V$5</f>
        <v>11004.631369047198</v>
      </c>
      <c r="G87" s="50">
        <f>8465.74958167558*Deflactores!$W$5</f>
        <v>10846.011360083856</v>
      </c>
      <c r="H87" s="50">
        <f>8717.00961761594*Deflactores!$X$5</f>
        <v>10219.543014620116</v>
      </c>
      <c r="I87" s="50">
        <f>9499.4303046705*Deflactores!$Y$5</f>
        <v>10586.338384201817</v>
      </c>
      <c r="J87" s="50">
        <f>8332.81416570121*Deflactores!$Z$5</f>
        <v>8835.5375392495844</v>
      </c>
      <c r="K87" s="50">
        <f>8443.37497917038*Deflactores!$AA$5</f>
        <v>8443.3749791703794</v>
      </c>
    </row>
    <row r="88" spans="1:11" x14ac:dyDescent="0.2">
      <c r="C88" s="87" t="s">
        <v>151</v>
      </c>
      <c r="D88" s="42">
        <f>1925.21048560088*Deflactores!$T$5</f>
        <v>2994.3658871991684</v>
      </c>
      <c r="E88" s="42">
        <f>1980.99172377834*Deflactores!$U$5</f>
        <v>3032.3048314712419</v>
      </c>
      <c r="F88" s="42">
        <f>3221.0590711635*Deflactores!$V$5</f>
        <v>4668.1276470624989</v>
      </c>
      <c r="G88" s="42">
        <f>3100.58621018887*Deflactores!$W$5</f>
        <v>3972.3586120972682</v>
      </c>
      <c r="H88" s="42">
        <f>4925.39672612925*Deflactores!$X$5</f>
        <v>5774.3774430426083</v>
      </c>
      <c r="I88" s="42">
        <f>5318.6024361443*Deflactores!$Y$5</f>
        <v>5927.1475566677873</v>
      </c>
      <c r="J88" s="42">
        <f>3990.29980425294*Deflactores!$Z$5</f>
        <v>4231.036839685753</v>
      </c>
      <c r="K88" s="42">
        <f>2005.18565825806*Deflactores!$AA$5</f>
        <v>2005.1856582580599</v>
      </c>
    </row>
    <row r="89" spans="1:11" x14ac:dyDescent="0.2">
      <c r="C89" s="79" t="s">
        <v>202</v>
      </c>
      <c r="D89" s="44">
        <f t="shared" ref="D89:K89" si="1">+SUM(D58:D88)</f>
        <v>50387.312712182582</v>
      </c>
      <c r="E89" s="44">
        <f t="shared" si="1"/>
        <v>52342.979205601136</v>
      </c>
      <c r="F89" s="44">
        <f t="shared" si="1"/>
        <v>68896.956258227161</v>
      </c>
      <c r="G89" s="44">
        <f t="shared" si="1"/>
        <v>72654.139632642677</v>
      </c>
      <c r="H89" s="44">
        <f t="shared" si="1"/>
        <v>76494.438569080725</v>
      </c>
      <c r="I89" s="44">
        <f t="shared" si="1"/>
        <v>83479.710637398399</v>
      </c>
      <c r="J89" s="44">
        <f t="shared" si="1"/>
        <v>66707.122279099669</v>
      </c>
      <c r="K89" s="44">
        <f t="shared" si="1"/>
        <v>48056.257983778392</v>
      </c>
    </row>
    <row r="90" spans="1:11" s="31" customFormat="1" x14ac:dyDescent="0.2">
      <c r="A90" s="5"/>
      <c r="B90" s="5"/>
      <c r="C90" s="72" t="str">
        <f>+'C1 Aprop Resumen 2000-2026'!B20</f>
        <v>* Información con corte a 30 de Junio</v>
      </c>
      <c r="D90" s="121">
        <f>+D89-'C6 Ejec. Nac 19-26'!D65</f>
        <v>0</v>
      </c>
      <c r="E90" s="121">
        <f>+E89-'C6 Ejec. Nac 19-26'!E65</f>
        <v>9.4587448984384537E-11</v>
      </c>
      <c r="F90" s="121">
        <f>+F89-'C6 Ejec. Nac 19-26'!F65</f>
        <v>0</v>
      </c>
      <c r="G90" s="121">
        <f>+G89-'C6 Ejec. Nac 19-26'!G65</f>
        <v>0</v>
      </c>
      <c r="H90" s="121">
        <f>+H89-'C6 Ejec. Nac 19-26'!H65</f>
        <v>0</v>
      </c>
      <c r="I90" s="121">
        <f>+I89-'C6 Ejec. Nac 19-26'!I65</f>
        <v>0</v>
      </c>
      <c r="J90" s="121">
        <f>+J89-'C6 Ejec. Nac 19-26'!J65</f>
        <v>0</v>
      </c>
      <c r="K90" s="121">
        <f>+K89-'C6 Ejec. Nac 19-26'!K65</f>
        <v>0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7.25" customHeight="1" x14ac:dyDescent="0.2">
      <c r="D95" s="131" t="s">
        <v>212</v>
      </c>
      <c r="E95" s="131"/>
      <c r="F95" s="131"/>
      <c r="G95" s="131"/>
      <c r="H95" s="131"/>
      <c r="I95" s="131"/>
      <c r="J95" s="131"/>
      <c r="K95" s="131"/>
    </row>
    <row r="96" spans="1:11" ht="11.25" hidden="1" customHeight="1" x14ac:dyDescent="0.2">
      <c r="D96" s="28"/>
      <c r="E96" s="28"/>
      <c r="F96" s="28"/>
    </row>
    <row r="97" spans="3:11" x14ac:dyDescent="0.2">
      <c r="E97" s="29"/>
      <c r="F97" s="29"/>
    </row>
    <row r="98" spans="3:11" ht="12" thickBot="1" x14ac:dyDescent="0.25">
      <c r="C98" s="181" t="s">
        <v>120</v>
      </c>
      <c r="D98" s="155">
        <v>2019</v>
      </c>
      <c r="E98" s="155">
        <v>2020</v>
      </c>
      <c r="F98" s="155">
        <v>2021</v>
      </c>
      <c r="G98" s="155">
        <v>2022</v>
      </c>
      <c r="H98" s="155">
        <v>2023</v>
      </c>
      <c r="I98" s="155">
        <v>2024</v>
      </c>
      <c r="J98" s="155">
        <v>2025</v>
      </c>
      <c r="K98" s="155" t="s">
        <v>36</v>
      </c>
    </row>
    <row r="99" spans="3:11" ht="12" customHeight="1" thickBot="1" x14ac:dyDescent="0.25">
      <c r="C99" s="162"/>
      <c r="D99" s="156"/>
      <c r="E99" s="156"/>
      <c r="F99" s="156"/>
      <c r="G99" s="156"/>
      <c r="H99" s="156"/>
      <c r="I99" s="156"/>
      <c r="J99" s="156"/>
      <c r="K99" s="156"/>
    </row>
    <row r="100" spans="3:11" x14ac:dyDescent="0.2">
      <c r="C100" s="87" t="s">
        <v>123</v>
      </c>
      <c r="D100" s="47">
        <f t="shared" ref="D100:K109" si="2">+IFERROR(IF(D58&gt;0,+((D58/D15)*100)," "),"")</f>
        <v>95.73686068107385</v>
      </c>
      <c r="E100" s="47">
        <f t="shared" si="2"/>
        <v>95.121236252374658</v>
      </c>
      <c r="F100" s="47">
        <f t="shared" si="2"/>
        <v>93.49527920245518</v>
      </c>
      <c r="G100" s="47">
        <f t="shared" si="2"/>
        <v>88.342622217358553</v>
      </c>
      <c r="H100" s="47">
        <f t="shared" si="2"/>
        <v>92.222187170490983</v>
      </c>
      <c r="I100" s="47">
        <f t="shared" si="2"/>
        <v>97.245008193490449</v>
      </c>
      <c r="J100" s="47">
        <f t="shared" si="2"/>
        <v>95.244777861312556</v>
      </c>
      <c r="K100" s="47">
        <f t="shared" si="2"/>
        <v>56.101424104961609</v>
      </c>
    </row>
    <row r="101" spans="3:11" x14ac:dyDescent="0.2">
      <c r="C101" s="88" t="s">
        <v>124</v>
      </c>
      <c r="D101" s="116">
        <f t="shared" si="2"/>
        <v>94.482573463202513</v>
      </c>
      <c r="E101" s="116">
        <f t="shared" si="2"/>
        <v>94.963219855354907</v>
      </c>
      <c r="F101" s="116">
        <f t="shared" si="2"/>
        <v>74.370532871812486</v>
      </c>
      <c r="G101" s="116">
        <f t="shared" si="2"/>
        <v>82.215102142893898</v>
      </c>
      <c r="H101" s="116">
        <f t="shared" si="2"/>
        <v>82.728906055532931</v>
      </c>
      <c r="I101" s="116">
        <f t="shared" si="2"/>
        <v>99.705538953255456</v>
      </c>
      <c r="J101" s="116">
        <f t="shared" si="2"/>
        <v>97.770004317405565</v>
      </c>
      <c r="K101" s="116">
        <f t="shared" si="2"/>
        <v>45.955830371531569</v>
      </c>
    </row>
    <row r="102" spans="3:11" x14ac:dyDescent="0.2">
      <c r="C102" s="87" t="s">
        <v>125</v>
      </c>
      <c r="D102" s="47">
        <f t="shared" si="2"/>
        <v>99.961103391274875</v>
      </c>
      <c r="E102" s="47">
        <f t="shared" si="2"/>
        <v>99.093095305659787</v>
      </c>
      <c r="F102" s="47">
        <f t="shared" si="2"/>
        <v>99.167724312621502</v>
      </c>
      <c r="G102" s="47">
        <f t="shared" si="2"/>
        <v>99.92800796545086</v>
      </c>
      <c r="H102" s="47">
        <f t="shared" si="2"/>
        <v>98.740813549341709</v>
      </c>
      <c r="I102" s="47">
        <f t="shared" si="2"/>
        <v>98.237727232815587</v>
      </c>
      <c r="J102" s="47">
        <f t="shared" si="2"/>
        <v>97.951336453366082</v>
      </c>
      <c r="K102" s="47">
        <f t="shared" si="2"/>
        <v>62.362150444173992</v>
      </c>
    </row>
    <row r="103" spans="3:11" x14ac:dyDescent="0.2">
      <c r="C103" s="88" t="s">
        <v>126</v>
      </c>
      <c r="D103" s="116">
        <f t="shared" si="2"/>
        <v>98.801158046798648</v>
      </c>
      <c r="E103" s="116">
        <f t="shared" si="2"/>
        <v>98.458340988483968</v>
      </c>
      <c r="F103" s="116">
        <f t="shared" si="2"/>
        <v>98.762572458619161</v>
      </c>
      <c r="G103" s="116">
        <f t="shared" si="2"/>
        <v>97.090119272863802</v>
      </c>
      <c r="H103" s="116">
        <f t="shared" si="2"/>
        <v>98.772652163573852</v>
      </c>
      <c r="I103" s="116">
        <f t="shared" si="2"/>
        <v>98.092958070855303</v>
      </c>
      <c r="J103" s="116">
        <f t="shared" si="2"/>
        <v>98.632071387007528</v>
      </c>
      <c r="K103" s="116">
        <f t="shared" si="2"/>
        <v>90.25830706641554</v>
      </c>
    </row>
    <row r="104" spans="3:11" x14ac:dyDescent="0.2">
      <c r="C104" s="87" t="s">
        <v>127</v>
      </c>
      <c r="D104" s="47">
        <f t="shared" si="2"/>
        <v>94.479768523844328</v>
      </c>
      <c r="E104" s="47">
        <f t="shared" si="2"/>
        <v>98.733460697228779</v>
      </c>
      <c r="F104" s="47">
        <f t="shared" si="2"/>
        <v>97.760069742216089</v>
      </c>
      <c r="G104" s="47">
        <f t="shared" si="2"/>
        <v>86.127672148666477</v>
      </c>
      <c r="H104" s="47">
        <f t="shared" si="2"/>
        <v>95.586965198124631</v>
      </c>
      <c r="I104" s="47">
        <f t="shared" si="2"/>
        <v>98.93628619877947</v>
      </c>
      <c r="J104" s="47">
        <f t="shared" si="2"/>
        <v>99.35908023687999</v>
      </c>
      <c r="K104" s="47">
        <f t="shared" si="2"/>
        <v>98.012593586880001</v>
      </c>
    </row>
    <row r="105" spans="3:11" x14ac:dyDescent="0.2">
      <c r="C105" s="88" t="s">
        <v>128</v>
      </c>
      <c r="D105" s="116">
        <f t="shared" si="2"/>
        <v>99.135575436791484</v>
      </c>
      <c r="E105" s="116">
        <f t="shared" si="2"/>
        <v>99.776832823113722</v>
      </c>
      <c r="F105" s="116">
        <f t="shared" si="2"/>
        <v>99.685302193032285</v>
      </c>
      <c r="G105" s="116">
        <f t="shared" si="2"/>
        <v>97.745040248296206</v>
      </c>
      <c r="H105" s="116">
        <f t="shared" si="2"/>
        <v>98.722891924324728</v>
      </c>
      <c r="I105" s="116">
        <f t="shared" si="2"/>
        <v>99.251798972917967</v>
      </c>
      <c r="J105" s="116">
        <f t="shared" si="2"/>
        <v>99.700381296328928</v>
      </c>
      <c r="K105" s="116">
        <f t="shared" si="2"/>
        <v>67.316938106326816</v>
      </c>
    </row>
    <row r="106" spans="3:11" x14ac:dyDescent="0.2">
      <c r="C106" s="87" t="s">
        <v>129</v>
      </c>
      <c r="D106" s="47">
        <f t="shared" si="2"/>
        <v>99.759990629687309</v>
      </c>
      <c r="E106" s="47">
        <f t="shared" si="2"/>
        <v>99.357839219178388</v>
      </c>
      <c r="F106" s="47">
        <f t="shared" si="2"/>
        <v>99.413133528191054</v>
      </c>
      <c r="G106" s="47">
        <f t="shared" si="2"/>
        <v>96.342575074474794</v>
      </c>
      <c r="H106" s="47">
        <f t="shared" si="2"/>
        <v>95.18041898539478</v>
      </c>
      <c r="I106" s="47">
        <f t="shared" si="2"/>
        <v>93.373344772893105</v>
      </c>
      <c r="J106" s="47">
        <f t="shared" si="2"/>
        <v>98.472190399639757</v>
      </c>
      <c r="K106" s="47">
        <f t="shared" si="2"/>
        <v>54.203068758694897</v>
      </c>
    </row>
    <row r="107" spans="3:11" x14ac:dyDescent="0.2">
      <c r="C107" s="88" t="s">
        <v>130</v>
      </c>
      <c r="D107" s="116">
        <f t="shared" si="2"/>
        <v>96.152329087001945</v>
      </c>
      <c r="E107" s="116">
        <f t="shared" si="2"/>
        <v>95.416492557602396</v>
      </c>
      <c r="F107" s="116">
        <f t="shared" si="2"/>
        <v>95.738091109540761</v>
      </c>
      <c r="G107" s="116">
        <f t="shared" si="2"/>
        <v>98.092260331530568</v>
      </c>
      <c r="H107" s="116">
        <f t="shared" si="2"/>
        <v>72.915730302808655</v>
      </c>
      <c r="I107" s="116">
        <f t="shared" si="2"/>
        <v>93.523266220800295</v>
      </c>
      <c r="J107" s="116">
        <f t="shared" si="2"/>
        <v>99.063327792382495</v>
      </c>
      <c r="K107" s="116">
        <f t="shared" si="2"/>
        <v>87.41440948286396</v>
      </c>
    </row>
    <row r="108" spans="3:11" x14ac:dyDescent="0.2">
      <c r="C108" s="87" t="s">
        <v>131</v>
      </c>
      <c r="D108" s="47">
        <f t="shared" si="2"/>
        <v>99.949603667530582</v>
      </c>
      <c r="E108" s="47">
        <f t="shared" si="2"/>
        <v>99.925193696997397</v>
      </c>
      <c r="F108" s="47">
        <f t="shared" si="2"/>
        <v>99.930436920049942</v>
      </c>
      <c r="G108" s="47">
        <f t="shared" si="2"/>
        <v>99.917586798057073</v>
      </c>
      <c r="H108" s="47">
        <f t="shared" si="2"/>
        <v>99.76246133309553</v>
      </c>
      <c r="I108" s="47">
        <f t="shared" si="2"/>
        <v>99.699990668540721</v>
      </c>
      <c r="J108" s="47">
        <f t="shared" si="2"/>
        <v>99.68734417264767</v>
      </c>
      <c r="K108" s="47">
        <f t="shared" si="2"/>
        <v>74.613606229885477</v>
      </c>
    </row>
    <row r="109" spans="3:11" x14ac:dyDescent="0.2">
      <c r="C109" s="88" t="s">
        <v>132</v>
      </c>
      <c r="D109" s="116">
        <f t="shared" si="2"/>
        <v>94.883936639752122</v>
      </c>
      <c r="E109" s="116">
        <f t="shared" si="2"/>
        <v>93.153680472356243</v>
      </c>
      <c r="F109" s="116">
        <f t="shared" si="2"/>
        <v>95.185755592424854</v>
      </c>
      <c r="G109" s="116">
        <f t="shared" si="2"/>
        <v>92.538792632670862</v>
      </c>
      <c r="H109" s="116">
        <f t="shared" si="2"/>
        <v>96.945327548281227</v>
      </c>
      <c r="I109" s="116">
        <f t="shared" si="2"/>
        <v>93.724847398181112</v>
      </c>
      <c r="J109" s="116">
        <f t="shared" si="2"/>
        <v>94.26660238961739</v>
      </c>
      <c r="K109" s="116">
        <f t="shared" si="2"/>
        <v>53.037036323000322</v>
      </c>
    </row>
    <row r="110" spans="3:11" x14ac:dyDescent="0.2">
      <c r="C110" s="87" t="s">
        <v>133</v>
      </c>
      <c r="D110" s="47">
        <f t="shared" ref="D110:K119" si="3">+IFERROR(IF(D68&gt;0,+((D68/D25)*100)," "),"")</f>
        <v>99.037223102070755</v>
      </c>
      <c r="E110" s="47">
        <f t="shared" si="3"/>
        <v>98.395650216819263</v>
      </c>
      <c r="F110" s="47">
        <f t="shared" si="3"/>
        <v>97.387200422863842</v>
      </c>
      <c r="G110" s="47">
        <f t="shared" si="3"/>
        <v>98.461846929503409</v>
      </c>
      <c r="H110" s="47">
        <f t="shared" si="3"/>
        <v>95.363987173430615</v>
      </c>
      <c r="I110" s="47">
        <f t="shared" si="3"/>
        <v>99.730042787332039</v>
      </c>
      <c r="J110" s="47">
        <f t="shared" si="3"/>
        <v>99.465968490122009</v>
      </c>
      <c r="K110" s="47">
        <f t="shared" si="3"/>
        <v>44.146106267153911</v>
      </c>
    </row>
    <row r="111" spans="3:11" x14ac:dyDescent="0.2">
      <c r="C111" s="88" t="s">
        <v>134</v>
      </c>
      <c r="D111" s="116">
        <f t="shared" si="3"/>
        <v>65.361076679625498</v>
      </c>
      <c r="E111" s="116">
        <f t="shared" si="3"/>
        <v>52.417146721396826</v>
      </c>
      <c r="F111" s="116">
        <f t="shared" si="3"/>
        <v>73.492023477512049</v>
      </c>
      <c r="G111" s="116">
        <f t="shared" si="3"/>
        <v>78.052782376541785</v>
      </c>
      <c r="H111" s="116">
        <f t="shared" si="3"/>
        <v>34.535372228981714</v>
      </c>
      <c r="I111" s="116">
        <f t="shared" si="3"/>
        <v>91.447029214453977</v>
      </c>
      <c r="J111" s="116">
        <f t="shared" si="3"/>
        <v>89.953280755402858</v>
      </c>
      <c r="K111" s="116">
        <f t="shared" si="3"/>
        <v>80.700550815265743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99.635054452814458</v>
      </c>
      <c r="J112" s="47">
        <f t="shared" si="3"/>
        <v>99.893708394739917</v>
      </c>
      <c r="K112" s="47">
        <f t="shared" si="3"/>
        <v>73.580272621981237</v>
      </c>
    </row>
    <row r="113" spans="3:11" x14ac:dyDescent="0.2">
      <c r="C113" s="88" t="s">
        <v>136</v>
      </c>
      <c r="D113" s="116">
        <f t="shared" si="3"/>
        <v>99.368716235369106</v>
      </c>
      <c r="E113" s="116">
        <f t="shared" si="3"/>
        <v>99.325065924113048</v>
      </c>
      <c r="F113" s="116">
        <f t="shared" si="3"/>
        <v>97.737310487346463</v>
      </c>
      <c r="G113" s="116">
        <f t="shared" si="3"/>
        <v>98.826575588030082</v>
      </c>
      <c r="H113" s="116">
        <f t="shared" si="3"/>
        <v>91.147356503494848</v>
      </c>
      <c r="I113" s="116">
        <f t="shared" si="3"/>
        <v>97.40761208328297</v>
      </c>
      <c r="J113" s="116">
        <f t="shared" si="3"/>
        <v>98.967311280751673</v>
      </c>
      <c r="K113" s="116">
        <f t="shared" si="3"/>
        <v>50.703341218476147</v>
      </c>
    </row>
    <row r="114" spans="3:11" x14ac:dyDescent="0.2">
      <c r="C114" s="87" t="s">
        <v>137</v>
      </c>
      <c r="D114" s="47">
        <f t="shared" si="3"/>
        <v>97.048459350639376</v>
      </c>
      <c r="E114" s="47">
        <f t="shared" si="3"/>
        <v>94.573373024913337</v>
      </c>
      <c r="F114" s="47">
        <f t="shared" si="3"/>
        <v>67.969369702300327</v>
      </c>
      <c r="G114" s="47">
        <f t="shared" si="3"/>
        <v>63.301748247736292</v>
      </c>
      <c r="H114" s="47">
        <f t="shared" si="3"/>
        <v>84.422203036898708</v>
      </c>
      <c r="I114" s="47">
        <f t="shared" si="3"/>
        <v>96.112045105628923</v>
      </c>
      <c r="J114" s="47">
        <f t="shared" si="3"/>
        <v>97.695058391064222</v>
      </c>
      <c r="K114" s="47">
        <f t="shared" si="3"/>
        <v>64.057688341372412</v>
      </c>
    </row>
    <row r="115" spans="3:11" x14ac:dyDescent="0.2">
      <c r="C115" s="88" t="s">
        <v>138</v>
      </c>
      <c r="D115" s="116">
        <f t="shared" si="3"/>
        <v>99.990654521629949</v>
      </c>
      <c r="E115" s="116">
        <f t="shared" si="3"/>
        <v>99.961007492574822</v>
      </c>
      <c r="F115" s="116">
        <f t="shared" si="3"/>
        <v>97.226082049471628</v>
      </c>
      <c r="G115" s="116">
        <f t="shared" si="3"/>
        <v>87.52738865362501</v>
      </c>
      <c r="H115" s="116">
        <f t="shared" si="3"/>
        <v>98.583139306344819</v>
      </c>
      <c r="I115" s="116">
        <f t="shared" si="3"/>
        <v>97.26277777016432</v>
      </c>
      <c r="J115" s="116">
        <f t="shared" si="3"/>
        <v>99.961076980065073</v>
      </c>
      <c r="K115" s="116">
        <f t="shared" si="3"/>
        <v>31.950306060499255</v>
      </c>
    </row>
    <row r="116" spans="3:11" x14ac:dyDescent="0.2">
      <c r="C116" s="87" t="s">
        <v>160</v>
      </c>
      <c r="D116" s="47">
        <f t="shared" si="3"/>
        <v>91.614986936697974</v>
      </c>
      <c r="E116" s="47">
        <f t="shared" si="3"/>
        <v>95.074663714325794</v>
      </c>
      <c r="F116" s="47">
        <f t="shared" si="3"/>
        <v>94.564305032470557</v>
      </c>
      <c r="G116" s="47">
        <f t="shared" si="3"/>
        <v>79.029744768169735</v>
      </c>
      <c r="H116" s="47">
        <f t="shared" si="3"/>
        <v>92.570713268672307</v>
      </c>
      <c r="I116" s="47">
        <f t="shared" si="3"/>
        <v>86.785954388436963</v>
      </c>
      <c r="J116" s="47">
        <f t="shared" si="3"/>
        <v>98.718507893612639</v>
      </c>
      <c r="K116" s="47">
        <f t="shared" si="3"/>
        <v>43.703997765912973</v>
      </c>
    </row>
    <row r="117" spans="3:11" x14ac:dyDescent="0.2">
      <c r="C117" s="88" t="s">
        <v>161</v>
      </c>
      <c r="D117" s="116">
        <f t="shared" si="3"/>
        <v>84.462530642998445</v>
      </c>
      <c r="E117" s="116">
        <f t="shared" si="3"/>
        <v>90.418873620780644</v>
      </c>
      <c r="F117" s="116">
        <f t="shared" si="3"/>
        <v>89.318357341031117</v>
      </c>
      <c r="G117" s="116">
        <f t="shared" si="3"/>
        <v>74.838112495970449</v>
      </c>
      <c r="H117" s="116">
        <f t="shared" si="3"/>
        <v>88.23080479727065</v>
      </c>
      <c r="I117" s="116">
        <f t="shared" si="3"/>
        <v>97.162913344731436</v>
      </c>
      <c r="J117" s="116">
        <f t="shared" si="3"/>
        <v>99.775677713963574</v>
      </c>
      <c r="K117" s="116">
        <f t="shared" si="3"/>
        <v>55.592720867517066</v>
      </c>
    </row>
    <row r="118" spans="3:11" x14ac:dyDescent="0.2">
      <c r="C118" s="87" t="s">
        <v>140</v>
      </c>
      <c r="D118" s="47">
        <f t="shared" si="3"/>
        <v>97.748334348962914</v>
      </c>
      <c r="E118" s="47">
        <f t="shared" si="3"/>
        <v>99.00166920223073</v>
      </c>
      <c r="F118" s="47">
        <f t="shared" si="3"/>
        <v>97.818077138156553</v>
      </c>
      <c r="G118" s="47">
        <f t="shared" si="3"/>
        <v>94.479010905084664</v>
      </c>
      <c r="H118" s="47">
        <f t="shared" si="3"/>
        <v>94.463126700221522</v>
      </c>
      <c r="I118" s="47">
        <f t="shared" si="3"/>
        <v>97.107035685997218</v>
      </c>
      <c r="J118" s="47">
        <f t="shared" si="3"/>
        <v>94.365971636227783</v>
      </c>
      <c r="K118" s="47">
        <f t="shared" si="3"/>
        <v>59.438298473642384</v>
      </c>
    </row>
    <row r="119" spans="3:11" x14ac:dyDescent="0.2">
      <c r="C119" s="88" t="s">
        <v>141</v>
      </c>
      <c r="D119" s="116">
        <f t="shared" si="3"/>
        <v>93.725072952524656</v>
      </c>
      <c r="E119" s="116">
        <f t="shared" si="3"/>
        <v>90.974953243286464</v>
      </c>
      <c r="F119" s="116">
        <f t="shared" si="3"/>
        <v>84.973516531592296</v>
      </c>
      <c r="G119" s="116">
        <f t="shared" si="3"/>
        <v>72.684884997754267</v>
      </c>
      <c r="H119" s="116">
        <f t="shared" si="3"/>
        <v>89.456737086477816</v>
      </c>
      <c r="I119" s="116">
        <f t="shared" si="3"/>
        <v>89.592219740791279</v>
      </c>
      <c r="J119" s="116">
        <f t="shared" si="3"/>
        <v>95.163440763641134</v>
      </c>
      <c r="K119" s="116">
        <f t="shared" si="3"/>
        <v>27.062420209072201</v>
      </c>
    </row>
    <row r="120" spans="3:11" x14ac:dyDescent="0.2">
      <c r="C120" s="87" t="s">
        <v>142</v>
      </c>
      <c r="D120" s="47">
        <f t="shared" ref="D120:K129" si="4">+IFERROR(IF(D78&gt;0,+((D78/D35)*100)," "),"")</f>
        <v>96.496021755016685</v>
      </c>
      <c r="E120" s="47">
        <f t="shared" si="4"/>
        <v>97.468665117962033</v>
      </c>
      <c r="F120" s="47">
        <f t="shared" si="4"/>
        <v>91.9758407070441</v>
      </c>
      <c r="G120" s="47">
        <f t="shared" si="4"/>
        <v>92.99818484975593</v>
      </c>
      <c r="H120" s="47">
        <f t="shared" si="4"/>
        <v>93.484678350854409</v>
      </c>
      <c r="I120" s="47">
        <f t="shared" si="4"/>
        <v>86.065809899752281</v>
      </c>
      <c r="J120" s="47">
        <f t="shared" si="4"/>
        <v>99.239948759252442</v>
      </c>
      <c r="K120" s="47">
        <f t="shared" si="4"/>
        <v>46.091680652763621</v>
      </c>
    </row>
    <row r="121" spans="3:11" x14ac:dyDescent="0.2">
      <c r="C121" s="88" t="s">
        <v>143</v>
      </c>
      <c r="D121" s="116">
        <f t="shared" si="4"/>
        <v>98.970185730702909</v>
      </c>
      <c r="E121" s="116">
        <f t="shared" si="4"/>
        <v>98.832729373160078</v>
      </c>
      <c r="F121" s="116">
        <f t="shared" si="4"/>
        <v>97.684304584347487</v>
      </c>
      <c r="G121" s="116">
        <f t="shared" si="4"/>
        <v>97.75284140742535</v>
      </c>
      <c r="H121" s="116">
        <f t="shared" si="4"/>
        <v>96.699156197139686</v>
      </c>
      <c r="I121" s="116">
        <f t="shared" si="4"/>
        <v>90.632731033240901</v>
      </c>
      <c r="J121" s="116">
        <f t="shared" si="4"/>
        <v>99.331700929980187</v>
      </c>
      <c r="K121" s="116">
        <f t="shared" si="4"/>
        <v>67.663944579327804</v>
      </c>
    </row>
    <row r="122" spans="3:11" x14ac:dyDescent="0.2">
      <c r="C122" s="87" t="s">
        <v>144</v>
      </c>
      <c r="D122" s="47">
        <f t="shared" si="4"/>
        <v>93.837051289448823</v>
      </c>
      <c r="E122" s="47">
        <f t="shared" si="4"/>
        <v>94.941729602483974</v>
      </c>
      <c r="F122" s="47">
        <f t="shared" si="4"/>
        <v>85.526863562744097</v>
      </c>
      <c r="G122" s="47">
        <f t="shared" si="4"/>
        <v>84.31476559774319</v>
      </c>
      <c r="H122" s="47">
        <f t="shared" si="4"/>
        <v>97.616435821096644</v>
      </c>
      <c r="I122" s="47">
        <f t="shared" si="4"/>
        <v>87.393747898805444</v>
      </c>
      <c r="J122" s="47">
        <f t="shared" si="4"/>
        <v>94.787758087106141</v>
      </c>
      <c r="K122" s="47">
        <f t="shared" si="4"/>
        <v>30.858007824741478</v>
      </c>
    </row>
    <row r="123" spans="3:11" x14ac:dyDescent="0.2">
      <c r="C123" s="88" t="s">
        <v>145</v>
      </c>
      <c r="D123" s="116">
        <f t="shared" si="4"/>
        <v>99.999988075285259</v>
      </c>
      <c r="E123" s="116">
        <f t="shared" si="4"/>
        <v>99.310990437216589</v>
      </c>
      <c r="F123" s="116">
        <f t="shared" si="4"/>
        <v>96.811812821441293</v>
      </c>
      <c r="G123" s="116">
        <f t="shared" si="4"/>
        <v>96.009247097242692</v>
      </c>
      <c r="H123" s="116">
        <f t="shared" si="4"/>
        <v>99.769693971737141</v>
      </c>
      <c r="I123" s="116">
        <f t="shared" si="4"/>
        <v>94.846499752942094</v>
      </c>
      <c r="J123" s="116">
        <f t="shared" si="4"/>
        <v>97.049166152271908</v>
      </c>
      <c r="K123" s="116">
        <f t="shared" si="4"/>
        <v>95.476623198185223</v>
      </c>
    </row>
    <row r="124" spans="3:11" x14ac:dyDescent="0.2">
      <c r="C124" s="87" t="s">
        <v>146</v>
      </c>
      <c r="D124" s="47">
        <f t="shared" si="4"/>
        <v>98.178738599100214</v>
      </c>
      <c r="E124" s="47">
        <f t="shared" si="4"/>
        <v>96.335401222543538</v>
      </c>
      <c r="F124" s="47">
        <f t="shared" si="4"/>
        <v>80.824074859643758</v>
      </c>
      <c r="G124" s="47">
        <f t="shared" si="4"/>
        <v>78.883061545238021</v>
      </c>
      <c r="H124" s="47">
        <f t="shared" si="4"/>
        <v>90.412739054996109</v>
      </c>
      <c r="I124" s="47">
        <f t="shared" si="4"/>
        <v>85.109575728313132</v>
      </c>
      <c r="J124" s="47">
        <f t="shared" si="4"/>
        <v>99.024967513696311</v>
      </c>
      <c r="K124" s="47">
        <f t="shared" si="4"/>
        <v>65.254535054999991</v>
      </c>
    </row>
    <row r="125" spans="3:11" x14ac:dyDescent="0.2">
      <c r="C125" s="88" t="s">
        <v>162</v>
      </c>
      <c r="D125" s="116">
        <f t="shared" si="4"/>
        <v>97.878623255222877</v>
      </c>
      <c r="E125" s="116">
        <f t="shared" si="4"/>
        <v>97.136406902260759</v>
      </c>
      <c r="F125" s="116">
        <f t="shared" si="4"/>
        <v>95.479847648116944</v>
      </c>
      <c r="G125" s="116">
        <f t="shared" si="4"/>
        <v>96.277307546142055</v>
      </c>
      <c r="H125" s="116">
        <f t="shared" si="4"/>
        <v>97.276638152859874</v>
      </c>
      <c r="I125" s="116">
        <f t="shared" si="4"/>
        <v>96.89645365582814</v>
      </c>
      <c r="J125" s="116">
        <f t="shared" si="4"/>
        <v>99.380201321736266</v>
      </c>
      <c r="K125" s="116">
        <f t="shared" si="4"/>
        <v>67.504251384084853</v>
      </c>
    </row>
    <row r="126" spans="3:11" x14ac:dyDescent="0.2">
      <c r="C126" s="87" t="s">
        <v>148</v>
      </c>
      <c r="D126" s="47">
        <f t="shared" si="4"/>
        <v>87.550332641644275</v>
      </c>
      <c r="E126" s="47">
        <f t="shared" si="4"/>
        <v>95.254788948116229</v>
      </c>
      <c r="F126" s="47">
        <f t="shared" si="4"/>
        <v>91.769189188323608</v>
      </c>
      <c r="G126" s="47">
        <f t="shared" si="4"/>
        <v>95.017400742872169</v>
      </c>
      <c r="H126" s="47">
        <f t="shared" si="4"/>
        <v>93.67410540750727</v>
      </c>
      <c r="I126" s="47">
        <f t="shared" si="4"/>
        <v>97.399255593046277</v>
      </c>
      <c r="J126" s="47">
        <f t="shared" si="4"/>
        <v>99.195341595097574</v>
      </c>
      <c r="K126" s="47">
        <f t="shared" si="4"/>
        <v>77.241465340150796</v>
      </c>
    </row>
    <row r="127" spans="3:11" x14ac:dyDescent="0.2">
      <c r="C127" s="88" t="s">
        <v>149</v>
      </c>
      <c r="D127" s="116">
        <f t="shared" si="4"/>
        <v>96.896840961496807</v>
      </c>
      <c r="E127" s="116" t="str">
        <f t="shared" si="4"/>
        <v xml:space="preserve"> </v>
      </c>
      <c r="F127" s="116" t="str">
        <f t="shared" si="4"/>
        <v xml:space="preserve"> </v>
      </c>
      <c r="G127" s="116" t="str">
        <f t="shared" si="4"/>
        <v xml:space="preserve"> </v>
      </c>
      <c r="H127" s="116" t="str">
        <f t="shared" si="4"/>
        <v xml:space="preserve"> </v>
      </c>
      <c r="I127" s="116">
        <f t="shared" si="4"/>
        <v>98.121876719505636</v>
      </c>
      <c r="J127" s="116">
        <f t="shared" si="4"/>
        <v>97.554437108302565</v>
      </c>
      <c r="K127" s="116">
        <f t="shared" si="4"/>
        <v>5</v>
      </c>
    </row>
    <row r="128" spans="3:11" x14ac:dyDescent="0.2">
      <c r="C128" s="87" t="s">
        <v>163</v>
      </c>
      <c r="D128" s="47">
        <f t="shared" si="4"/>
        <v>98.57394444748823</v>
      </c>
      <c r="E128" s="47">
        <f t="shared" si="4"/>
        <v>96.655585125664359</v>
      </c>
      <c r="F128" s="47">
        <f t="shared" si="4"/>
        <v>97.716901627426267</v>
      </c>
      <c r="G128" s="47">
        <f t="shared" si="4"/>
        <v>97.965105071264503</v>
      </c>
      <c r="H128" s="47">
        <f t="shared" si="4"/>
        <v>97.555427963294903</v>
      </c>
      <c r="I128" s="47">
        <f t="shared" si="4"/>
        <v>97.035989678193076</v>
      </c>
      <c r="J128" s="47">
        <f t="shared" si="4"/>
        <v>94.040597134628285</v>
      </c>
      <c r="K128" s="47">
        <f t="shared" si="4"/>
        <v>66.690118404608967</v>
      </c>
    </row>
    <row r="129" spans="1:15" x14ac:dyDescent="0.2">
      <c r="C129" s="88" t="s">
        <v>150</v>
      </c>
      <c r="D129" s="116">
        <f t="shared" si="4"/>
        <v>99.856915679818073</v>
      </c>
      <c r="E129" s="116">
        <f t="shared" si="4"/>
        <v>98.816066770733229</v>
      </c>
      <c r="F129" s="116">
        <f t="shared" si="4"/>
        <v>99.651439249839797</v>
      </c>
      <c r="G129" s="116">
        <f t="shared" si="4"/>
        <v>98.231600849662925</v>
      </c>
      <c r="H129" s="116">
        <f t="shared" si="4"/>
        <v>98.833231774193152</v>
      </c>
      <c r="I129" s="116">
        <f t="shared" si="4"/>
        <v>98.871729417539086</v>
      </c>
      <c r="J129" s="116">
        <f t="shared" si="4"/>
        <v>99.775273154585946</v>
      </c>
      <c r="K129" s="116">
        <f t="shared" si="4"/>
        <v>84.333556997413794</v>
      </c>
    </row>
    <row r="130" spans="1:15" x14ac:dyDescent="0.2">
      <c r="C130" s="87" t="s">
        <v>151</v>
      </c>
      <c r="D130" s="47">
        <f t="shared" ref="D130:K131" si="5">+IFERROR(IF(D88&gt;0,+((D88/D45)*100)," "),"")</f>
        <v>98.384956681552055</v>
      </c>
      <c r="E130" s="47">
        <f t="shared" si="5"/>
        <v>99.249450066239987</v>
      </c>
      <c r="F130" s="47">
        <f t="shared" si="5"/>
        <v>99.6213934923816</v>
      </c>
      <c r="G130" s="47">
        <f t="shared" si="5"/>
        <v>97.954064631499691</v>
      </c>
      <c r="H130" s="47">
        <f t="shared" si="5"/>
        <v>98.342139616009234</v>
      </c>
      <c r="I130" s="47">
        <f t="shared" si="5"/>
        <v>99.099970090062541</v>
      </c>
      <c r="J130" s="47">
        <f t="shared" si="5"/>
        <v>99.719384996152343</v>
      </c>
      <c r="K130" s="47">
        <f t="shared" si="5"/>
        <v>76.181085486954842</v>
      </c>
    </row>
    <row r="131" spans="1:15" x14ac:dyDescent="0.2">
      <c r="C131" s="91" t="s">
        <v>202</v>
      </c>
      <c r="D131" s="64">
        <f t="shared" si="5"/>
        <v>96.794107625128206</v>
      </c>
      <c r="E131" s="64">
        <f t="shared" si="5"/>
        <v>95.965422045606914</v>
      </c>
      <c r="F131" s="64">
        <f t="shared" si="5"/>
        <v>96.277972461593336</v>
      </c>
      <c r="G131" s="64">
        <f t="shared" si="5"/>
        <v>95.645640539801818</v>
      </c>
      <c r="H131" s="64">
        <f t="shared" si="5"/>
        <v>90.679362844322995</v>
      </c>
      <c r="I131" s="64">
        <f t="shared" si="5"/>
        <v>97.176004920468699</v>
      </c>
      <c r="J131" s="64">
        <f t="shared" si="5"/>
        <v>97.78636730695321</v>
      </c>
      <c r="K131" s="64">
        <f t="shared" si="5"/>
        <v>65.374043718181781</v>
      </c>
    </row>
    <row r="132" spans="1:15" s="31" customFormat="1" x14ac:dyDescent="0.2">
      <c r="A132" s="5"/>
      <c r="B132" s="5"/>
      <c r="C132" s="72" t="str">
        <f>+'C1 Aprop Resumen 2000-2026'!B20</f>
        <v>* Información con corte a 30 de Junio</v>
      </c>
      <c r="D132" s="47"/>
      <c r="E132" s="47"/>
      <c r="F132" s="47"/>
      <c r="G132" s="47"/>
      <c r="H132" s="47"/>
      <c r="I132" s="47"/>
    </row>
    <row r="133" spans="1:15" x14ac:dyDescent="0.2">
      <c r="C133" s="1" t="s">
        <v>52</v>
      </c>
      <c r="D133" s="11"/>
      <c r="E133" s="11"/>
      <c r="F133" s="11"/>
    </row>
    <row r="134" spans="1:15" x14ac:dyDescent="0.2">
      <c r="D134" s="11"/>
      <c r="E134" s="11"/>
      <c r="F134" s="11"/>
    </row>
    <row r="135" spans="1:15" x14ac:dyDescent="0.2">
      <c r="E135" s="3"/>
      <c r="F135" s="3"/>
    </row>
    <row r="136" spans="1:15" x14ac:dyDescent="0.2">
      <c r="E136" s="3"/>
      <c r="F136" s="3"/>
    </row>
    <row r="137" spans="1:15" x14ac:dyDescent="0.2">
      <c r="E137" s="3"/>
      <c r="F137" s="3"/>
    </row>
    <row r="138" spans="1:15" ht="18" customHeight="1" x14ac:dyDescent="0.2">
      <c r="D138" s="164" t="s">
        <v>213</v>
      </c>
      <c r="E138" s="182"/>
      <c r="F138" s="182"/>
      <c r="G138" s="182"/>
      <c r="H138" s="182"/>
      <c r="I138" s="182"/>
      <c r="J138" s="182"/>
      <c r="K138" s="182"/>
    </row>
    <row r="139" spans="1:15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5" x14ac:dyDescent="0.2">
      <c r="C140" s="181" t="s">
        <v>120</v>
      </c>
      <c r="D140" s="155">
        <v>2019</v>
      </c>
      <c r="E140" s="155">
        <v>2020</v>
      </c>
      <c r="F140" s="155">
        <v>2021</v>
      </c>
      <c r="G140" s="155">
        <v>2022</v>
      </c>
      <c r="H140" s="155">
        <v>2023</v>
      </c>
      <c r="I140" s="155">
        <v>2024</v>
      </c>
      <c r="J140" s="155">
        <v>2025</v>
      </c>
      <c r="K140" s="155" t="s">
        <v>36</v>
      </c>
    </row>
    <row r="141" spans="1:15" ht="12" customHeight="1" thickBot="1" x14ac:dyDescent="0.25">
      <c r="C141" s="162"/>
      <c r="D141" s="156"/>
      <c r="E141" s="156"/>
      <c r="F141" s="156"/>
      <c r="G141" s="156"/>
      <c r="H141" s="156"/>
      <c r="I141" s="156"/>
      <c r="J141" s="156"/>
      <c r="K141" s="156"/>
    </row>
    <row r="142" spans="1:15" x14ac:dyDescent="0.2">
      <c r="C142" s="87" t="s">
        <v>123</v>
      </c>
      <c r="D142" s="42">
        <f>834.47645187283*Deflactores!$T$5</f>
        <v>1297.8985102395802</v>
      </c>
      <c r="E142" s="42">
        <f>781.79417366667*Deflactores!$U$5</f>
        <v>1196.6926573039884</v>
      </c>
      <c r="F142" s="42">
        <f>1247.2758255299*Deflactores!$V$5</f>
        <v>1807.6175059297079</v>
      </c>
      <c r="G142" s="42">
        <f>1169.05260529826*Deflactores!$W$5</f>
        <v>1497.7478031060493</v>
      </c>
      <c r="H142" s="42">
        <f>3234.1692085812*Deflactores!$X$5</f>
        <v>3791.636443403966</v>
      </c>
      <c r="I142" s="42">
        <f>2136.39120335889*Deflactores!$Y$5</f>
        <v>2380.833320990801</v>
      </c>
      <c r="J142" s="42">
        <f>2142.38178103536*Deflactores!$Z$5</f>
        <v>2271.6328809607403</v>
      </c>
      <c r="K142" s="42">
        <f>754.077252607369*Deflactores!$AA$5</f>
        <v>754.07725260736902</v>
      </c>
      <c r="O142" s="14"/>
    </row>
    <row r="143" spans="1:15" x14ac:dyDescent="0.2">
      <c r="C143" s="88" t="s">
        <v>124</v>
      </c>
      <c r="D143" s="50">
        <f>156.46734359599*Deflactores!$T$5</f>
        <v>243.36065049961184</v>
      </c>
      <c r="E143" s="50">
        <f>149.4839606047*Deflactores!$U$5</f>
        <v>228.8151588561648</v>
      </c>
      <c r="F143" s="50">
        <f>288.10071579274*Deflactores!$V$5</f>
        <v>417.53065895956638</v>
      </c>
      <c r="G143" s="50">
        <f>324.32378069025*Deflactores!$W$5</f>
        <v>415.51186646552952</v>
      </c>
      <c r="H143" s="50">
        <f>383.90208717624*Deflactores!$X$5</f>
        <v>450.07451699623459</v>
      </c>
      <c r="I143" s="50">
        <f>402.80333426209*Deflactores!$Y$5</f>
        <v>448.891382116535</v>
      </c>
      <c r="J143" s="50">
        <f>507.82884454321*Deflactores!$Z$5</f>
        <v>538.46644485893148</v>
      </c>
      <c r="K143" s="50">
        <f>119.28869486861*Deflactores!$AA$5</f>
        <v>119.28869486860999</v>
      </c>
      <c r="O143" s="14"/>
    </row>
    <row r="144" spans="1:15" x14ac:dyDescent="0.2">
      <c r="C144" s="87" t="s">
        <v>125</v>
      </c>
      <c r="D144" s="42">
        <f>134.63888078372*Deflactores!$T$5</f>
        <v>209.40986698585147</v>
      </c>
      <c r="E144" s="42">
        <f>160.21290041796*Deflactores!$U$5</f>
        <v>245.2379513604472</v>
      </c>
      <c r="F144" s="42">
        <f>336.03032165847*Deflactores!$V$5</f>
        <v>486.99275614917298</v>
      </c>
      <c r="G144" s="42">
        <f>265.99426824601*Deflactores!$W$5</f>
        <v>340.78221039729937</v>
      </c>
      <c r="H144" s="42">
        <f>293.92692347326*Deflactores!$X$5</f>
        <v>344.59051548132391</v>
      </c>
      <c r="I144" s="42">
        <f>302.278074158079*Deflactores!$Y$5</f>
        <v>336.86419885505666</v>
      </c>
      <c r="J144" s="42">
        <f>244.244749685719*Deflactores!$Z$5</f>
        <v>258.98017304831961</v>
      </c>
      <c r="K144" s="42">
        <f>95.274715511*Deflactores!$AA$5</f>
        <v>95.274715510999997</v>
      </c>
      <c r="O144" s="14"/>
    </row>
    <row r="145" spans="3:15" x14ac:dyDescent="0.2">
      <c r="C145" s="88" t="s">
        <v>126</v>
      </c>
      <c r="D145" s="50">
        <f>120.41698659701*Deflactores!$T$5</f>
        <v>187.28991951904285</v>
      </c>
      <c r="E145" s="50">
        <f>84.36305793219*Deflactores!$U$5</f>
        <v>129.13456684087186</v>
      </c>
      <c r="F145" s="50">
        <f>103.44156853317*Deflactores!$V$5</f>
        <v>149.91294330742508</v>
      </c>
      <c r="G145" s="50">
        <f>146.24101075751*Deflactores!$W$5</f>
        <v>187.35867966368127</v>
      </c>
      <c r="H145" s="50">
        <f>172.91735034596*Deflactores!$X$5</f>
        <v>202.72276587415053</v>
      </c>
      <c r="I145" s="50">
        <f>50.6850753991*Deflactores!$Y$5</f>
        <v>56.484372430191442</v>
      </c>
      <c r="J145" s="50">
        <f>156.16812169469*Deflactores!$Z$5</f>
        <v>165.58983246585072</v>
      </c>
      <c r="K145" s="50">
        <f>103.990738670959*Deflactores!$AA$5</f>
        <v>103.990738670959</v>
      </c>
      <c r="O145" s="14"/>
    </row>
    <row r="146" spans="3:15" x14ac:dyDescent="0.2">
      <c r="C146" s="87" t="s">
        <v>127</v>
      </c>
      <c r="D146" s="42">
        <f>56.1922021154799*Deflactores!$T$5</f>
        <v>87.398242633546687</v>
      </c>
      <c r="E146" s="42">
        <f>66.59964476967*Deflactores!$U$5</f>
        <v>101.9441031405014</v>
      </c>
      <c r="F146" s="42">
        <f>102.568897871439*Deflactores!$V$5</f>
        <v>148.64822324088644</v>
      </c>
      <c r="G146" s="42">
        <f>137.29572419259*Deflactores!$W$5</f>
        <v>175.89830291070803</v>
      </c>
      <c r="H146" s="42">
        <f>176.44283537095*Deflactores!$X$5</f>
        <v>206.85593165470385</v>
      </c>
      <c r="I146" s="42">
        <f>148.61662962711*Deflactores!$Y$5</f>
        <v>165.62108255888211</v>
      </c>
      <c r="J146" s="42">
        <f>143.897824087*Deflactores!$Z$5</f>
        <v>152.57926089007307</v>
      </c>
      <c r="K146" s="42">
        <f>80.00156900505*Deflactores!$AA$5</f>
        <v>80.001569005050001</v>
      </c>
      <c r="O146" s="14"/>
    </row>
    <row r="147" spans="3:15" x14ac:dyDescent="0.2">
      <c r="C147" s="88" t="s">
        <v>128</v>
      </c>
      <c r="D147" s="50">
        <f>126.70022664638*Deflactores!$T$5</f>
        <v>197.06252350475458</v>
      </c>
      <c r="E147" s="50">
        <f>123.57267952176*Deflactores!$U$5</f>
        <v>189.15275044006586</v>
      </c>
      <c r="F147" s="50">
        <f>284.91436627516*Deflactores!$V$5</f>
        <v>412.91283421695874</v>
      </c>
      <c r="G147" s="50">
        <f>259.01034480766*Deflactores!$W$5</f>
        <v>331.83466095474807</v>
      </c>
      <c r="H147" s="50">
        <f>323.074267285879*Deflactores!$X$5</f>
        <v>378.76192826180539</v>
      </c>
      <c r="I147" s="50">
        <f>532.19371236318*Deflactores!$Y$5</f>
        <v>593.08637932226134</v>
      </c>
      <c r="J147" s="50">
        <f>390.26053834753*Deflactores!$Z$5</f>
        <v>413.80517650932023</v>
      </c>
      <c r="K147" s="50">
        <f>193.76224665296*Deflactores!$AA$5</f>
        <v>193.76224665295999</v>
      </c>
      <c r="O147" s="14"/>
    </row>
    <row r="148" spans="3:15" x14ac:dyDescent="0.2">
      <c r="C148" s="87" t="s">
        <v>129</v>
      </c>
      <c r="D148" s="42">
        <f>660.31557370762*Deflactores!$T$5</f>
        <v>1027.0183148723765</v>
      </c>
      <c r="E148" s="42">
        <f>991.32334637865*Deflactores!$U$5</f>
        <v>1517.4190465777892</v>
      </c>
      <c r="F148" s="42">
        <f>1441.45804974997*Deflactores!$V$5</f>
        <v>2089.0365638926428</v>
      </c>
      <c r="G148" s="42">
        <f>1313.35707416726*Deflactores!$W$5</f>
        <v>1682.6254555293876</v>
      </c>
      <c r="H148" s="42">
        <f>1317.86255985152*Deflactores!$X$5</f>
        <v>1545.019875915131</v>
      </c>
      <c r="I148" s="42">
        <f>1064.23002601935*Deflactores!$Y$5</f>
        <v>1185.9973506547587</v>
      </c>
      <c r="J148" s="42">
        <f>868.7810663572*Deflactores!$Z$5</f>
        <v>921.19511758514932</v>
      </c>
      <c r="K148" s="42">
        <f>508.22589535874*Deflactores!$AA$5</f>
        <v>508.22589535873999</v>
      </c>
      <c r="O148" s="14"/>
    </row>
    <row r="149" spans="3:15" x14ac:dyDescent="0.2">
      <c r="C149" s="88" t="s">
        <v>130</v>
      </c>
      <c r="D149" s="50">
        <f>230.304444823769*Deflactores!$T$5</f>
        <v>358.20279310155536</v>
      </c>
      <c r="E149" s="50">
        <f>204.20464554813*Deflactores!$U$5</f>
        <v>312.57613339416082</v>
      </c>
      <c r="F149" s="50">
        <f>635.953247227649*Deflactores!$V$5</f>
        <v>921.65678121209146</v>
      </c>
      <c r="G149" s="50">
        <f>507.46248029199*Deflactores!$W$5</f>
        <v>650.1425270098631</v>
      </c>
      <c r="H149" s="50">
        <f>512.80351295235*Deflactores!$X$5</f>
        <v>601.19442200387618</v>
      </c>
      <c r="I149" s="50">
        <f>321.25338850098*Deflactores!$Y$5</f>
        <v>358.01063523469765</v>
      </c>
      <c r="J149" s="50">
        <f>258.97770164243*Deflactores!$Z$5</f>
        <v>274.60197229752038</v>
      </c>
      <c r="K149" s="50">
        <f>245.717588879*Deflactores!$AA$5</f>
        <v>245.717588879</v>
      </c>
      <c r="O149" s="14"/>
    </row>
    <row r="150" spans="3:15" x14ac:dyDescent="0.2">
      <c r="C150" s="87" t="s">
        <v>131</v>
      </c>
      <c r="D150" s="42">
        <f>3919.81163337762*Deflactores!$T$5</f>
        <v>6096.6581716746878</v>
      </c>
      <c r="E150" s="42">
        <f>3952.40967921846*Deflactores!$U$5</f>
        <v>6049.9550918814793</v>
      </c>
      <c r="F150" s="42">
        <f>4819.40504203246*Deflactores!$V$5</f>
        <v>6984.5344099751719</v>
      </c>
      <c r="G150" s="42">
        <f>5457.46020193701*Deflactores!$W$5</f>
        <v>6991.9001000852732</v>
      </c>
      <c r="H150" s="42">
        <f>6746.28314398497*Deflactores!$X$5</f>
        <v>7909.1263865803621</v>
      </c>
      <c r="I150" s="42">
        <f>5734.98439041931*Deflactores!$Y$5</f>
        <v>6391.1712005765476</v>
      </c>
      <c r="J150" s="42">
        <f>6104.79918110966*Deflactores!$Z$5</f>
        <v>6473.1051553140587</v>
      </c>
      <c r="K150" s="42">
        <f>3787.84835089244*Deflactores!$AA$5</f>
        <v>3787.8483508924401</v>
      </c>
      <c r="O150" s="14"/>
    </row>
    <row r="151" spans="3:15" x14ac:dyDescent="0.2">
      <c r="C151" s="88" t="s">
        <v>132</v>
      </c>
      <c r="D151" s="50">
        <f>16.52613024648*Deflactores!$T$5</f>
        <v>25.703828764481919</v>
      </c>
      <c r="E151" s="50">
        <f>18.8014533346699*Deflactores!$U$5</f>
        <v>28.779392211019591</v>
      </c>
      <c r="F151" s="50">
        <f>18.78924422661*Deflactores!$V$5</f>
        <v>27.230357625811887</v>
      </c>
      <c r="G151" s="50">
        <f>16.6349977568099*Deflactores!$W$5</f>
        <v>21.312155870504665</v>
      </c>
      <c r="H151" s="50">
        <f>16.86733196746*Deflactores!$X$5</f>
        <v>19.774720018087869</v>
      </c>
      <c r="I151" s="50">
        <f>16.3133281999*Deflactores!$Y$5</f>
        <v>18.179870471998115</v>
      </c>
      <c r="J151" s="50">
        <f>15.75736759425*Deflactores!$Z$5</f>
        <v>16.708018459335815</v>
      </c>
      <c r="K151" s="50">
        <f>3.76852710862*Deflactores!$AA$5</f>
        <v>3.7685271086199998</v>
      </c>
      <c r="O151" s="14"/>
    </row>
    <row r="152" spans="3:15" x14ac:dyDescent="0.2">
      <c r="C152" s="87" t="s">
        <v>133</v>
      </c>
      <c r="D152" s="42">
        <f>71.88238380714*Deflactores!$T$5</f>
        <v>111.80188326030148</v>
      </c>
      <c r="E152" s="42">
        <f>82.60795414807*Deflactores!$U$5</f>
        <v>126.44802876984454</v>
      </c>
      <c r="F152" s="42">
        <f>107.484238707709*Deflactores!$V$5</f>
        <v>155.77179283262291</v>
      </c>
      <c r="G152" s="42">
        <f>140.28945144849*Deflactores!$W$5</f>
        <v>179.73375770572898</v>
      </c>
      <c r="H152" s="42">
        <f>146.45481519125*Deflactores!$X$5</f>
        <v>171.69893681436128</v>
      </c>
      <c r="I152" s="42">
        <f>154.987248532139*Deflactores!$Y$5</f>
        <v>172.72061645538028</v>
      </c>
      <c r="J152" s="42">
        <f>189.306773949779*Deflactores!$Z$5</f>
        <v>200.72775828269721</v>
      </c>
      <c r="K152" s="42">
        <f>20.80309382189*Deflactores!$AA$5</f>
        <v>20.803093821889998</v>
      </c>
      <c r="O152" s="14"/>
    </row>
    <row r="153" spans="3:15" x14ac:dyDescent="0.2">
      <c r="C153" s="88" t="s">
        <v>134</v>
      </c>
      <c r="D153" s="50">
        <f>507.017768734019*Deflactores!$T$5</f>
        <v>788.58738940804039</v>
      </c>
      <c r="E153" s="50">
        <f>546.384610871539*Deflactores!$U$5</f>
        <v>836.35114447993919</v>
      </c>
      <c r="F153" s="50">
        <f>768.1713783323*Deflactores!$V$5</f>
        <v>1113.2742274049081</v>
      </c>
      <c r="G153" s="50">
        <f>954.4071867976*Deflactores!$W$5</f>
        <v>1222.7518768755767</v>
      </c>
      <c r="H153" s="50">
        <f>1035.40242502363*Deflactores!$X$5</f>
        <v>1213.8726563508037</v>
      </c>
      <c r="I153" s="50">
        <f>947.52846095229*Deflactores!$Y$5</f>
        <v>1055.9429981154888</v>
      </c>
      <c r="J153" s="50">
        <f>632.16662656359*Deflactores!$Z$5</f>
        <v>670.30559532385155</v>
      </c>
      <c r="K153" s="50">
        <f>1070.38009909658*Deflactores!$AA$5</f>
        <v>1070.3800990965799</v>
      </c>
      <c r="O153" s="14"/>
    </row>
    <row r="154" spans="3:15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5937.61276479059*Deflactores!$Y$5</f>
        <v>6616.9839565562852</v>
      </c>
      <c r="J154" s="42">
        <f>6301.09181103767*Deflactores!$Z$5</f>
        <v>6681.2402302021728</v>
      </c>
      <c r="K154" s="42">
        <f>3144.65764242651*Deflactores!$AA$5</f>
        <v>3144.6576424265099</v>
      </c>
      <c r="O154" s="14"/>
    </row>
    <row r="155" spans="3:15" x14ac:dyDescent="0.2">
      <c r="C155" s="88" t="s">
        <v>136</v>
      </c>
      <c r="D155" s="50">
        <f>6967.11612318416*Deflactores!$T$5</f>
        <v>10836.266999089541</v>
      </c>
      <c r="E155" s="50">
        <f>8318.69162104228*Deflactores!$U$5</f>
        <v>12733.424623246097</v>
      </c>
      <c r="F155" s="50">
        <f>10900.5752538404*Deflactores!$V$5</f>
        <v>15797.685043061652</v>
      </c>
      <c r="G155" s="50">
        <f>18665.7935915633*Deflactores!$W$5</f>
        <v>23913.937848726946</v>
      </c>
      <c r="H155" s="50">
        <f>14757.7751253667*Deflactores!$X$5</f>
        <v>17301.543110494313</v>
      </c>
      <c r="I155" s="50">
        <f>8579.61837453714*Deflactores!$Y$5</f>
        <v>9561.2831935310624</v>
      </c>
      <c r="J155" s="50">
        <f>6865.09731278762*Deflactores!$Z$5</f>
        <v>7279.2725016485665</v>
      </c>
      <c r="K155" s="50">
        <f>4524.32274521188*Deflactores!$AA$5</f>
        <v>4524.3227452118799</v>
      </c>
      <c r="O155" s="14"/>
    </row>
    <row r="156" spans="3:15" x14ac:dyDescent="0.2">
      <c r="C156" s="87" t="s">
        <v>137</v>
      </c>
      <c r="D156" s="42">
        <f>157.55439565454*Deflactores!$T$5</f>
        <v>245.05139113606532</v>
      </c>
      <c r="E156" s="42">
        <f>151.56875934962*Deflactores!$U$5</f>
        <v>232.0063611368127</v>
      </c>
      <c r="F156" s="42">
        <f>186.82661174201*Deflactores!$V$5</f>
        <v>270.75891879401644</v>
      </c>
      <c r="G156" s="42">
        <f>202.82105582233*Deflactores!$W$5</f>
        <v>259.84698156850021</v>
      </c>
      <c r="H156" s="42">
        <f>343.25976809227*Deflactores!$X$5</f>
        <v>402.42676320080602</v>
      </c>
      <c r="I156" s="42">
        <f>538.15611193801*Deflactores!$Y$5</f>
        <v>599.73098615199274</v>
      </c>
      <c r="J156" s="42">
        <f>439.29139891426*Deflactores!$Z$5</f>
        <v>465.79409651934668</v>
      </c>
      <c r="K156" s="42">
        <f>140.16342384945*Deflactores!$AA$5</f>
        <v>140.16342384945</v>
      </c>
      <c r="O156" s="14"/>
    </row>
    <row r="157" spans="3:15" x14ac:dyDescent="0.2">
      <c r="C157" s="88" t="s">
        <v>138</v>
      </c>
      <c r="D157" s="50">
        <f>4.76299823841*Deflactores!$T$5</f>
        <v>7.4081039722954003</v>
      </c>
      <c r="E157" s="50">
        <f>6.86644852094*Deflactores!$U$5</f>
        <v>10.510475523533623</v>
      </c>
      <c r="F157" s="50">
        <f>7.52410469154*Deflactores!$V$5</f>
        <v>10.904326916700519</v>
      </c>
      <c r="G157" s="50">
        <f>6.92170782745*Deflactores!$W$5</f>
        <v>8.8678410580679206</v>
      </c>
      <c r="H157" s="50">
        <f>21.57742476233*Deflactores!$X$5</f>
        <v>25.296682024731947</v>
      </c>
      <c r="I157" s="50">
        <f>16.3466193832*Deflactores!$Y$5</f>
        <v>18.216970773839481</v>
      </c>
      <c r="J157" s="50">
        <f>15.28163051567*Deflactores!$Z$5</f>
        <v>16.203579894762019</v>
      </c>
      <c r="K157" s="50">
        <f>4.48856703505*Deflactores!$AA$5</f>
        <v>4.48856703505</v>
      </c>
      <c r="O157" s="14"/>
    </row>
    <row r="158" spans="3:15" x14ac:dyDescent="0.2">
      <c r="C158" s="87" t="s">
        <v>160</v>
      </c>
      <c r="D158" s="42">
        <f>56.3394594717599*Deflactores!$T$5</f>
        <v>87.627278579268932</v>
      </c>
      <c r="E158" s="42">
        <f>181.41575232815*Deflactores!$U$5</f>
        <v>277.69316534065081</v>
      </c>
      <c r="F158" s="42">
        <f>302.92637915498*Deflactores!$V$5</f>
        <v>439.01678743417239</v>
      </c>
      <c r="G158" s="42">
        <f>450.22734428941*Deflactores!$W$5</f>
        <v>576.81494635195975</v>
      </c>
      <c r="H158" s="42">
        <f>242.093810540379*Deflactores!$X$5</f>
        <v>283.82303323273686</v>
      </c>
      <c r="I158" s="42">
        <f>217.12014470533*Deflactores!$Y$5</f>
        <v>241.9626491440651</v>
      </c>
      <c r="J158" s="42">
        <f>245.85399377512*Deflactores!$Z$5</f>
        <v>260.68650374032558</v>
      </c>
      <c r="K158" s="42">
        <f>81.4637736586999*Deflactores!$AA$5</f>
        <v>81.463773658699907</v>
      </c>
      <c r="O158" s="14"/>
    </row>
    <row r="159" spans="3:15" x14ac:dyDescent="0.2">
      <c r="C159" s="88" t="s">
        <v>161</v>
      </c>
      <c r="D159" s="50">
        <f>44.3906720753999*Deflactores!$T$5</f>
        <v>69.042795666540187</v>
      </c>
      <c r="E159" s="50">
        <f>87.65626220871*Deflactores!$U$5</f>
        <v>134.17547595666923</v>
      </c>
      <c r="F159" s="50">
        <f>68.02648163035*Deflactores!$V$5</f>
        <v>98.587542983593735</v>
      </c>
      <c r="G159" s="50">
        <f>68.88124650187*Deflactores!$W$5</f>
        <v>88.24815509226903</v>
      </c>
      <c r="H159" s="50">
        <f>163.391933405459*Deflactores!$X$5</f>
        <v>191.55547199404299</v>
      </c>
      <c r="I159" s="50">
        <f>179.30102481527*Deflactores!$Y$5</f>
        <v>199.81633218524411</v>
      </c>
      <c r="J159" s="50">
        <f>208.39593235844*Deflactores!$Z$5</f>
        <v>220.968576373498</v>
      </c>
      <c r="K159" s="50">
        <f>105.690737130419*Deflactores!$AA$5</f>
        <v>105.690737130419</v>
      </c>
      <c r="O159" s="14"/>
    </row>
    <row r="160" spans="3:15" x14ac:dyDescent="0.2">
      <c r="C160" s="87" t="s">
        <v>140</v>
      </c>
      <c r="D160" s="42">
        <f>2494.85071559404*Deflactores!$T$5</f>
        <v>3880.3527885926728</v>
      </c>
      <c r="E160" s="42">
        <f>2618.16401238096*Deflactores!$U$5</f>
        <v>4007.6247109123447</v>
      </c>
      <c r="F160" s="42">
        <f>4062.74877373705*Deflactores!$V$5</f>
        <v>5887.9484836335396</v>
      </c>
      <c r="G160" s="42">
        <f>3596.32142659748*Deflactores!$W$5</f>
        <v>4607.4765939000345</v>
      </c>
      <c r="H160" s="42">
        <f>6026.12100511924*Deflactores!$X$5</f>
        <v>7064.8313498092548</v>
      </c>
      <c r="I160" s="42">
        <f>4060.48717096345*Deflactores!$Y$5</f>
        <v>4525.0809593702706</v>
      </c>
      <c r="J160" s="42">
        <f>4373.32231459819*Deflactores!$Z$5</f>
        <v>4637.1673138853157</v>
      </c>
      <c r="K160" s="42">
        <f>4682.0846476195*Deflactores!$AA$5</f>
        <v>4682.0846476195002</v>
      </c>
      <c r="O160" s="14"/>
    </row>
    <row r="161" spans="1:15" x14ac:dyDescent="0.2">
      <c r="C161" s="88" t="s">
        <v>141</v>
      </c>
      <c r="D161" s="50">
        <f>88.24914922132*Deflactores!$T$5</f>
        <v>137.25784478064182</v>
      </c>
      <c r="E161" s="50">
        <f>143.06381197834*Deflactores!$U$5</f>
        <v>218.9878347614715</v>
      </c>
      <c r="F161" s="50">
        <f>151.71518984451*Deflactores!$V$5</f>
        <v>219.87360571337484</v>
      </c>
      <c r="G161" s="50">
        <f>176.00208250859*Deflactores!$W$5</f>
        <v>225.48748552857157</v>
      </c>
      <c r="H161" s="50">
        <f>304.634226872609*Deflactores!$X$5</f>
        <v>357.14341520958675</v>
      </c>
      <c r="I161" s="50">
        <f>344.890163782379*Deflactores!$Y$5</f>
        <v>384.3518887009397</v>
      </c>
      <c r="J161" s="50">
        <f>233.286404814959*Deflactores!$Z$5</f>
        <v>247.36070505728043</v>
      </c>
      <c r="K161" s="50">
        <f>116.50772813203*Deflactores!$AA$5</f>
        <v>116.50772813203</v>
      </c>
      <c r="O161" s="14"/>
    </row>
    <row r="162" spans="1:15" x14ac:dyDescent="0.2">
      <c r="C162" s="87" t="s">
        <v>142</v>
      </c>
      <c r="D162" s="42">
        <f>142.25467665546*Deflactores!$T$5</f>
        <v>221.25505458106289</v>
      </c>
      <c r="E162" s="42">
        <f>116.62328960471*Deflactores!$U$5</f>
        <v>178.51531648801662</v>
      </c>
      <c r="F162" s="42">
        <f>374.63853888416*Deflactores!$V$5</f>
        <v>542.94580831407382</v>
      </c>
      <c r="G162" s="42">
        <f>245.480397460459*Deflactores!$W$5</f>
        <v>314.50058306674686</v>
      </c>
      <c r="H162" s="42">
        <f>362.21444388603*Deflactores!$X$5</f>
        <v>424.64861829788538</v>
      </c>
      <c r="I162" s="42">
        <f>364.35726439095*Deflactores!$Y$5</f>
        <v>406.04638066434819</v>
      </c>
      <c r="J162" s="42">
        <f>243.98160810942*Deflactores!$Z$5</f>
        <v>258.70115599246145</v>
      </c>
      <c r="K162" s="42">
        <f>82.97773623442*Deflactores!$AA$5</f>
        <v>82.977736234419993</v>
      </c>
      <c r="O162" s="14"/>
    </row>
    <row r="163" spans="1:15" x14ac:dyDescent="0.2">
      <c r="C163" s="88" t="s">
        <v>143</v>
      </c>
      <c r="D163" s="50">
        <f>84.27210189847*Deflactores!$T$5</f>
        <v>131.07216538382409</v>
      </c>
      <c r="E163" s="50">
        <f>96.9189313193*Deflactores!$U$5</f>
        <v>148.35384730432472</v>
      </c>
      <c r="F163" s="50">
        <f>334.65188289699*Deflactores!$V$5</f>
        <v>484.99505044117961</v>
      </c>
      <c r="G163" s="50">
        <f>218.92093223456*Deflactores!$W$5</f>
        <v>280.47355937809704</v>
      </c>
      <c r="H163" s="50">
        <f>149.027587612269*Deflactores!$X$5</f>
        <v>174.71517283758399</v>
      </c>
      <c r="I163" s="50">
        <f>90.40116320652*Deflactores!$Y$5</f>
        <v>100.7447050334321</v>
      </c>
      <c r="J163" s="50">
        <f>333.5822286163*Deflactores!$Z$5</f>
        <v>353.70743241792098</v>
      </c>
      <c r="K163" s="50">
        <f>35.60787052812*Deflactores!$AA$5</f>
        <v>35.607870528120003</v>
      </c>
      <c r="O163" s="14"/>
    </row>
    <row r="164" spans="1:15" x14ac:dyDescent="0.2">
      <c r="C164" s="87" t="s">
        <v>144</v>
      </c>
      <c r="D164" s="42">
        <f>158.03429547132*Deflactores!$T$5</f>
        <v>245.79780076316158</v>
      </c>
      <c r="E164" s="42">
        <f>132.65661356948*Deflactores!$U$5</f>
        <v>203.05753195481668</v>
      </c>
      <c r="F164" s="42">
        <f>141.43333782396*Deflactores!$V$5</f>
        <v>204.97260681216633</v>
      </c>
      <c r="G164" s="42">
        <f>203.804279047869*Deflactores!$W$5</f>
        <v>261.1066515092196</v>
      </c>
      <c r="H164" s="42">
        <f>317.32623169544*Deflactores!$X$5</f>
        <v>372.02311534970903</v>
      </c>
      <c r="I164" s="42">
        <f>279.35663572606*Deflactores!$Y$5</f>
        <v>311.32012982023275</v>
      </c>
      <c r="J164" s="42">
        <f>478.57676047364*Deflactores!$Z$5</f>
        <v>507.44956607603336</v>
      </c>
      <c r="K164" s="42">
        <f>87.42755563117*Deflactores!$AA$5</f>
        <v>87.427555631169994</v>
      </c>
      <c r="O164" s="14"/>
    </row>
    <row r="165" spans="1:15" x14ac:dyDescent="0.2">
      <c r="C165" s="88" t="s">
        <v>145</v>
      </c>
      <c r="D165" s="50">
        <f>45.763409356*Deflactores!$T$5</f>
        <v>71.177875293343988</v>
      </c>
      <c r="E165" s="50">
        <f>78.70152049808*Deflactores!$U$5</f>
        <v>120.46844920446725</v>
      </c>
      <c r="F165" s="50">
        <f>47.942235419*Deflactores!$V$5</f>
        <v>69.480400600220108</v>
      </c>
      <c r="G165" s="50">
        <f>105.647963472*Deflactores!$W$5</f>
        <v>135.35233955741961</v>
      </c>
      <c r="H165" s="50">
        <f>119.955067789*Deflactores!$X$5</f>
        <v>140.6314813068465</v>
      </c>
      <c r="I165" s="50">
        <f>101.8172757298*Deflactores!$Y$5</f>
        <v>113.46702903891973</v>
      </c>
      <c r="J165" s="50">
        <f>148.973050154*Deflactores!$Z$5</f>
        <v>157.96067820521404</v>
      </c>
      <c r="K165" s="50">
        <f>76.793890754*Deflactores!$AA$5</f>
        <v>76.793890754000003</v>
      </c>
      <c r="O165" s="14"/>
    </row>
    <row r="166" spans="1:15" x14ac:dyDescent="0.2">
      <c r="C166" s="87" t="s">
        <v>146</v>
      </c>
      <c r="D166" s="42">
        <f>35.0384065754799*Deflactores!$T$5</f>
        <v>54.4967992726707</v>
      </c>
      <c r="E166" s="42">
        <f>37.69416342996*Deflactores!$U$5</f>
        <v>57.698471182368124</v>
      </c>
      <c r="F166" s="42">
        <f>53.11331817313*Deflactores!$V$5</f>
        <v>76.974604784771998</v>
      </c>
      <c r="G166" s="42">
        <f>48.625531345*Deflactores!$W$5</f>
        <v>62.297267391365423</v>
      </c>
      <c r="H166" s="42">
        <f>66.19232723216*Deflactores!$X$5</f>
        <v>77.601765405861372</v>
      </c>
      <c r="I166" s="42">
        <f>29.5275617850699*Deflactores!$Y$5</f>
        <v>32.906053383379046</v>
      </c>
      <c r="J166" s="42">
        <f>15.25847688394*Deflactores!$Z$5</f>
        <v>16.179029391384368</v>
      </c>
      <c r="K166" s="42">
        <f>2.447914884*Deflactores!$AA$5</f>
        <v>2.4479148839999998</v>
      </c>
      <c r="O166" s="14"/>
    </row>
    <row r="167" spans="1:15" x14ac:dyDescent="0.2">
      <c r="C167" s="88" t="s">
        <v>162</v>
      </c>
      <c r="D167" s="50">
        <f>497.86081788792*Deflactores!$T$5</f>
        <v>774.34517462197209</v>
      </c>
      <c r="E167" s="50">
        <f>544.64550918427*Deflactores!$U$5</f>
        <v>833.68910082502305</v>
      </c>
      <c r="F167" s="50">
        <f>683.87962904999*Deflactores!$V$5</f>
        <v>991.1142059490212</v>
      </c>
      <c r="G167" s="50">
        <f>935.07053764484*Deflactores!$W$5</f>
        <v>1197.9784632099104</v>
      </c>
      <c r="H167" s="50">
        <f>1264.4852795049*Deflactores!$X$5</f>
        <v>1482.4420612247179</v>
      </c>
      <c r="I167" s="50">
        <f>798.77863563213*Deflactores!$Y$5</f>
        <v>890.17347984701973</v>
      </c>
      <c r="J167" s="50">
        <f>792.00914913567*Deflactores!$Z$5</f>
        <v>839.79150734228142</v>
      </c>
      <c r="K167" s="50">
        <f>242.50373819534*Deflactores!$AA$5</f>
        <v>242.50373819533999</v>
      </c>
      <c r="O167" s="14"/>
    </row>
    <row r="168" spans="1:15" x14ac:dyDescent="0.2">
      <c r="C168" s="87" t="s">
        <v>148</v>
      </c>
      <c r="D168" s="42">
        <f>93.17708820442*Deflactores!$T$5</f>
        <v>144.92248846275228</v>
      </c>
      <c r="E168" s="42">
        <f>141.71222660206*Deflactores!$U$5</f>
        <v>216.91896248025733</v>
      </c>
      <c r="F168" s="42">
        <f>181.1178384926*Deflactores!$V$5</f>
        <v>262.48546535910145</v>
      </c>
      <c r="G168" s="42">
        <f>221.057681067709*Deflactores!$W$5</f>
        <v>283.21108449555896</v>
      </c>
      <c r="H168" s="42">
        <f>213.284224419449*Deflactores!$X$5</f>
        <v>250.04759675722113</v>
      </c>
      <c r="I168" s="42">
        <f>194.44227124132*Deflactores!$Y$5</f>
        <v>216.69001335178132</v>
      </c>
      <c r="J168" s="42">
        <f>207.06352164687*Deflactores!$Z$5</f>
        <v>219.55578057298294</v>
      </c>
      <c r="K168" s="42">
        <f>105.485055960369*Deflactores!$AA$5</f>
        <v>105.485055960369</v>
      </c>
      <c r="O168" s="14"/>
    </row>
    <row r="169" spans="1:15" x14ac:dyDescent="0.2">
      <c r="C169" s="88" t="s">
        <v>149</v>
      </c>
      <c r="D169" s="50">
        <f>14.31941515729*Deflactores!$T$5</f>
        <v>22.271626189615997</v>
      </c>
      <c r="E169" s="50">
        <f>0*Deflactores!$U$5</f>
        <v>0</v>
      </c>
      <c r="F169" s="50">
        <f>0*Deflactores!$V$5</f>
        <v>0</v>
      </c>
      <c r="G169" s="50">
        <f>0*Deflactores!$W$5</f>
        <v>0</v>
      </c>
      <c r="H169" s="50">
        <f>0*Deflactores!$X$5</f>
        <v>0</v>
      </c>
      <c r="I169" s="50">
        <f>171.953374622*Deflactores!$Y$5</f>
        <v>191.62797680182092</v>
      </c>
      <c r="J169" s="50">
        <f>343.83644773*Deflactores!$Z$5</f>
        <v>364.58029434825335</v>
      </c>
      <c r="K169" s="50">
        <f>0*Deflactores!$AA$5</f>
        <v>0</v>
      </c>
      <c r="O169" s="14"/>
    </row>
    <row r="170" spans="1:15" x14ac:dyDescent="0.2">
      <c r="C170" s="87" t="s">
        <v>163</v>
      </c>
      <c r="D170" s="42">
        <f>3364.06050602578*Deflactores!$T$5</f>
        <v>5232.2736121882272</v>
      </c>
      <c r="E170" s="42">
        <f>3690.98629757269*Deflactores!$U$5</f>
        <v>5649.7942160389121</v>
      </c>
      <c r="F170" s="42">
        <f>2216.10884265511*Deflactores!$V$5</f>
        <v>3211.7010985337756</v>
      </c>
      <c r="G170" s="42">
        <f>2484.73571377666*Deflactores!$W$5</f>
        <v>3183.3532894430073</v>
      </c>
      <c r="H170" s="42">
        <f>2546.12836505365*Deflactores!$X$5</f>
        <v>2984.999384975622</v>
      </c>
      <c r="I170" s="42">
        <f>2783.61741845716*Deflactores!$Y$5</f>
        <v>3102.1140193488632</v>
      </c>
      <c r="J170" s="42">
        <f>2822.43133382321*Deflactores!$Z$5</f>
        <v>2992.71020642649</v>
      </c>
      <c r="K170" s="42">
        <f>1185.37358803138*Deflactores!$AA$5</f>
        <v>1185.37358803138</v>
      </c>
      <c r="O170" s="14"/>
    </row>
    <row r="171" spans="1:15" x14ac:dyDescent="0.2">
      <c r="C171" s="88" t="s">
        <v>150</v>
      </c>
      <c r="D171" s="50">
        <f>3544.67584754617*Deflactores!$T$5</f>
        <v>5513.1927227989745</v>
      </c>
      <c r="E171" s="50">
        <f>4105.6821877732*Deflactores!$U$5</f>
        <v>6284.5693826145089</v>
      </c>
      <c r="F171" s="50">
        <f>6491.21648850344*Deflactores!$V$5</f>
        <v>9407.4111910357897</v>
      </c>
      <c r="G171" s="50">
        <f>6874.7917038523*Deflactores!$W$5</f>
        <v>8807.7338218920268</v>
      </c>
      <c r="H171" s="50">
        <f>7720.48190230344*Deflactores!$X$5</f>
        <v>9051.2458234231981</v>
      </c>
      <c r="I171" s="50">
        <f>3304.95877460782*Deflactores!$Y$5</f>
        <v>3683.106334980258</v>
      </c>
      <c r="J171" s="50">
        <f>2423.43990034121*Deflactores!$Z$5</f>
        <v>2569.6473949600158</v>
      </c>
      <c r="K171" s="50">
        <f>1253.27793187823*Deflactores!$AA$5</f>
        <v>1253.27793187823</v>
      </c>
      <c r="O171" s="14"/>
    </row>
    <row r="172" spans="1:15" x14ac:dyDescent="0.2">
      <c r="C172" s="87" t="s">
        <v>151</v>
      </c>
      <c r="D172" s="42">
        <f>685.84522775402*Deflactores!$T$5</f>
        <v>1066.7257264828411</v>
      </c>
      <c r="E172" s="42">
        <f>985.833941105099*Deflactores!$U$5</f>
        <v>1509.0164117090558</v>
      </c>
      <c r="F172" s="42">
        <f>1911.53779086795*Deflactores!$V$5</f>
        <v>2770.3007653107725</v>
      </c>
      <c r="G172" s="42">
        <f>2030.07812997202*Deflactores!$W$5</f>
        <v>2600.8624808833956</v>
      </c>
      <c r="H172" s="42">
        <f>2057.80987600099*Deflactores!$X$5</f>
        <v>2412.5104211429984</v>
      </c>
      <c r="I172" s="42">
        <f>1613.20015703395*Deflactores!$Y$5</f>
        <v>1797.7796768941366</v>
      </c>
      <c r="J172" s="42">
        <f>1474.83024841859*Deflactores!$Z$5</f>
        <v>1563.8075882647124</v>
      </c>
      <c r="K172" s="42">
        <f>418.512703917509*Deflactores!$AA$5</f>
        <v>418.51270391750899</v>
      </c>
      <c r="O172" s="14"/>
    </row>
    <row r="173" spans="1:15" x14ac:dyDescent="0.2">
      <c r="C173" s="79" t="s">
        <v>202</v>
      </c>
      <c r="D173" s="44">
        <f t="shared" ref="D173:K173" si="6">+SUM(D142:D172)</f>
        <v>39370.930342319298</v>
      </c>
      <c r="E173" s="44">
        <f t="shared" si="6"/>
        <v>43779.010361935601</v>
      </c>
      <c r="F173" s="44">
        <f t="shared" si="6"/>
        <v>55462.274960424897</v>
      </c>
      <c r="G173" s="44">
        <f t="shared" si="6"/>
        <v>60505.148789627463</v>
      </c>
      <c r="H173" s="44">
        <f t="shared" si="6"/>
        <v>59832.814366041908</v>
      </c>
      <c r="I173" s="44">
        <f t="shared" si="6"/>
        <v>46157.206143360476</v>
      </c>
      <c r="J173" s="44">
        <f t="shared" si="6"/>
        <v>42010.481527314885</v>
      </c>
      <c r="K173" s="44">
        <f t="shared" si="6"/>
        <v>23272.926023551299</v>
      </c>
    </row>
    <row r="174" spans="1:15" s="31" customFormat="1" x14ac:dyDescent="0.2">
      <c r="A174" s="5"/>
      <c r="B174" s="5"/>
      <c r="C174" s="72" t="str">
        <f>+'C1 Aprop Resumen 2000-2026'!B20</f>
        <v>* Información con corte a 30 de Junio</v>
      </c>
      <c r="D174" s="121">
        <f>+D173-'C6 Ejec. Nac 19-26'!D97</f>
        <v>0</v>
      </c>
      <c r="E174" s="121">
        <f>+E173-'C6 Ejec. Nac 19-26'!E97</f>
        <v>0</v>
      </c>
      <c r="F174" s="121">
        <f>+F173-'C6 Ejec. Nac 19-26'!F97</f>
        <v>-7.2759576141834259E-11</v>
      </c>
      <c r="G174" s="121">
        <f>+G173-'C6 Ejec. Nac 19-26'!G97</f>
        <v>0</v>
      </c>
      <c r="H174" s="121">
        <f>+H173-'C6 Ejec. Nac 19-26'!H97</f>
        <v>0</v>
      </c>
      <c r="I174" s="121">
        <f>+I173-'C6 Ejec. Nac 19-26'!I97</f>
        <v>0</v>
      </c>
      <c r="J174" s="121">
        <f>+J173-'C6 Ejec. Nac 19-26'!J97</f>
        <v>0</v>
      </c>
      <c r="K174" s="121">
        <f>+K173-'C6 Ejec. Nac 19-26'!K97</f>
        <v>0</v>
      </c>
    </row>
    <row r="175" spans="1:15" x14ac:dyDescent="0.2">
      <c r="C175" s="1" t="s">
        <v>52</v>
      </c>
      <c r="D175" s="11"/>
      <c r="E175" s="11"/>
      <c r="F175" s="11"/>
      <c r="K175" s="154"/>
    </row>
    <row r="176" spans="1:15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5.75" customHeight="1" x14ac:dyDescent="0.2">
      <c r="D179" s="131" t="s">
        <v>214</v>
      </c>
      <c r="E179" s="131"/>
      <c r="F179" s="131"/>
      <c r="G179" s="131"/>
      <c r="H179" s="131"/>
      <c r="I179" s="131"/>
      <c r="J179" s="131"/>
      <c r="K179" s="131"/>
    </row>
    <row r="180" spans="3:11" ht="11.25" hidden="1" customHeight="1" x14ac:dyDescent="0.2">
      <c r="D180" s="28"/>
      <c r="E180" s="28"/>
      <c r="F180" s="28"/>
    </row>
    <row r="181" spans="3:11" x14ac:dyDescent="0.2">
      <c r="D181" s="29"/>
      <c r="E181" s="29"/>
      <c r="F181" s="29"/>
    </row>
    <row r="182" spans="3:11" ht="12" thickBot="1" x14ac:dyDescent="0.25">
      <c r="C182" s="181" t="s">
        <v>120</v>
      </c>
      <c r="D182" s="155">
        <v>2019</v>
      </c>
      <c r="E182" s="155">
        <v>2020</v>
      </c>
      <c r="F182" s="155">
        <v>2021</v>
      </c>
      <c r="G182" s="155">
        <v>2022</v>
      </c>
      <c r="H182" s="155">
        <v>2023</v>
      </c>
      <c r="I182" s="155">
        <v>2024</v>
      </c>
      <c r="J182" s="155">
        <v>2025</v>
      </c>
      <c r="K182" s="155" t="s">
        <v>36</v>
      </c>
    </row>
    <row r="183" spans="3:11" ht="12" customHeight="1" thickBot="1" x14ac:dyDescent="0.25">
      <c r="C183" s="162"/>
      <c r="D183" s="156"/>
      <c r="E183" s="156"/>
      <c r="F183" s="156"/>
      <c r="G183" s="156"/>
      <c r="H183" s="156"/>
      <c r="I183" s="156"/>
      <c r="J183" s="156"/>
      <c r="K183" s="156"/>
    </row>
    <row r="184" spans="3:11" x14ac:dyDescent="0.2">
      <c r="C184" s="87" t="s">
        <v>123</v>
      </c>
      <c r="D184" s="47">
        <f t="shared" ref="D184:K193" si="7">+IFERROR(IF(D142&gt;0,+((D142/D15)*100)," "),"")</f>
        <v>56.895829759345581</v>
      </c>
      <c r="E184" s="47">
        <f t="shared" si="7"/>
        <v>75.085429699561786</v>
      </c>
      <c r="F184" s="47">
        <f t="shared" si="7"/>
        <v>74.216695196408011</v>
      </c>
      <c r="G184" s="47">
        <f t="shared" si="7"/>
        <v>66.461703982444433</v>
      </c>
      <c r="H184" s="47">
        <f t="shared" si="7"/>
        <v>73.903427311035514</v>
      </c>
      <c r="I184" s="47">
        <f t="shared" si="7"/>
        <v>31.837975970523726</v>
      </c>
      <c r="J184" s="47">
        <f t="shared" si="7"/>
        <v>52.304524965645527</v>
      </c>
      <c r="K184" s="47">
        <f t="shared" si="7"/>
        <v>24.011123694440411</v>
      </c>
    </row>
    <row r="185" spans="3:11" x14ac:dyDescent="0.2">
      <c r="C185" s="88" t="s">
        <v>124</v>
      </c>
      <c r="D185" s="116">
        <f t="shared" si="7"/>
        <v>76.726687990049243</v>
      </c>
      <c r="E185" s="116">
        <f t="shared" si="7"/>
        <v>57.74859135600645</v>
      </c>
      <c r="F185" s="116">
        <f t="shared" si="7"/>
        <v>47.273529066921704</v>
      </c>
      <c r="G185" s="116">
        <f t="shared" si="7"/>
        <v>43.042913282691288</v>
      </c>
      <c r="H185" s="116">
        <f t="shared" si="7"/>
        <v>28.995270681227968</v>
      </c>
      <c r="I185" s="116">
        <f t="shared" si="7"/>
        <v>32.143522932122352</v>
      </c>
      <c r="J185" s="116">
        <f t="shared" si="7"/>
        <v>62.86694546061927</v>
      </c>
      <c r="K185" s="116">
        <f t="shared" si="7"/>
        <v>12.96180788684102</v>
      </c>
    </row>
    <row r="186" spans="3:11" x14ac:dyDescent="0.2">
      <c r="C186" s="87" t="s">
        <v>125</v>
      </c>
      <c r="D186" s="47">
        <f t="shared" si="7"/>
        <v>41.111096670724464</v>
      </c>
      <c r="E186" s="47">
        <f t="shared" si="7"/>
        <v>65.160817123109382</v>
      </c>
      <c r="F186" s="47">
        <f t="shared" si="7"/>
        <v>86.949705753877254</v>
      </c>
      <c r="G186" s="47">
        <f t="shared" si="7"/>
        <v>87.815453817001895</v>
      </c>
      <c r="H186" s="47">
        <f t="shared" si="7"/>
        <v>64.230697522473022</v>
      </c>
      <c r="I186" s="47">
        <f t="shared" si="7"/>
        <v>86.898577806600315</v>
      </c>
      <c r="J186" s="47">
        <f t="shared" si="7"/>
        <v>95.998861184967197</v>
      </c>
      <c r="K186" s="47">
        <f t="shared" si="7"/>
        <v>27.333249954116834</v>
      </c>
    </row>
    <row r="187" spans="3:11" x14ac:dyDescent="0.2">
      <c r="C187" s="88" t="s">
        <v>126</v>
      </c>
      <c r="D187" s="116">
        <f t="shared" si="7"/>
        <v>60.316242747538851</v>
      </c>
      <c r="E187" s="116">
        <f t="shared" si="7"/>
        <v>39.464989139006811</v>
      </c>
      <c r="F187" s="116">
        <f t="shared" si="7"/>
        <v>32.026919355644274</v>
      </c>
      <c r="G187" s="116">
        <f t="shared" si="7"/>
        <v>46.707379928792271</v>
      </c>
      <c r="H187" s="116">
        <f t="shared" si="7"/>
        <v>37.127706393282324</v>
      </c>
      <c r="I187" s="116">
        <f t="shared" si="7"/>
        <v>26.932818771953571</v>
      </c>
      <c r="J187" s="116">
        <f t="shared" si="7"/>
        <v>68.543970314246707</v>
      </c>
      <c r="K187" s="116">
        <f t="shared" si="7"/>
        <v>49.807078129110629</v>
      </c>
    </row>
    <row r="188" spans="3:11" x14ac:dyDescent="0.2">
      <c r="C188" s="87" t="s">
        <v>127</v>
      </c>
      <c r="D188" s="47">
        <f t="shared" si="7"/>
        <v>62.435780128310995</v>
      </c>
      <c r="E188" s="47">
        <f t="shared" si="7"/>
        <v>80.104329979314855</v>
      </c>
      <c r="F188" s="47">
        <f t="shared" si="7"/>
        <v>88.640414545997615</v>
      </c>
      <c r="G188" s="47">
        <f t="shared" si="7"/>
        <v>65.681221621759292</v>
      </c>
      <c r="H188" s="47">
        <f t="shared" si="7"/>
        <v>63.809100539127265</v>
      </c>
      <c r="I188" s="47">
        <f t="shared" si="7"/>
        <v>56.508224192817494</v>
      </c>
      <c r="J188" s="47">
        <f t="shared" si="7"/>
        <v>71.948912043499988</v>
      </c>
      <c r="K188" s="47">
        <f t="shared" si="7"/>
        <v>40.000784502525001</v>
      </c>
    </row>
    <row r="189" spans="3:11" x14ac:dyDescent="0.2">
      <c r="C189" s="88" t="s">
        <v>128</v>
      </c>
      <c r="D189" s="116">
        <f t="shared" si="7"/>
        <v>90.843270054815022</v>
      </c>
      <c r="E189" s="116">
        <f t="shared" si="7"/>
        <v>92.077887049592903</v>
      </c>
      <c r="F189" s="116">
        <f t="shared" si="7"/>
        <v>78.905664744340783</v>
      </c>
      <c r="G189" s="116">
        <f t="shared" si="7"/>
        <v>72.272042019499608</v>
      </c>
      <c r="H189" s="116">
        <f t="shared" si="7"/>
        <v>65.573912849275445</v>
      </c>
      <c r="I189" s="116">
        <f t="shared" si="7"/>
        <v>54.834065381115757</v>
      </c>
      <c r="J189" s="116">
        <f t="shared" si="7"/>
        <v>54.313425307772903</v>
      </c>
      <c r="K189" s="116">
        <f t="shared" si="7"/>
        <v>26.150207557921391</v>
      </c>
    </row>
    <row r="190" spans="3:11" x14ac:dyDescent="0.2">
      <c r="C190" s="87" t="s">
        <v>129</v>
      </c>
      <c r="D190" s="47">
        <f t="shared" si="7"/>
        <v>62.504115280380091</v>
      </c>
      <c r="E190" s="47">
        <f t="shared" si="7"/>
        <v>74.161799142364615</v>
      </c>
      <c r="F190" s="47">
        <f t="shared" si="7"/>
        <v>71.005655987005383</v>
      </c>
      <c r="G190" s="47">
        <f t="shared" si="7"/>
        <v>64.920752390454339</v>
      </c>
      <c r="H190" s="47">
        <f t="shared" si="7"/>
        <v>68.677282892619047</v>
      </c>
      <c r="I190" s="47">
        <f t="shared" si="7"/>
        <v>35.324096702887481</v>
      </c>
      <c r="J190" s="47">
        <f t="shared" si="7"/>
        <v>39.459520920504751</v>
      </c>
      <c r="K190" s="47">
        <f t="shared" si="7"/>
        <v>14.321210296870923</v>
      </c>
    </row>
    <row r="191" spans="3:11" x14ac:dyDescent="0.2">
      <c r="C191" s="88" t="s">
        <v>130</v>
      </c>
      <c r="D191" s="116">
        <f t="shared" si="7"/>
        <v>49.849446931551725</v>
      </c>
      <c r="E191" s="116">
        <f t="shared" si="7"/>
        <v>48.345347668945408</v>
      </c>
      <c r="F191" s="116">
        <f t="shared" si="7"/>
        <v>87.375443519254873</v>
      </c>
      <c r="G191" s="116">
        <f t="shared" si="7"/>
        <v>60.033506326257047</v>
      </c>
      <c r="H191" s="116">
        <f t="shared" si="7"/>
        <v>57.507935874152302</v>
      </c>
      <c r="I191" s="116">
        <f t="shared" si="7"/>
        <v>32.31799046689293</v>
      </c>
      <c r="J191" s="116">
        <f t="shared" si="7"/>
        <v>64.744425410607505</v>
      </c>
      <c r="K191" s="116">
        <f t="shared" si="7"/>
        <v>55.605740271105155</v>
      </c>
    </row>
    <row r="192" spans="3:11" x14ac:dyDescent="0.2">
      <c r="C192" s="87" t="s">
        <v>131</v>
      </c>
      <c r="D192" s="47">
        <f t="shared" si="7"/>
        <v>96.713903370859327</v>
      </c>
      <c r="E192" s="47">
        <f t="shared" si="7"/>
        <v>99.184587394077155</v>
      </c>
      <c r="F192" s="47">
        <f t="shared" si="7"/>
        <v>99.373553138397313</v>
      </c>
      <c r="G192" s="47">
        <f t="shared" si="7"/>
        <v>98.821714220829591</v>
      </c>
      <c r="H192" s="47">
        <f t="shared" si="7"/>
        <v>91.32748434788428</v>
      </c>
      <c r="I192" s="47">
        <f t="shared" si="7"/>
        <v>71.136538570822495</v>
      </c>
      <c r="J192" s="47">
        <f t="shared" si="7"/>
        <v>90.374599611805266</v>
      </c>
      <c r="K192" s="47">
        <f t="shared" si="7"/>
        <v>55.883023652544139</v>
      </c>
    </row>
    <row r="193" spans="3:11" x14ac:dyDescent="0.2">
      <c r="C193" s="88" t="s">
        <v>132</v>
      </c>
      <c r="D193" s="116">
        <f t="shared" si="7"/>
        <v>90.846853669356705</v>
      </c>
      <c r="E193" s="116">
        <f t="shared" si="7"/>
        <v>88.736272697255629</v>
      </c>
      <c r="F193" s="116">
        <f t="shared" si="7"/>
        <v>92.115795136453443</v>
      </c>
      <c r="G193" s="116">
        <f t="shared" si="7"/>
        <v>88.472041939634607</v>
      </c>
      <c r="H193" s="116">
        <f t="shared" si="7"/>
        <v>85.177585976328956</v>
      </c>
      <c r="I193" s="116">
        <f t="shared" si="7"/>
        <v>89.144096931010083</v>
      </c>
      <c r="J193" s="116">
        <f t="shared" si="7"/>
        <v>92.68845552293125</v>
      </c>
      <c r="K193" s="116">
        <f t="shared" si="7"/>
        <v>35.931094568635316</v>
      </c>
    </row>
    <row r="194" spans="3:11" x14ac:dyDescent="0.2">
      <c r="C194" s="87" t="s">
        <v>133</v>
      </c>
      <c r="D194" s="47">
        <f t="shared" ref="D194:K203" si="8">+IFERROR(IF(D152&gt;0,+((D152/D25)*100)," "),"")</f>
        <v>63.436145820679926</v>
      </c>
      <c r="E194" s="47">
        <f t="shared" si="8"/>
        <v>67.195856615496155</v>
      </c>
      <c r="F194" s="47">
        <f t="shared" si="8"/>
        <v>86.005768512963925</v>
      </c>
      <c r="G194" s="47">
        <f t="shared" si="8"/>
        <v>82.123242895806285</v>
      </c>
      <c r="H194" s="47">
        <f t="shared" si="8"/>
        <v>72.179348620439185</v>
      </c>
      <c r="I194" s="47">
        <f t="shared" si="8"/>
        <v>67.601813938667419</v>
      </c>
      <c r="J194" s="47">
        <f t="shared" si="8"/>
        <v>59.545202142585417</v>
      </c>
      <c r="K194" s="47">
        <f t="shared" si="8"/>
        <v>5.3250640974723913</v>
      </c>
    </row>
    <row r="195" spans="3:11" x14ac:dyDescent="0.2">
      <c r="C195" s="88" t="s">
        <v>134</v>
      </c>
      <c r="D195" s="116">
        <f t="shared" si="8"/>
        <v>28.330932151767229</v>
      </c>
      <c r="E195" s="116">
        <f t="shared" si="8"/>
        <v>29.015856189762829</v>
      </c>
      <c r="F195" s="116">
        <f t="shared" si="8"/>
        <v>34.919413921825026</v>
      </c>
      <c r="G195" s="116">
        <f t="shared" si="8"/>
        <v>37.69152185006255</v>
      </c>
      <c r="H195" s="116">
        <f t="shared" si="8"/>
        <v>21.797392444849542</v>
      </c>
      <c r="I195" s="116">
        <f t="shared" si="8"/>
        <v>29.237945702298298</v>
      </c>
      <c r="J195" s="116">
        <f t="shared" si="8"/>
        <v>23.27023962965621</v>
      </c>
      <c r="K195" s="116">
        <f t="shared" si="8"/>
        <v>22.845586999529871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91.346295856068295</v>
      </c>
      <c r="J196" s="47">
        <f t="shared" si="8"/>
        <v>93.452028320813554</v>
      </c>
      <c r="K196" s="47">
        <f t="shared" si="8"/>
        <v>49.56141804663195</v>
      </c>
    </row>
    <row r="197" spans="3:11" x14ac:dyDescent="0.2">
      <c r="C197" s="88" t="s">
        <v>136</v>
      </c>
      <c r="D197" s="116">
        <f t="shared" si="8"/>
        <v>87.070613041706011</v>
      </c>
      <c r="E197" s="116">
        <f t="shared" si="8"/>
        <v>96.350548738265303</v>
      </c>
      <c r="F197" s="116">
        <f t="shared" si="8"/>
        <v>89.416671469238082</v>
      </c>
      <c r="G197" s="116">
        <f t="shared" si="8"/>
        <v>96.838777847456427</v>
      </c>
      <c r="H197" s="116">
        <f t="shared" si="8"/>
        <v>87.93811412782722</v>
      </c>
      <c r="I197" s="116">
        <f t="shared" si="8"/>
        <v>76.931328695328858</v>
      </c>
      <c r="J197" s="116">
        <f t="shared" si="8"/>
        <v>77.34112430594125</v>
      </c>
      <c r="K197" s="116">
        <f t="shared" si="8"/>
        <v>40.256275114154441</v>
      </c>
    </row>
    <row r="198" spans="3:11" x14ac:dyDescent="0.2">
      <c r="C198" s="87" t="s">
        <v>137</v>
      </c>
      <c r="D198" s="47">
        <f t="shared" si="8"/>
        <v>85.174166992641105</v>
      </c>
      <c r="E198" s="47">
        <f t="shared" si="8"/>
        <v>84.483911568057721</v>
      </c>
      <c r="F198" s="47">
        <f t="shared" si="8"/>
        <v>58.279746106134702</v>
      </c>
      <c r="G198" s="47">
        <f t="shared" si="8"/>
        <v>51.049591443877759</v>
      </c>
      <c r="H198" s="47">
        <f t="shared" si="8"/>
        <v>45.655861866521533</v>
      </c>
      <c r="I198" s="47">
        <f t="shared" si="8"/>
        <v>54.460711956426024</v>
      </c>
      <c r="J198" s="47">
        <f t="shared" si="8"/>
        <v>62.433623308937328</v>
      </c>
      <c r="K198" s="47">
        <f t="shared" si="8"/>
        <v>29.846446897877783</v>
      </c>
    </row>
    <row r="199" spans="3:11" x14ac:dyDescent="0.2">
      <c r="C199" s="88" t="s">
        <v>138</v>
      </c>
      <c r="D199" s="116">
        <f t="shared" si="8"/>
        <v>65.780091142444846</v>
      </c>
      <c r="E199" s="116">
        <f t="shared" si="8"/>
        <v>96.78751852074906</v>
      </c>
      <c r="F199" s="116">
        <f t="shared" si="8"/>
        <v>95.896709671133408</v>
      </c>
      <c r="G199" s="116">
        <f t="shared" si="8"/>
        <v>86.521347843124985</v>
      </c>
      <c r="H199" s="116">
        <f t="shared" si="8"/>
        <v>74.404912973551717</v>
      </c>
      <c r="I199" s="116">
        <f t="shared" si="8"/>
        <v>40.323998133990543</v>
      </c>
      <c r="J199" s="116">
        <f t="shared" si="8"/>
        <v>43.415105868937658</v>
      </c>
      <c r="K199" s="116">
        <f t="shared" si="8"/>
        <v>19.384990138439626</v>
      </c>
    </row>
    <row r="200" spans="3:11" x14ac:dyDescent="0.2">
      <c r="C200" s="87" t="s">
        <v>160</v>
      </c>
      <c r="D200" s="47">
        <f t="shared" si="8"/>
        <v>56.835727192817345</v>
      </c>
      <c r="E200" s="47">
        <f t="shared" si="8"/>
        <v>84.205955597966422</v>
      </c>
      <c r="F200" s="47">
        <f t="shared" si="8"/>
        <v>84.958584080910072</v>
      </c>
      <c r="G200" s="47">
        <f t="shared" si="8"/>
        <v>67.476115445292876</v>
      </c>
      <c r="H200" s="47">
        <f t="shared" si="8"/>
        <v>48.773059638985991</v>
      </c>
      <c r="I200" s="47">
        <f t="shared" si="8"/>
        <v>38.684416503186156</v>
      </c>
      <c r="J200" s="47">
        <f t="shared" si="8"/>
        <v>52.632883078099013</v>
      </c>
      <c r="K200" s="47">
        <f t="shared" si="8"/>
        <v>17.949771585051462</v>
      </c>
    </row>
    <row r="201" spans="3:11" x14ac:dyDescent="0.2">
      <c r="C201" s="88" t="s">
        <v>161</v>
      </c>
      <c r="D201" s="116">
        <f t="shared" si="8"/>
        <v>13.907705826577027</v>
      </c>
      <c r="E201" s="116">
        <f t="shared" si="8"/>
        <v>22.520776593087582</v>
      </c>
      <c r="F201" s="116">
        <f t="shared" si="8"/>
        <v>15.216695202706564</v>
      </c>
      <c r="G201" s="116">
        <f t="shared" si="8"/>
        <v>13.330353209350287</v>
      </c>
      <c r="H201" s="116">
        <f t="shared" si="8"/>
        <v>42.18893608070168</v>
      </c>
      <c r="I201" s="116">
        <f t="shared" si="8"/>
        <v>30.435836258911685</v>
      </c>
      <c r="J201" s="116">
        <f t="shared" si="8"/>
        <v>39.476610752124493</v>
      </c>
      <c r="K201" s="116">
        <f t="shared" si="8"/>
        <v>20.257381552897964</v>
      </c>
    </row>
    <row r="202" spans="3:11" x14ac:dyDescent="0.2">
      <c r="C202" s="87" t="s">
        <v>140</v>
      </c>
      <c r="D202" s="47">
        <f t="shared" si="8"/>
        <v>82.727464325593402</v>
      </c>
      <c r="E202" s="47">
        <f t="shared" si="8"/>
        <v>87.640010181434377</v>
      </c>
      <c r="F202" s="47">
        <f t="shared" si="8"/>
        <v>92.5321654966436</v>
      </c>
      <c r="G202" s="47">
        <f t="shared" si="8"/>
        <v>83.82597996661481</v>
      </c>
      <c r="H202" s="47">
        <f t="shared" si="8"/>
        <v>89.352594949390124</v>
      </c>
      <c r="I202" s="47">
        <f t="shared" si="8"/>
        <v>58.358124778112241</v>
      </c>
      <c r="J202" s="47">
        <f t="shared" si="8"/>
        <v>66.733930626915665</v>
      </c>
      <c r="K202" s="47">
        <f t="shared" si="8"/>
        <v>48.621081338408842</v>
      </c>
    </row>
    <row r="203" spans="3:11" x14ac:dyDescent="0.2">
      <c r="C203" s="88" t="s">
        <v>141</v>
      </c>
      <c r="D203" s="116">
        <f t="shared" si="8"/>
        <v>55.034902967913702</v>
      </c>
      <c r="E203" s="116">
        <f t="shared" si="8"/>
        <v>64.088217125479829</v>
      </c>
      <c r="F203" s="116">
        <f t="shared" si="8"/>
        <v>42.864468040514332</v>
      </c>
      <c r="G203" s="116">
        <f t="shared" si="8"/>
        <v>39.606988049768241</v>
      </c>
      <c r="H203" s="116">
        <f t="shared" si="8"/>
        <v>52.376949216519954</v>
      </c>
      <c r="I203" s="116">
        <f t="shared" si="8"/>
        <v>66.9471354479778</v>
      </c>
      <c r="J203" s="116">
        <f t="shared" si="8"/>
        <v>60.939819638771141</v>
      </c>
      <c r="K203" s="116">
        <f t="shared" si="8"/>
        <v>13.105670029672526</v>
      </c>
    </row>
    <row r="204" spans="3:11" x14ac:dyDescent="0.2">
      <c r="C204" s="87" t="s">
        <v>142</v>
      </c>
      <c r="D204" s="47">
        <f t="shared" ref="D204:K213" si="9">+IFERROR(IF(D162&gt;0,+((D162/D35)*100)," "),"")</f>
        <v>50.930220218244493</v>
      </c>
      <c r="E204" s="47">
        <f t="shared" si="9"/>
        <v>60.820607140599904</v>
      </c>
      <c r="F204" s="47">
        <f t="shared" si="9"/>
        <v>66.706657831182753</v>
      </c>
      <c r="G204" s="47">
        <f t="shared" si="9"/>
        <v>22.153705664553296</v>
      </c>
      <c r="H204" s="47">
        <f t="shared" si="9"/>
        <v>26.289899608518123</v>
      </c>
      <c r="I204" s="47">
        <f t="shared" si="9"/>
        <v>38.37653292481518</v>
      </c>
      <c r="J204" s="47">
        <f t="shared" si="9"/>
        <v>40.176372258298066</v>
      </c>
      <c r="K204" s="47">
        <f t="shared" si="9"/>
        <v>8.7275838651188451</v>
      </c>
    </row>
    <row r="205" spans="3:11" x14ac:dyDescent="0.2">
      <c r="C205" s="88" t="s">
        <v>143</v>
      </c>
      <c r="D205" s="116">
        <f t="shared" si="9"/>
        <v>32.145107592676254</v>
      </c>
      <c r="E205" s="116">
        <f t="shared" si="9"/>
        <v>14.011633728302</v>
      </c>
      <c r="F205" s="116">
        <f t="shared" si="9"/>
        <v>14.225057181996309</v>
      </c>
      <c r="G205" s="116">
        <f t="shared" si="9"/>
        <v>17.714172067479328</v>
      </c>
      <c r="H205" s="116">
        <f t="shared" si="9"/>
        <v>6.6744500485830995</v>
      </c>
      <c r="I205" s="116">
        <f t="shared" si="9"/>
        <v>11.771115034799601</v>
      </c>
      <c r="J205" s="116">
        <f t="shared" si="9"/>
        <v>69.005156907715488</v>
      </c>
      <c r="K205" s="116">
        <f t="shared" si="9"/>
        <v>12.789277124055973</v>
      </c>
    </row>
    <row r="206" spans="3:11" x14ac:dyDescent="0.2">
      <c r="C206" s="87" t="s">
        <v>144</v>
      </c>
      <c r="D206" s="47">
        <f t="shared" si="9"/>
        <v>46.132177133745436</v>
      </c>
      <c r="E206" s="47">
        <f t="shared" si="9"/>
        <v>48.003168124169157</v>
      </c>
      <c r="F206" s="47">
        <f t="shared" si="9"/>
        <v>29.449286348009</v>
      </c>
      <c r="G206" s="47">
        <f t="shared" si="9"/>
        <v>35.088937628773998</v>
      </c>
      <c r="H206" s="47">
        <f t="shared" si="9"/>
        <v>43.654138363297726</v>
      </c>
      <c r="I206" s="47">
        <f t="shared" si="9"/>
        <v>24.568764552564801</v>
      </c>
      <c r="J206" s="47">
        <f t="shared" si="9"/>
        <v>38.304058927837083</v>
      </c>
      <c r="K206" s="47">
        <f t="shared" si="9"/>
        <v>6.0311063577415025</v>
      </c>
    </row>
    <row r="207" spans="3:11" x14ac:dyDescent="0.2">
      <c r="C207" s="88" t="s">
        <v>145</v>
      </c>
      <c r="D207" s="116">
        <f t="shared" si="9"/>
        <v>77.593573499428175</v>
      </c>
      <c r="E207" s="116">
        <f t="shared" si="9"/>
        <v>66.827689842476218</v>
      </c>
      <c r="F207" s="116">
        <f t="shared" si="9"/>
        <v>73.091321721059472</v>
      </c>
      <c r="G207" s="116">
        <f t="shared" si="9"/>
        <v>69.195736311600726</v>
      </c>
      <c r="H207" s="116">
        <f t="shared" si="9"/>
        <v>49.208243214048068</v>
      </c>
      <c r="I207" s="116">
        <f t="shared" si="9"/>
        <v>54.476351484493804</v>
      </c>
      <c r="J207" s="116">
        <f t="shared" si="9"/>
        <v>84.5154906177398</v>
      </c>
      <c r="K207" s="116">
        <f t="shared" si="9"/>
        <v>33.994638328064205</v>
      </c>
    </row>
    <row r="208" spans="3:11" x14ac:dyDescent="0.2">
      <c r="C208" s="87" t="s">
        <v>146</v>
      </c>
      <c r="D208" s="47">
        <f t="shared" si="9"/>
        <v>86.844545953747669</v>
      </c>
      <c r="E208" s="47">
        <f t="shared" si="9"/>
        <v>87.881182597579567</v>
      </c>
      <c r="F208" s="47">
        <f t="shared" si="9"/>
        <v>75.023032743336998</v>
      </c>
      <c r="G208" s="47">
        <f t="shared" si="9"/>
        <v>64.946213499633757</v>
      </c>
      <c r="H208" s="47">
        <f t="shared" si="9"/>
        <v>75.329438675977443</v>
      </c>
      <c r="I208" s="47">
        <f t="shared" si="9"/>
        <v>78.477809679677861</v>
      </c>
      <c r="J208" s="47">
        <f t="shared" si="9"/>
        <v>80.191549628747666</v>
      </c>
      <c r="K208" s="47">
        <f t="shared" si="9"/>
        <v>24.479148839999997</v>
      </c>
    </row>
    <row r="209" spans="1:11" x14ac:dyDescent="0.2">
      <c r="C209" s="88" t="s">
        <v>162</v>
      </c>
      <c r="D209" s="116">
        <f t="shared" si="9"/>
        <v>93.326231239033518</v>
      </c>
      <c r="E209" s="116">
        <f t="shared" si="9"/>
        <v>92.764752116541146</v>
      </c>
      <c r="F209" s="116">
        <f t="shared" si="9"/>
        <v>91.359087711646794</v>
      </c>
      <c r="G209" s="116">
        <f t="shared" si="9"/>
        <v>91.199087131366966</v>
      </c>
      <c r="H209" s="116">
        <f t="shared" si="9"/>
        <v>65.005720205271231</v>
      </c>
      <c r="I209" s="116">
        <f t="shared" si="9"/>
        <v>42.630333268093231</v>
      </c>
      <c r="J209" s="116">
        <f t="shared" si="9"/>
        <v>40.048619120973328</v>
      </c>
      <c r="K209" s="116">
        <f t="shared" si="9"/>
        <v>9.2122387775057302</v>
      </c>
    </row>
    <row r="210" spans="1:11" x14ac:dyDescent="0.2">
      <c r="C210" s="87" t="s">
        <v>148</v>
      </c>
      <c r="D210" s="47">
        <f t="shared" si="9"/>
        <v>61.866202437315046</v>
      </c>
      <c r="E210" s="47">
        <f t="shared" si="9"/>
        <v>79.625252443993361</v>
      </c>
      <c r="F210" s="47">
        <f t="shared" si="9"/>
        <v>84.546406859085337</v>
      </c>
      <c r="G210" s="47">
        <f t="shared" si="9"/>
        <v>86.660191564308178</v>
      </c>
      <c r="H210" s="47">
        <f t="shared" si="9"/>
        <v>85.634371030818372</v>
      </c>
      <c r="I210" s="47">
        <f t="shared" si="9"/>
        <v>76.470991278651866</v>
      </c>
      <c r="J210" s="47">
        <f t="shared" si="9"/>
        <v>78.260160187165113</v>
      </c>
      <c r="K210" s="47">
        <f t="shared" si="9"/>
        <v>39.436387057464955</v>
      </c>
    </row>
    <row r="211" spans="1:11" x14ac:dyDescent="0.2">
      <c r="C211" s="88" t="s">
        <v>149</v>
      </c>
      <c r="D211" s="116">
        <f t="shared" si="9"/>
        <v>96.896840961496807</v>
      </c>
      <c r="E211" s="116" t="str">
        <f t="shared" si="9"/>
        <v xml:space="preserve"> </v>
      </c>
      <c r="F211" s="116" t="str">
        <f t="shared" si="9"/>
        <v xml:space="preserve"> </v>
      </c>
      <c r="G211" s="116" t="str">
        <f t="shared" si="9"/>
        <v xml:space="preserve"> </v>
      </c>
      <c r="H211" s="116" t="str">
        <f t="shared" si="9"/>
        <v xml:space="preserve"> </v>
      </c>
      <c r="I211" s="116">
        <f t="shared" si="9"/>
        <v>21.324903928546586</v>
      </c>
      <c r="J211" s="116">
        <f t="shared" si="9"/>
        <v>68.265551029318488</v>
      </c>
      <c r="K211" s="116" t="str">
        <f t="shared" si="9"/>
        <v xml:space="preserve"> </v>
      </c>
    </row>
    <row r="212" spans="1:11" x14ac:dyDescent="0.2">
      <c r="C212" s="87" t="s">
        <v>163</v>
      </c>
      <c r="D212" s="47">
        <f t="shared" si="9"/>
        <v>93.213483786711265</v>
      </c>
      <c r="E212" s="47">
        <f t="shared" si="9"/>
        <v>86.098684607586208</v>
      </c>
      <c r="F212" s="47">
        <f t="shared" si="9"/>
        <v>87.448510123234044</v>
      </c>
      <c r="G212" s="47">
        <f t="shared" si="9"/>
        <v>93.147114746071651</v>
      </c>
      <c r="H212" s="47">
        <f t="shared" si="9"/>
        <v>86.981188539075717</v>
      </c>
      <c r="I212" s="47">
        <f t="shared" si="9"/>
        <v>79.461936542464713</v>
      </c>
      <c r="J212" s="47">
        <f t="shared" si="9"/>
        <v>76.29015994227673</v>
      </c>
      <c r="K212" s="47">
        <f t="shared" si="9"/>
        <v>30.662802065962786</v>
      </c>
    </row>
    <row r="213" spans="1:11" x14ac:dyDescent="0.2">
      <c r="C213" s="88" t="s">
        <v>150</v>
      </c>
      <c r="D213" s="116">
        <f t="shared" si="9"/>
        <v>78.541675913887545</v>
      </c>
      <c r="E213" s="116">
        <f t="shared" si="9"/>
        <v>84.118530021933708</v>
      </c>
      <c r="F213" s="116">
        <f t="shared" si="9"/>
        <v>85.187957084920811</v>
      </c>
      <c r="G213" s="116">
        <f t="shared" si="9"/>
        <v>79.771057253943752</v>
      </c>
      <c r="H213" s="116">
        <f t="shared" si="9"/>
        <v>87.534626062223751</v>
      </c>
      <c r="I213" s="116">
        <f t="shared" si="9"/>
        <v>34.398588043589015</v>
      </c>
      <c r="J213" s="116">
        <f t="shared" si="9"/>
        <v>29.017733171770459</v>
      </c>
      <c r="K213" s="116">
        <f t="shared" si="9"/>
        <v>12.517907372632017</v>
      </c>
    </row>
    <row r="214" spans="1:11" x14ac:dyDescent="0.2">
      <c r="C214" s="87" t="s">
        <v>151</v>
      </c>
      <c r="D214" s="47">
        <f t="shared" ref="D214:K215" si="10">+IFERROR(IF(D172&gt;0,+((D172/D45)*100)," "),"")</f>
        <v>35.049078283909395</v>
      </c>
      <c r="E214" s="47">
        <f t="shared" si="10"/>
        <v>49.391158648910718</v>
      </c>
      <c r="F214" s="47">
        <f t="shared" si="10"/>
        <v>59.120324785235127</v>
      </c>
      <c r="G214" s="47">
        <f t="shared" si="10"/>
        <v>64.134454219274943</v>
      </c>
      <c r="H214" s="47">
        <f t="shared" si="10"/>
        <v>41.086929110770178</v>
      </c>
      <c r="I214" s="47">
        <f t="shared" si="10"/>
        <v>30.058288663373826</v>
      </c>
      <c r="J214" s="47">
        <f t="shared" si="10"/>
        <v>36.856670566275533</v>
      </c>
      <c r="K214" s="47">
        <f t="shared" si="10"/>
        <v>15.900149666048119</v>
      </c>
    </row>
    <row r="215" spans="1:11" x14ac:dyDescent="0.2">
      <c r="C215" s="91" t="s">
        <v>202</v>
      </c>
      <c r="D215" s="64">
        <f t="shared" si="10"/>
        <v>75.631619622661304</v>
      </c>
      <c r="E215" s="64">
        <f t="shared" si="10"/>
        <v>80.264273640591284</v>
      </c>
      <c r="F215" s="64">
        <f t="shared" si="10"/>
        <v>77.504082492170582</v>
      </c>
      <c r="G215" s="64">
        <f t="shared" si="10"/>
        <v>79.652085086971098</v>
      </c>
      <c r="H215" s="64">
        <f t="shared" si="10"/>
        <v>70.92805157326012</v>
      </c>
      <c r="I215" s="64">
        <f t="shared" si="10"/>
        <v>53.730096295911999</v>
      </c>
      <c r="J215" s="64">
        <f t="shared" si="10"/>
        <v>61.583414739194943</v>
      </c>
      <c r="K215" s="64">
        <f t="shared" si="10"/>
        <v>31.659670293663396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Junio</v>
      </c>
      <c r="D216" s="47"/>
      <c r="E216" s="47"/>
      <c r="F216" s="47"/>
      <c r="G216" s="47"/>
      <c r="H216" s="47"/>
      <c r="I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64" t="s">
        <v>215</v>
      </c>
      <c r="E221" s="182"/>
      <c r="F221" s="182"/>
      <c r="G221" s="182"/>
      <c r="H221" s="182"/>
      <c r="I221" s="182"/>
      <c r="J221" s="182"/>
      <c r="K221" s="182"/>
    </row>
    <row r="222" spans="1:1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81" t="s">
        <v>120</v>
      </c>
      <c r="D223" s="155">
        <v>2019</v>
      </c>
      <c r="E223" s="155">
        <v>2020</v>
      </c>
      <c r="F223" s="155">
        <v>2021</v>
      </c>
      <c r="G223" s="155">
        <v>2022</v>
      </c>
      <c r="H223" s="155">
        <v>2023</v>
      </c>
      <c r="I223" s="155">
        <v>2024</v>
      </c>
      <c r="J223" s="155">
        <v>2025</v>
      </c>
      <c r="K223" s="155" t="s">
        <v>36</v>
      </c>
    </row>
    <row r="224" spans="1:11" ht="12" customHeight="1" thickBot="1" x14ac:dyDescent="0.25">
      <c r="C224" s="162"/>
      <c r="D224" s="156"/>
      <c r="E224" s="156"/>
      <c r="F224" s="156"/>
      <c r="G224" s="156"/>
      <c r="H224" s="156"/>
      <c r="I224" s="156"/>
      <c r="J224" s="156"/>
      <c r="K224" s="156"/>
    </row>
    <row r="225" spans="3:11" x14ac:dyDescent="0.2">
      <c r="C225" s="87" t="s">
        <v>123</v>
      </c>
      <c r="D225" s="42">
        <f>831.49980542253*Deflactores!$T$5</f>
        <v>1293.2687990180309</v>
      </c>
      <c r="E225" s="42">
        <f>780.757653156359*Deflactores!$U$5</f>
        <v>1195.1060549403298</v>
      </c>
      <c r="F225" s="42">
        <f>1246.75207125103*Deflactores!$V$5</f>
        <v>1806.8584537746733</v>
      </c>
      <c r="G225" s="42">
        <f>1160.71173850402*Deflactores!$W$5</f>
        <v>1487.0617870444489</v>
      </c>
      <c r="H225" s="42">
        <f>3221.382938719*Deflactores!$X$5</f>
        <v>3776.646229949431</v>
      </c>
      <c r="I225" s="42">
        <f>2133.77796612862*Deflactores!$Y$5</f>
        <v>2377.921081760599</v>
      </c>
      <c r="J225" s="42">
        <f>2140.06491885735*Deflactores!$Z$5</f>
        <v>2269.1762411821487</v>
      </c>
      <c r="K225" s="42">
        <f>740.298672496369*Deflactores!$AA$5</f>
        <v>740.29867249636902</v>
      </c>
    </row>
    <row r="226" spans="3:11" x14ac:dyDescent="0.2">
      <c r="C226" s="88" t="s">
        <v>124</v>
      </c>
      <c r="D226" s="50">
        <f>155.19338699352*Deflactores!$T$5</f>
        <v>241.37920887505214</v>
      </c>
      <c r="E226" s="50">
        <f>148.123213000239*Deflactores!$U$5</f>
        <v>226.73226194857443</v>
      </c>
      <c r="F226" s="50">
        <f>284.05262034974*Deflactores!$V$5</f>
        <v>411.66394685093371</v>
      </c>
      <c r="G226" s="50">
        <f>319.22715002427*Deflactores!$W$5</f>
        <v>408.98224808170414</v>
      </c>
      <c r="H226" s="50">
        <f>377.63529393953*Deflactores!$X$5</f>
        <v>442.72752922684361</v>
      </c>
      <c r="I226" s="50">
        <f>397.520546904029*Deflactores!$Y$5</f>
        <v>443.00414753608641</v>
      </c>
      <c r="J226" s="50">
        <f>503.67840832279*Deflactores!$Z$5</f>
        <v>534.06561048286608</v>
      </c>
      <c r="K226" s="50">
        <f>119.24372028761*Deflactores!$AA$5</f>
        <v>119.24372028761</v>
      </c>
    </row>
    <row r="227" spans="3:11" x14ac:dyDescent="0.2">
      <c r="C227" s="87" t="s">
        <v>125</v>
      </c>
      <c r="D227" s="42">
        <f>127.44265654972*Deflactores!$T$5</f>
        <v>198.21725790539546</v>
      </c>
      <c r="E227" s="42">
        <f>159.44373548996*Deflactores!$U$5</f>
        <v>244.06059029458464</v>
      </c>
      <c r="F227" s="42">
        <f>334.840820390469*Deflactores!$V$5</f>
        <v>485.26886856043478</v>
      </c>
      <c r="G227" s="42">
        <f>265.99201824601*Deflactores!$W$5</f>
        <v>340.7793277788939</v>
      </c>
      <c r="H227" s="42">
        <f>293.92692347326*Deflactores!$X$5</f>
        <v>344.59051548132391</v>
      </c>
      <c r="I227" s="42">
        <f>300.61243224908*Deflactores!$Y$5</f>
        <v>335.00797713332855</v>
      </c>
      <c r="J227" s="42">
        <f>234.79407262684*Deflactores!$Z$5</f>
        <v>248.95933131771281</v>
      </c>
      <c r="K227" s="42">
        <f>95.274715511*Deflactores!$AA$5</f>
        <v>95.274715510999997</v>
      </c>
    </row>
    <row r="228" spans="3:11" x14ac:dyDescent="0.2">
      <c r="C228" s="88" t="s">
        <v>126</v>
      </c>
      <c r="D228" s="50">
        <f>120.41569268501*Deflactores!$T$5</f>
        <v>187.28790703989691</v>
      </c>
      <c r="E228" s="50">
        <f>84.20351596211*Deflactores!$U$5</f>
        <v>128.89035588285066</v>
      </c>
      <c r="F228" s="50">
        <f>103.194659830279*Deflactores!$V$5</f>
        <v>149.55511027276125</v>
      </c>
      <c r="G228" s="50">
        <f>146.15130569051*Deflactores!$W$5</f>
        <v>187.24375278492676</v>
      </c>
      <c r="H228" s="50">
        <f>172.411864912919*Deflactores!$X$5</f>
        <v>202.13015093475812</v>
      </c>
      <c r="I228" s="50">
        <f>50.6850753991*Deflactores!$Y$5</f>
        <v>56.484372430191442</v>
      </c>
      <c r="J228" s="50">
        <f>156.16812169469*Deflactores!$Z$5</f>
        <v>165.58983246585072</v>
      </c>
      <c r="K228" s="50">
        <f>103.879768803959*Deflactores!$AA$5</f>
        <v>103.879768803959</v>
      </c>
    </row>
    <row r="229" spans="3:11" x14ac:dyDescent="0.2">
      <c r="C229" s="87" t="s">
        <v>127</v>
      </c>
      <c r="D229" s="42">
        <f>56.1706710994799*Deflactores!$T$5</f>
        <v>87.364754482350051</v>
      </c>
      <c r="E229" s="42">
        <f>63.9798286538699*Deflactores!$U$5</f>
        <v>97.933949554218302</v>
      </c>
      <c r="F229" s="42">
        <f>102.568897871439*Deflactores!$V$5</f>
        <v>148.64822324088644</v>
      </c>
      <c r="G229" s="42">
        <f>135.40986192558*Deflactores!$W$5</f>
        <v>173.48220456357316</v>
      </c>
      <c r="H229" s="42">
        <f>176.44283537095*Deflactores!$X$5</f>
        <v>206.85593165470385</v>
      </c>
      <c r="I229" s="42">
        <f>148.44162962711*Deflactores!$Y$5</f>
        <v>165.426059367194</v>
      </c>
      <c r="J229" s="42">
        <f>143.897824087*Deflactores!$Z$5</f>
        <v>152.57926089007307</v>
      </c>
      <c r="K229" s="42">
        <f>72.36456606705*Deflactores!$AA$5</f>
        <v>72.364566067050006</v>
      </c>
    </row>
    <row r="230" spans="3:11" x14ac:dyDescent="0.2">
      <c r="C230" s="88" t="s">
        <v>128</v>
      </c>
      <c r="D230" s="50">
        <f>126.07571904938*Deflactores!$T$5</f>
        <v>196.09119893596599</v>
      </c>
      <c r="E230" s="50">
        <f>121.50204043517*Deflactores!$U$5</f>
        <v>185.98322235414105</v>
      </c>
      <c r="F230" s="50">
        <f>269.28198027427*Deflactores!$V$5</f>
        <v>390.25756100771957</v>
      </c>
      <c r="G230" s="50">
        <f>257.70229679655*Deflactores!$W$5</f>
        <v>330.15883727827855</v>
      </c>
      <c r="H230" s="50">
        <f>322.268912770119*Deflactores!$X$5</f>
        <v>377.81775640966072</v>
      </c>
      <c r="I230" s="50">
        <f>528.63048914799*Deflactores!$Y$5</f>
        <v>589.11545838441327</v>
      </c>
      <c r="J230" s="50">
        <f>389.09217031253*Deflactores!$Z$5</f>
        <v>412.56632017247875</v>
      </c>
      <c r="K230" s="50">
        <f>193.70709314696*Deflactores!$AA$5</f>
        <v>193.70709314696001</v>
      </c>
    </row>
    <row r="231" spans="3:11" x14ac:dyDescent="0.2">
      <c r="C231" s="87" t="s">
        <v>129</v>
      </c>
      <c r="D231" s="42">
        <f>657.643914370949*Deflactores!$T$5</f>
        <v>1022.8629637355641</v>
      </c>
      <c r="E231" s="42">
        <f>984.95463971829*Deflactores!$U$5</f>
        <v>1507.6704647212232</v>
      </c>
      <c r="F231" s="42">
        <f>1436.97174639999*Deflactores!$V$5</f>
        <v>2082.5347779152789</v>
      </c>
      <c r="G231" s="42">
        <f>1304.19742820289*Deflactores!$W$5</f>
        <v>1670.8904492874194</v>
      </c>
      <c r="H231" s="42">
        <f>1294.71539464193*Deflactores!$X$5</f>
        <v>1517.8828804427528</v>
      </c>
      <c r="I231" s="42">
        <f>1059.3938250174*Deflactores!$Y$5</f>
        <v>1180.6078000544996</v>
      </c>
      <c r="J231" s="42">
        <f>861.73677625517*Deflactores!$Z$5</f>
        <v>913.72584149232136</v>
      </c>
      <c r="K231" s="42">
        <f>507.80289274874*Deflactores!$AA$5</f>
        <v>507.80289274874002</v>
      </c>
    </row>
    <row r="232" spans="3:11" x14ac:dyDescent="0.2">
      <c r="C232" s="88" t="s">
        <v>130</v>
      </c>
      <c r="D232" s="50">
        <f>230.302374533769*Deflactores!$T$5</f>
        <v>358.19957308701726</v>
      </c>
      <c r="E232" s="50">
        <f>204.19736059113*Deflactores!$U$5</f>
        <v>312.56498230753942</v>
      </c>
      <c r="F232" s="50">
        <f>635.752490601649*Deflactores!$V$5</f>
        <v>921.36583418645284</v>
      </c>
      <c r="G232" s="50">
        <f>507.382871380989*Deflactores!$W$5</f>
        <v>650.04053496004508</v>
      </c>
      <c r="H232" s="50">
        <f>512.78972961935*Deflactores!$X$5</f>
        <v>601.17826286551826</v>
      </c>
      <c r="I232" s="50">
        <f>321.04538850098*Deflactores!$Y$5</f>
        <v>357.77883624114833</v>
      </c>
      <c r="J232" s="50">
        <f>258.97770164243*Deflactores!$Z$5</f>
        <v>274.60197229752038</v>
      </c>
      <c r="K232" s="50">
        <f>245.717588879*Deflactores!$AA$5</f>
        <v>245.717588879</v>
      </c>
    </row>
    <row r="233" spans="3:11" x14ac:dyDescent="0.2">
      <c r="C233" s="87" t="s">
        <v>131</v>
      </c>
      <c r="D233" s="42">
        <f>3615.88028740662*Deflactores!$T$5</f>
        <v>5623.9401695482638</v>
      </c>
      <c r="E233" s="42">
        <f>3952.36958644122*Deflactores!$U$5</f>
        <v>6049.8937218511692</v>
      </c>
      <c r="F233" s="42">
        <f>4816.5881248928*Deflactores!$V$5</f>
        <v>6980.4519859995125</v>
      </c>
      <c r="G233" s="42">
        <f>5457.23801525114*Deflactores!$W$5</f>
        <v>6991.6154425607665</v>
      </c>
      <c r="H233" s="42">
        <f>6731.16341195197*Deflactores!$X$5</f>
        <v>7891.4004967788287</v>
      </c>
      <c r="I233" s="42">
        <f>5631.11083306629*Deflactores!$Y$5</f>
        <v>6275.4126137937992</v>
      </c>
      <c r="J233" s="42">
        <f>6103.97139294635*Deflactores!$Z$5</f>
        <v>6472.2274262244582</v>
      </c>
      <c r="K233" s="42">
        <f>3744.77606605638*Deflactores!$AA$5</f>
        <v>3744.7760660563799</v>
      </c>
    </row>
    <row r="234" spans="3:11" x14ac:dyDescent="0.2">
      <c r="C234" s="88" t="s">
        <v>132</v>
      </c>
      <c r="D234" s="50">
        <f>15.82750613848*Deflactores!$T$5</f>
        <v>24.617227474588553</v>
      </c>
      <c r="E234" s="50">
        <f>18.47924453267*Deflactores!$U$5</f>
        <v>28.28618706769705</v>
      </c>
      <c r="F234" s="50">
        <f>18.74275271973*Deflactores!$V$5</f>
        <v>27.162979697054521</v>
      </c>
      <c r="G234" s="50">
        <f>15.5735068128899*Deflactores!$W$5</f>
        <v>19.952212167314737</v>
      </c>
      <c r="H234" s="50">
        <f>15.58480259389*Deflactores!$X$5</f>
        <v>18.271123638633938</v>
      </c>
      <c r="I234" s="50">
        <f>16.2117949298999*Deflactores!$Y$5</f>
        <v>18.066719944124131</v>
      </c>
      <c r="J234" s="50">
        <f>15.61785591425*Deflactores!$Z$5</f>
        <v>16.560089961076784</v>
      </c>
      <c r="K234" s="50">
        <f>3.76852710862*Deflactores!$AA$5</f>
        <v>3.7685271086199998</v>
      </c>
    </row>
    <row r="235" spans="3:11" x14ac:dyDescent="0.2">
      <c r="C235" s="87" t="s">
        <v>133</v>
      </c>
      <c r="D235" s="42">
        <f>71.75964631023*Deflactores!$T$5</f>
        <v>111.61098414741159</v>
      </c>
      <c r="E235" s="42">
        <f>82.58783512007*Deflactores!$U$5</f>
        <v>126.41723256556129</v>
      </c>
      <c r="F235" s="42">
        <f>107.18147040371*Deflactores!$V$5</f>
        <v>155.33300513599076</v>
      </c>
      <c r="G235" s="42">
        <f>140.28140386449*Deflactores!$W$5</f>
        <v>179.72344743294764</v>
      </c>
      <c r="H235" s="42">
        <f>146.44762847544*Deflactores!$X$5</f>
        <v>171.6905113388168</v>
      </c>
      <c r="I235" s="42">
        <f>154.987248532139*Deflactores!$Y$5</f>
        <v>172.72061645538028</v>
      </c>
      <c r="J235" s="42">
        <f>189.306010943289*Deflactores!$Z$5</f>
        <v>200.72694924359578</v>
      </c>
      <c r="K235" s="42">
        <f>20.70559049989*Deflactores!$AA$5</f>
        <v>20.70559049989</v>
      </c>
    </row>
    <row r="236" spans="3:11" x14ac:dyDescent="0.2">
      <c r="C236" s="88" t="s">
        <v>134</v>
      </c>
      <c r="D236" s="50">
        <f>506.516502913519*Deflactores!$T$5</f>
        <v>787.80774828071935</v>
      </c>
      <c r="E236" s="50">
        <f>545.432410609499*Deflactores!$U$5</f>
        <v>834.89361115435565</v>
      </c>
      <c r="F236" s="50">
        <f>766.940848248379*Deflactores!$V$5</f>
        <v>1111.4908787054944</v>
      </c>
      <c r="G236" s="50">
        <f>952.55666504925*Deflactores!$W$5</f>
        <v>1220.381055519352</v>
      </c>
      <c r="H236" s="50">
        <f>1032.56918892119*Deflactores!$X$5</f>
        <v>1210.5510610458098</v>
      </c>
      <c r="I236" s="50">
        <f>945.06497279963*Deflactores!$Y$5</f>
        <v>1053.1976419885316</v>
      </c>
      <c r="J236" s="50">
        <f>632.16662656359*Deflactores!$Z$5</f>
        <v>670.30559532385155</v>
      </c>
      <c r="K236" s="50">
        <f>1070.29929969658*Deflactores!$AA$5</f>
        <v>1070.29929969658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5908.9827952033*Deflactores!$Y$5</f>
        <v>6585.0781962885949</v>
      </c>
      <c r="J237" s="42">
        <f>6293.11152951165*Deflactores!$Z$5</f>
        <v>6672.7784937953829</v>
      </c>
      <c r="K237" s="42">
        <f>3144.65764242651*Deflactores!$AA$5</f>
        <v>3144.6576424265099</v>
      </c>
    </row>
    <row r="238" spans="3:11" x14ac:dyDescent="0.2">
      <c r="C238" s="88" t="s">
        <v>136</v>
      </c>
      <c r="D238" s="50">
        <f>6966.95545508716*Deflactores!$T$5</f>
        <v>10836.017104819583</v>
      </c>
      <c r="E238" s="50">
        <f>8313.01657532428*Deflactores!$U$5</f>
        <v>12724.737828474086</v>
      </c>
      <c r="F238" s="50">
        <f>10835.8248953266*Deflactores!$V$5</f>
        <v>15703.845429426035</v>
      </c>
      <c r="G238" s="50">
        <f>18652.4962292094*Deflactores!$W$5</f>
        <v>23896.901750297846</v>
      </c>
      <c r="H238" s="50">
        <f>14751.9484644893*Deflactores!$X$5</f>
        <v>17294.712119812848</v>
      </c>
      <c r="I238" s="50">
        <f>8406.17716686667*Deflactores!$Y$5</f>
        <v>9367.9971484446032</v>
      </c>
      <c r="J238" s="50">
        <f>6844.6693317788*Deflactores!$Z$5</f>
        <v>7257.6120890358116</v>
      </c>
      <c r="K238" s="50">
        <f>4522.85263020588*Deflactores!$AA$5</f>
        <v>4522.8526302058799</v>
      </c>
    </row>
    <row r="239" spans="3:11" x14ac:dyDescent="0.2">
      <c r="C239" s="87" t="s">
        <v>137</v>
      </c>
      <c r="D239" s="42">
        <f>157.51847690306*Deflactores!$T$5</f>
        <v>244.99552509702858</v>
      </c>
      <c r="E239" s="42">
        <f>150.48391518932*Deflactores!$U$5</f>
        <v>230.34578974260373</v>
      </c>
      <c r="F239" s="42">
        <f>186.61742393987*Deflactores!$V$5</f>
        <v>270.45575286597114</v>
      </c>
      <c r="G239" s="42">
        <f>202.454211757*Deflactores!$W$5</f>
        <v>259.37699425531997</v>
      </c>
      <c r="H239" s="42">
        <f>341.3385152087*Deflactores!$X$5</f>
        <v>400.1743478259362</v>
      </c>
      <c r="I239" s="42">
        <f>537.894357638169*Deflactores!$Y$5</f>
        <v>599.43928238631815</v>
      </c>
      <c r="J239" s="42">
        <f>439.19075076426*Deflactores!$Z$5</f>
        <v>465.68737620974923</v>
      </c>
      <c r="K239" s="42">
        <f>140.12046369645*Deflactores!$AA$5</f>
        <v>140.12046369645</v>
      </c>
    </row>
    <row r="240" spans="3:11" x14ac:dyDescent="0.2">
      <c r="C240" s="88" t="s">
        <v>138</v>
      </c>
      <c r="D240" s="50">
        <f>4.76299823841*Deflactores!$T$5</f>
        <v>7.4081039722954003</v>
      </c>
      <c r="E240" s="50">
        <f>6.86644852094*Deflactores!$U$5</f>
        <v>10.510475523533623</v>
      </c>
      <c r="F240" s="50">
        <f>7.52410469154*Deflactores!$V$5</f>
        <v>10.904326916700519</v>
      </c>
      <c r="G240" s="50">
        <f>6.92170782745*Deflactores!$W$5</f>
        <v>8.8678410580679206</v>
      </c>
      <c r="H240" s="50">
        <f>19.5820033794*Deflactores!$X$5</f>
        <v>22.957313875597897</v>
      </c>
      <c r="I240" s="50">
        <f>16.3466193832*Deflactores!$Y$5</f>
        <v>18.216970773839481</v>
      </c>
      <c r="J240" s="50">
        <f>15.28163051567*Deflactores!$Z$5</f>
        <v>16.203579894762019</v>
      </c>
      <c r="K240" s="50">
        <f>4.48856703505*Deflactores!$AA$5</f>
        <v>4.48856703505</v>
      </c>
    </row>
    <row r="241" spans="3:11" x14ac:dyDescent="0.2">
      <c r="C241" s="87" t="s">
        <v>160</v>
      </c>
      <c r="D241" s="42">
        <f>56.33923937076*Deflactores!$T$5</f>
        <v>87.626936246349601</v>
      </c>
      <c r="E241" s="42">
        <f>180.48963312414*Deflactores!$U$5</f>
        <v>276.27555430112483</v>
      </c>
      <c r="F241" s="42">
        <f>302.87816957598*Deflactores!$V$5</f>
        <v>438.94691958524101</v>
      </c>
      <c r="G241" s="42">
        <f>448.64499702241*Deflactores!$W$5</f>
        <v>574.78770041609755</v>
      </c>
      <c r="H241" s="42">
        <f>231.05889590605*Deflactores!$X$5</f>
        <v>270.88605258053138</v>
      </c>
      <c r="I241" s="42">
        <f>216.14172170666*Deflactores!$Y$5</f>
        <v>240.87227670965569</v>
      </c>
      <c r="J241" s="42">
        <f>226.52304626985*Deflactores!$Z$5</f>
        <v>240.1893092804869</v>
      </c>
      <c r="K241" s="42">
        <f>79.5272710706999*Deflactores!$AA$5</f>
        <v>79.527271070699896</v>
      </c>
    </row>
    <row r="242" spans="3:11" x14ac:dyDescent="0.2">
      <c r="C242" s="88" t="s">
        <v>161</v>
      </c>
      <c r="D242" s="50">
        <f>44.3871746213999*Deflactores!$T$5</f>
        <v>69.037355920066759</v>
      </c>
      <c r="E242" s="50">
        <f>86.99436187871*Deflactores!$U$5</f>
        <v>133.16230485427647</v>
      </c>
      <c r="F242" s="50">
        <f>67.49391293035*Deflactores!$V$5</f>
        <v>97.81571650742417</v>
      </c>
      <c r="G242" s="50">
        <f>65.7400326780199*Deflactores!$W$5</f>
        <v>84.223745854878459</v>
      </c>
      <c r="H242" s="50">
        <f>152.66151323161*Deflactores!$X$5</f>
        <v>178.97547089940284</v>
      </c>
      <c r="I242" s="50">
        <f>173.06363522605*Deflactores!$Y$5</f>
        <v>192.86527146814871</v>
      </c>
      <c r="J242" s="50">
        <f>208.27255029644*Deflactores!$Z$5</f>
        <v>220.83775060218076</v>
      </c>
      <c r="K242" s="50">
        <f>105.685563556419*Deflactores!$AA$5</f>
        <v>105.685563556419</v>
      </c>
    </row>
    <row r="243" spans="3:11" x14ac:dyDescent="0.2">
      <c r="C243" s="87" t="s">
        <v>140</v>
      </c>
      <c r="D243" s="42">
        <f>2489.26845413335*Deflactores!$T$5</f>
        <v>3871.6704479258547</v>
      </c>
      <c r="E243" s="42">
        <f>2611.78285350464*Deflactores!$U$5</f>
        <v>3997.8570684437814</v>
      </c>
      <c r="F243" s="42">
        <f>4058.52998701613*Deflactores!$V$5</f>
        <v>5881.8343967776673</v>
      </c>
      <c r="G243" s="42">
        <f>3595.74618192593*Deflactores!$W$5</f>
        <v>4606.739611287655</v>
      </c>
      <c r="H243" s="42">
        <f>6019.95213296458*Deflactores!$X$5</f>
        <v>7057.5991615816729</v>
      </c>
      <c r="I243" s="42">
        <f>4055.70523693843*Deflactores!$Y$5</f>
        <v>4519.751884878835</v>
      </c>
      <c r="J243" s="42">
        <f>4371.62091294051*Deflactores!$Z$5</f>
        <v>4635.363265707012</v>
      </c>
      <c r="K243" s="42">
        <f>4680.7673554325*Deflactores!$AA$5</f>
        <v>4680.7673554325002</v>
      </c>
    </row>
    <row r="244" spans="3:11" x14ac:dyDescent="0.2">
      <c r="C244" s="88" t="s">
        <v>141</v>
      </c>
      <c r="D244" s="50">
        <f>88.0391492213199*Deflactores!$T$5</f>
        <v>136.93122239778282</v>
      </c>
      <c r="E244" s="50">
        <f>138.704273806039*Deflactores!$U$5</f>
        <v>212.31468792083845</v>
      </c>
      <c r="F244" s="50">
        <f>146.82482003572*Deflactores!$V$5</f>
        <v>212.78622544359101</v>
      </c>
      <c r="G244" s="50">
        <f>174.92951562245*Deflactores!$W$5</f>
        <v>224.11335172986998</v>
      </c>
      <c r="H244" s="50">
        <f>297.228480203929*Deflactores!$X$5</f>
        <v>348.46115489832027</v>
      </c>
      <c r="I244" s="50">
        <f>344.725257502229*Deflactores!$Y$5</f>
        <v>384.16811413474392</v>
      </c>
      <c r="J244" s="50">
        <f>230.666522926599*Deflactores!$Z$5</f>
        <v>244.58276421848373</v>
      </c>
      <c r="K244" s="50">
        <f>116.49521235403*Deflactores!$AA$5</f>
        <v>116.49521235403</v>
      </c>
    </row>
    <row r="245" spans="3:11" x14ac:dyDescent="0.2">
      <c r="C245" s="87" t="s">
        <v>142</v>
      </c>
      <c r="D245" s="42">
        <f>142.25467665546*Deflactores!$T$5</f>
        <v>221.25505458106289</v>
      </c>
      <c r="E245" s="42">
        <f>115.81430272671*Deflactores!$U$5</f>
        <v>177.27699994720976</v>
      </c>
      <c r="F245" s="42">
        <f>367.08058492916*Deflactores!$V$5</f>
        <v>531.99242527045999</v>
      </c>
      <c r="G245" s="42">
        <f>235.55994928746*Deflactores!$W$5</f>
        <v>301.79086462499561</v>
      </c>
      <c r="H245" s="42">
        <f>353.09455431769*Deflactores!$X$5</f>
        <v>413.95675172659145</v>
      </c>
      <c r="I245" s="42">
        <f>362.00239251995*Deflactores!$Y$5</f>
        <v>403.42206850264023</v>
      </c>
      <c r="J245" s="42">
        <f>243.0389058167*Deflactores!$Z$5</f>
        <v>257.70157993927785</v>
      </c>
      <c r="K245" s="42">
        <f>82.76074431142*Deflactores!$AA$5</f>
        <v>82.760744311419998</v>
      </c>
    </row>
    <row r="246" spans="3:11" x14ac:dyDescent="0.2">
      <c r="C246" s="88" t="s">
        <v>143</v>
      </c>
      <c r="D246" s="50">
        <f>83.64624915036*Deflactores!$T$5</f>
        <v>130.09874864141241</v>
      </c>
      <c r="E246" s="50">
        <f>96.7766911839799*Deflactores!$U$5</f>
        <v>148.1361202717566</v>
      </c>
      <c r="F246" s="50">
        <f>329.19726469817*Deflactores!$V$5</f>
        <v>477.08993182785207</v>
      </c>
      <c r="G246" s="50">
        <f>215.22714796652*Deflactores!$W$5</f>
        <v>275.74121692615648</v>
      </c>
      <c r="H246" s="50">
        <f>133.670681254939*Deflactores!$X$5</f>
        <v>156.71122745096073</v>
      </c>
      <c r="I246" s="50">
        <f>90.31862748685*Deflactores!$Y$5</f>
        <v>100.65272572212744</v>
      </c>
      <c r="J246" s="50">
        <f>333.4928368553*Deflactores!$Z$5</f>
        <v>353.61264760161419</v>
      </c>
      <c r="K246" s="50">
        <f>35.60787052812*Deflactores!$AA$5</f>
        <v>35.607870528120003</v>
      </c>
    </row>
    <row r="247" spans="3:11" x14ac:dyDescent="0.2">
      <c r="C247" s="87" t="s">
        <v>144</v>
      </c>
      <c r="D247" s="42">
        <f>85.39372257432*Deflactores!$T$5</f>
        <v>132.81667213529977</v>
      </c>
      <c r="E247" s="42">
        <f>117.47647423659*Deflactores!$U$5</f>
        <v>179.82128654853375</v>
      </c>
      <c r="F247" s="42">
        <f>134.42534392621*Deflactores!$V$5</f>
        <v>194.81625471126708</v>
      </c>
      <c r="G247" s="42">
        <f>197.41762997504*Deflactores!$W$5</f>
        <v>252.92430832407399</v>
      </c>
      <c r="H247" s="42">
        <f>316.03648607077*Deflactores!$X$5</f>
        <v>370.51105886848217</v>
      </c>
      <c r="I247" s="42">
        <f>273.69532425554*Deflactores!$Y$5</f>
        <v>305.01106106525475</v>
      </c>
      <c r="J247" s="42">
        <f>413.75541038021*Deflactores!$Z$5</f>
        <v>438.7175074093746</v>
      </c>
      <c r="K247" s="42">
        <f>80.21307416303*Deflactores!$AA$5</f>
        <v>80.213074163030001</v>
      </c>
    </row>
    <row r="248" spans="3:11" x14ac:dyDescent="0.2">
      <c r="C248" s="88" t="s">
        <v>145</v>
      </c>
      <c r="D248" s="50">
        <f>45.763409356*Deflactores!$T$5</f>
        <v>71.177875293343988</v>
      </c>
      <c r="E248" s="50">
        <f>78.70152049808*Deflactores!$U$5</f>
        <v>120.46844920446725</v>
      </c>
      <c r="F248" s="50">
        <f>47.942235419*Deflactores!$V$5</f>
        <v>69.480400600220108</v>
      </c>
      <c r="G248" s="50">
        <f>105.647963472*Deflactores!$W$5</f>
        <v>135.35233955741961</v>
      </c>
      <c r="H248" s="50">
        <f>119.955067789*Deflactores!$X$5</f>
        <v>140.6314813068465</v>
      </c>
      <c r="I248" s="50">
        <f>98.1743662298*Deflactores!$Y$5</f>
        <v>109.40730425194356</v>
      </c>
      <c r="J248" s="50">
        <f>148.973050154*Deflactores!$Z$5</f>
        <v>157.96067820521404</v>
      </c>
      <c r="K248" s="50">
        <f>76.793890754*Deflactores!$AA$5</f>
        <v>76.793890754000003</v>
      </c>
    </row>
    <row r="249" spans="3:11" x14ac:dyDescent="0.2">
      <c r="C249" s="87" t="s">
        <v>146</v>
      </c>
      <c r="D249" s="42">
        <f>33.60684902011*Deflactores!$T$5</f>
        <v>52.270233844411067</v>
      </c>
      <c r="E249" s="42">
        <f>37.69416342996*Deflactores!$U$5</f>
        <v>57.698471182368124</v>
      </c>
      <c r="F249" s="42">
        <f>53.11331817313*Deflactores!$V$5</f>
        <v>76.974604784771998</v>
      </c>
      <c r="G249" s="42">
        <f>48.45713720763*Deflactores!$W$5</f>
        <v>62.081526929252078</v>
      </c>
      <c r="H249" s="42">
        <f>66.19232723216*Deflactores!$X$5</f>
        <v>77.601765405861372</v>
      </c>
      <c r="I249" s="42">
        <f>29.25509856256*Deflactores!$Y$5</f>
        <v>32.602415398970471</v>
      </c>
      <c r="J249" s="42">
        <f>15.25847688394*Deflactores!$Z$5</f>
        <v>16.179029391384368</v>
      </c>
      <c r="K249" s="42">
        <f>2.447914884*Deflactores!$AA$5</f>
        <v>2.4479148839999998</v>
      </c>
    </row>
    <row r="250" spans="3:11" x14ac:dyDescent="0.2">
      <c r="C250" s="88" t="s">
        <v>162</v>
      </c>
      <c r="D250" s="50">
        <f>497.85164759372*Deflactores!$T$5</f>
        <v>774.33091165367148</v>
      </c>
      <c r="E250" s="50">
        <f>544.57065222106*Deflactores!$U$5</f>
        <v>833.57451724121165</v>
      </c>
      <c r="F250" s="50">
        <f>683.87962904999*Deflactores!$V$5</f>
        <v>991.1142059490212</v>
      </c>
      <c r="G250" s="50">
        <f>935.052207824839*Deflactores!$W$5</f>
        <v>1197.954979709242</v>
      </c>
      <c r="H250" s="50">
        <f>1264.38755484838*Deflactores!$X$5</f>
        <v>1482.3274919659118</v>
      </c>
      <c r="I250" s="50">
        <f>798.35743606098*Deflactores!$Y$5</f>
        <v>889.70408736300078</v>
      </c>
      <c r="J250" s="50">
        <f>790.64797548967*Deflactores!$Z$5</f>
        <v>838.34821332329648</v>
      </c>
      <c r="K250" s="50">
        <f>242.48924819534*Deflactores!$AA$5</f>
        <v>242.48924819534</v>
      </c>
    </row>
    <row r="251" spans="3:11" x14ac:dyDescent="0.2">
      <c r="C251" s="87" t="s">
        <v>148</v>
      </c>
      <c r="D251" s="42">
        <f>92.63155866232*Deflactores!$T$5</f>
        <v>144.07400199151132</v>
      </c>
      <c r="E251" s="42">
        <f>138.628278518*Deflactores!$U$5</f>
        <v>212.19836190275183</v>
      </c>
      <c r="F251" s="42">
        <f>178.78469355741*Deflactores!$V$5</f>
        <v>259.10414942048067</v>
      </c>
      <c r="G251" s="42">
        <f>218.56945861701*Deflactores!$W$5</f>
        <v>280.02326412521495</v>
      </c>
      <c r="H251" s="42">
        <f>206.08951802692*Deflactores!$X$5</f>
        <v>241.61275330959836</v>
      </c>
      <c r="I251" s="42">
        <f>193.75256609657*Deflactores!$Y$5</f>
        <v>215.92139335947942</v>
      </c>
      <c r="J251" s="42">
        <f>207.06352164687*Deflactores!$Z$5</f>
        <v>219.55578057298294</v>
      </c>
      <c r="K251" s="42">
        <f>105.436115421369*Deflactores!$AA$5</f>
        <v>105.436115421369</v>
      </c>
    </row>
    <row r="252" spans="3:11" x14ac:dyDescent="0.2">
      <c r="C252" s="88" t="s">
        <v>149</v>
      </c>
      <c r="D252" s="50">
        <f>13.78380147429*Deflactores!$T$5</f>
        <v>21.438562297076611</v>
      </c>
      <c r="E252" s="50">
        <f>0*Deflactores!$U$5</f>
        <v>0</v>
      </c>
      <c r="F252" s="50">
        <f>0*Deflactores!$V$5</f>
        <v>0</v>
      </c>
      <c r="G252" s="50">
        <f>0*Deflactores!$W$5</f>
        <v>0</v>
      </c>
      <c r="H252" s="50">
        <f>0*Deflactores!$X$5</f>
        <v>0</v>
      </c>
      <c r="I252" s="50">
        <f>169.88984203201*Deflactores!$Y$5</f>
        <v>189.32833844837964</v>
      </c>
      <c r="J252" s="50">
        <f>343.77604554727*Deflactores!$Z$5</f>
        <v>364.51624806780706</v>
      </c>
      <c r="K252" s="50">
        <f>0*Deflactores!$AA$5</f>
        <v>0</v>
      </c>
    </row>
    <row r="253" spans="3:11" x14ac:dyDescent="0.2">
      <c r="C253" s="87" t="s">
        <v>163</v>
      </c>
      <c r="D253" s="42">
        <f>3362.79547808916*Deflactores!$T$5</f>
        <v>5230.3060577165998</v>
      </c>
      <c r="E253" s="42">
        <f>3689.07330769045*Deflactores!$U$5</f>
        <v>5646.8660016537406</v>
      </c>
      <c r="F253" s="42">
        <f>2215.35846565099*Deflactores!$V$5</f>
        <v>3210.6136128462231</v>
      </c>
      <c r="G253" s="42">
        <f>2472.53556331318*Deflactores!$W$5</f>
        <v>3167.7228990983585</v>
      </c>
      <c r="H253" s="42">
        <f>2535.73110195576*Deflactores!$X$5</f>
        <v>2972.8099665713471</v>
      </c>
      <c r="I253" s="42">
        <f>2769.65734363743*Deflactores!$Y$5</f>
        <v>3086.5566573628739</v>
      </c>
      <c r="J253" s="42">
        <f>2821.97246031024*Deflactores!$Z$5</f>
        <v>2992.2236488159406</v>
      </c>
      <c r="K253" s="42">
        <f>1182.01939810963*Deflactores!$AA$5</f>
        <v>1182.0193981096299</v>
      </c>
    </row>
    <row r="254" spans="3:11" x14ac:dyDescent="0.2">
      <c r="C254" s="88" t="s">
        <v>150</v>
      </c>
      <c r="D254" s="50">
        <f>3541.84660173827*Deflactores!$T$5</f>
        <v>5508.7922703824515</v>
      </c>
      <c r="E254" s="50">
        <f>4019.94497807177*Deflactores!$U$5</f>
        <v>6153.3314011056063</v>
      </c>
      <c r="F254" s="50">
        <f>6321.60810004545*Deflactores!$V$5</f>
        <v>9161.6058239679751</v>
      </c>
      <c r="G254" s="50">
        <f>6797.77927606223*Deflactores!$W$5</f>
        <v>8709.0682922044107</v>
      </c>
      <c r="H254" s="50">
        <f>7707.14003677219*Deflactores!$X$5</f>
        <v>9035.6042473927737</v>
      </c>
      <c r="I254" s="50">
        <f>3302.96941455801*Deflactores!$Y$5</f>
        <v>3680.8893558583686</v>
      </c>
      <c r="J254" s="50">
        <f>2410.10714519478*Deflactores!$Z$5</f>
        <v>2555.5102671835689</v>
      </c>
      <c r="K254" s="50">
        <f>1095.76138538459*Deflactores!$AA$5</f>
        <v>1095.7613853845901</v>
      </c>
    </row>
    <row r="255" spans="3:11" x14ac:dyDescent="0.2">
      <c r="C255" s="87" t="s">
        <v>151</v>
      </c>
      <c r="D255" s="42">
        <f>685.72883814402*Deflactores!$T$5</f>
        <v>1066.5447005220876</v>
      </c>
      <c r="E255" s="42">
        <f>985.788235944099*Deflactores!$U$5</f>
        <v>1508.9464508006583</v>
      </c>
      <c r="F255" s="42">
        <f>1911.31594845107*Deflactores!$V$5</f>
        <v>2769.9792596517177</v>
      </c>
      <c r="G255" s="42">
        <f>2029.19921821926*Deflactores!$W$5</f>
        <v>2599.7364510188249</v>
      </c>
      <c r="H255" s="42">
        <f>2048.35031908934*Deflactores!$X$5</f>
        <v>2401.4203394523129</v>
      </c>
      <c r="I255" s="42">
        <f>1612.91081893585*Deflactores!$Y$5</f>
        <v>1797.457233240603</v>
      </c>
      <c r="J255" s="42">
        <f>1474.55170074259*Deflactores!$Z$5</f>
        <v>1563.512235650478</v>
      </c>
      <c r="K255" s="42">
        <f>418.44444759018*Deflactores!$AA$5</f>
        <v>418.44444759018</v>
      </c>
    </row>
    <row r="256" spans="3:11" x14ac:dyDescent="0.2">
      <c r="C256" s="79" t="s">
        <v>202</v>
      </c>
      <c r="D256" s="44">
        <f>+SUM(D225:D255)</f>
        <v>38739.439577968144</v>
      </c>
      <c r="E256" s="44">
        <f>+SUM(E225:E255)</f>
        <v>43561.954403760792</v>
      </c>
      <c r="F256" s="44">
        <f>+SUM(F225:F255)</f>
        <v>55029.951061899817</v>
      </c>
      <c r="G256" s="44">
        <f>+SUM(G225:G255)</f>
        <v>60297.718436877352</v>
      </c>
      <c r="H256" s="44">
        <f>+SUM(H225:H255)</f>
        <v>59628.695154692075</v>
      </c>
      <c r="I256" s="44">
        <f>41047.5022231425*Deflactores!$Y$5</f>
        <v>45744.085110747648</v>
      </c>
      <c r="J256" s="44">
        <f>SUM(J225:J255)</f>
        <v>41842.176935958771</v>
      </c>
      <c r="K256" s="44">
        <f>SUM(K225:K255)</f>
        <v>23034.407296421385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Junio</v>
      </c>
      <c r="D257" s="121">
        <f>+D256-'C6 Ejec. Nac 19-26'!D130</f>
        <v>0</v>
      </c>
      <c r="E257" s="121">
        <f>+E256-'C6 Ejec. Nac 19-26'!E130</f>
        <v>8.0035533756017685E-11</v>
      </c>
      <c r="F257" s="121">
        <f>+F256-'C6 Ejec. Nac 19-26'!F130</f>
        <v>8.7311491370201111E-11</v>
      </c>
      <c r="G257" s="121">
        <f>+G256-'C6 Ejec. Nac 19-26'!G130</f>
        <v>-1.0186340659856796E-10</v>
      </c>
      <c r="H257" s="121">
        <f>+H256-'C6 Ejec. Nac 19-26'!H130</f>
        <v>0</v>
      </c>
      <c r="I257" s="121">
        <f>+I256-'C6 Ejec. Nac 19-26'!I130</f>
        <v>0</v>
      </c>
      <c r="J257" s="121">
        <f>+J256-'C6 Ejec. Nac 19-26'!J130</f>
        <v>0</v>
      </c>
      <c r="K257" s="121">
        <f>+K256-'C6 Ejec. Nac 19-26'!K130</f>
        <v>8.3673512563109398E-11</v>
      </c>
    </row>
    <row r="258" spans="1:11" x14ac:dyDescent="0.2">
      <c r="C258" s="1" t="s">
        <v>52</v>
      </c>
      <c r="D258" s="8"/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5.75" customHeight="1" x14ac:dyDescent="0.2">
      <c r="D262" s="131" t="s">
        <v>216</v>
      </c>
      <c r="E262" s="131"/>
      <c r="F262" s="131"/>
      <c r="G262" s="131"/>
      <c r="H262" s="131"/>
      <c r="I262" s="131"/>
      <c r="J262" s="131"/>
      <c r="K262" s="131"/>
    </row>
    <row r="263" spans="1:11" ht="11.25" hidden="1" customHeight="1" x14ac:dyDescent="0.2">
      <c r="D263" s="28"/>
      <c r="E263" s="28"/>
      <c r="F263" s="28"/>
    </row>
    <row r="264" spans="1:11" x14ac:dyDescent="0.2">
      <c r="D264" s="29"/>
      <c r="E264" s="29"/>
      <c r="F264" s="29"/>
    </row>
    <row r="265" spans="1:11" ht="13.5" customHeight="1" thickBot="1" x14ac:dyDescent="0.25">
      <c r="C265" s="181" t="s">
        <v>120</v>
      </c>
      <c r="D265" s="155">
        <v>2019</v>
      </c>
      <c r="E265" s="155">
        <v>2020</v>
      </c>
      <c r="F265" s="155">
        <v>2021</v>
      </c>
      <c r="G265" s="155">
        <v>2022</v>
      </c>
      <c r="H265" s="155">
        <v>2023</v>
      </c>
      <c r="I265" s="155">
        <v>2024</v>
      </c>
      <c r="J265" s="155">
        <v>2025</v>
      </c>
      <c r="K265" s="155" t="s">
        <v>36</v>
      </c>
    </row>
    <row r="266" spans="1:11" ht="12" customHeight="1" thickBot="1" x14ac:dyDescent="0.25">
      <c r="C266" s="162"/>
      <c r="D266" s="156"/>
      <c r="E266" s="156"/>
      <c r="F266" s="156"/>
      <c r="G266" s="156"/>
      <c r="H266" s="156"/>
      <c r="I266" s="156"/>
      <c r="J266" s="156"/>
      <c r="K266" s="156"/>
    </row>
    <row r="267" spans="1:11" x14ac:dyDescent="0.2">
      <c r="C267" s="87" t="s">
        <v>123</v>
      </c>
      <c r="D267" s="47">
        <f t="shared" ref="D267:K276" si="11">+IFERROR(IF(D225&gt;0,+((D225/D15)*100)," "),"")</f>
        <v>56.69287763372246</v>
      </c>
      <c r="E267" s="47">
        <f t="shared" si="11"/>
        <v>74.985879727803777</v>
      </c>
      <c r="F267" s="47">
        <f t="shared" si="11"/>
        <v>74.185530228020852</v>
      </c>
      <c r="G267" s="47">
        <f t="shared" si="11"/>
        <v>65.987518118332403</v>
      </c>
      <c r="H267" s="47">
        <f t="shared" si="11"/>
        <v>73.611250524850917</v>
      </c>
      <c r="I267" s="47">
        <f t="shared" si="11"/>
        <v>31.799031706003351</v>
      </c>
      <c r="J267" s="47">
        <f t="shared" si="11"/>
        <v>52.247960642374856</v>
      </c>
      <c r="K267" s="47">
        <f t="shared" si="11"/>
        <v>23.572389877401058</v>
      </c>
    </row>
    <row r="268" spans="1:11" x14ac:dyDescent="0.2">
      <c r="C268" s="88" t="s">
        <v>124</v>
      </c>
      <c r="D268" s="116">
        <f t="shared" si="11"/>
        <v>76.101979546075356</v>
      </c>
      <c r="E268" s="116">
        <f t="shared" si="11"/>
        <v>57.222907817579973</v>
      </c>
      <c r="F268" s="116">
        <f t="shared" si="11"/>
        <v>46.609289975867156</v>
      </c>
      <c r="G268" s="116">
        <f t="shared" si="11"/>
        <v>42.366509500881655</v>
      </c>
      <c r="H268" s="116">
        <f t="shared" si="11"/>
        <v>28.521953728100087</v>
      </c>
      <c r="I268" s="116">
        <f t="shared" si="11"/>
        <v>31.721958902866149</v>
      </c>
      <c r="J268" s="116">
        <f t="shared" si="11"/>
        <v>62.353139972194072</v>
      </c>
      <c r="K268" s="116">
        <f t="shared" si="11"/>
        <v>12.956920987211888</v>
      </c>
    </row>
    <row r="269" spans="1:11" x14ac:dyDescent="0.2">
      <c r="C269" s="87" t="s">
        <v>125</v>
      </c>
      <c r="D269" s="47">
        <f t="shared" si="11"/>
        <v>38.913776933468036</v>
      </c>
      <c r="E269" s="47">
        <f t="shared" si="11"/>
        <v>64.847987038389832</v>
      </c>
      <c r="F269" s="47">
        <f t="shared" si="11"/>
        <v>86.641915716549406</v>
      </c>
      <c r="G269" s="47">
        <f t="shared" si="11"/>
        <v>87.814711001104428</v>
      </c>
      <c r="H269" s="47">
        <f t="shared" si="11"/>
        <v>64.230697522473022</v>
      </c>
      <c r="I269" s="47">
        <f t="shared" si="11"/>
        <v>86.419740850164658</v>
      </c>
      <c r="J269" s="47">
        <f t="shared" si="11"/>
        <v>92.284332065112281</v>
      </c>
      <c r="K269" s="47">
        <f t="shared" si="11"/>
        <v>27.333249954116834</v>
      </c>
    </row>
    <row r="270" spans="1:11" x14ac:dyDescent="0.2">
      <c r="C270" s="88" t="s">
        <v>126</v>
      </c>
      <c r="D270" s="116">
        <f t="shared" si="11"/>
        <v>60.315594633742855</v>
      </c>
      <c r="E270" s="116">
        <f t="shared" si="11"/>
        <v>39.390355498753003</v>
      </c>
      <c r="F270" s="116">
        <f t="shared" si="11"/>
        <v>31.950473056271296</v>
      </c>
      <c r="G270" s="116">
        <f t="shared" si="11"/>
        <v>46.678729356533474</v>
      </c>
      <c r="H270" s="116">
        <f t="shared" si="11"/>
        <v>37.019171797381567</v>
      </c>
      <c r="I270" s="116">
        <f t="shared" si="11"/>
        <v>26.932818771953571</v>
      </c>
      <c r="J270" s="116">
        <f t="shared" si="11"/>
        <v>68.543970314246707</v>
      </c>
      <c r="K270" s="116">
        <f t="shared" si="11"/>
        <v>49.753928349560212</v>
      </c>
    </row>
    <row r="271" spans="1:11" x14ac:dyDescent="0.2">
      <c r="C271" s="87" t="s">
        <v>127</v>
      </c>
      <c r="D271" s="47">
        <f t="shared" si="11"/>
        <v>62.41185677719988</v>
      </c>
      <c r="E271" s="47">
        <f t="shared" si="11"/>
        <v>76.953282922668237</v>
      </c>
      <c r="F271" s="47">
        <f t="shared" si="11"/>
        <v>88.640414545997615</v>
      </c>
      <c r="G271" s="47">
        <f t="shared" si="11"/>
        <v>64.779039574677867</v>
      </c>
      <c r="H271" s="47">
        <f t="shared" si="11"/>
        <v>63.809100539127265</v>
      </c>
      <c r="I271" s="47">
        <f t="shared" si="11"/>
        <v>56.441684268863114</v>
      </c>
      <c r="J271" s="47">
        <f t="shared" si="11"/>
        <v>71.948912043499988</v>
      </c>
      <c r="K271" s="47">
        <f t="shared" si="11"/>
        <v>36.182283033525003</v>
      </c>
    </row>
    <row r="272" spans="1:11" x14ac:dyDescent="0.2">
      <c r="C272" s="88" t="s">
        <v>128</v>
      </c>
      <c r="D272" s="116">
        <f t="shared" si="11"/>
        <v>90.395502013768848</v>
      </c>
      <c r="E272" s="116">
        <f t="shared" si="11"/>
        <v>90.534988791876216</v>
      </c>
      <c r="F272" s="116">
        <f t="shared" si="11"/>
        <v>74.57635055402335</v>
      </c>
      <c r="G272" s="116">
        <f t="shared" si="11"/>
        <v>71.907055436076988</v>
      </c>
      <c r="H272" s="116">
        <f t="shared" si="11"/>
        <v>65.41045121776618</v>
      </c>
      <c r="I272" s="116">
        <f t="shared" si="11"/>
        <v>54.466932117023568</v>
      </c>
      <c r="J272" s="116">
        <f t="shared" si="11"/>
        <v>54.150820935141077</v>
      </c>
      <c r="K272" s="116">
        <f t="shared" si="11"/>
        <v>26.142764025167402</v>
      </c>
    </row>
    <row r="273" spans="3:11" x14ac:dyDescent="0.2">
      <c r="C273" s="87" t="s">
        <v>129</v>
      </c>
      <c r="D273" s="47">
        <f t="shared" si="11"/>
        <v>62.251221497742868</v>
      </c>
      <c r="E273" s="47">
        <f t="shared" si="11"/>
        <v>73.685350417669838</v>
      </c>
      <c r="F273" s="47">
        <f t="shared" si="11"/>
        <v>70.784662450372593</v>
      </c>
      <c r="G273" s="47">
        <f t="shared" si="11"/>
        <v>64.467980543914337</v>
      </c>
      <c r="H273" s="47">
        <f t="shared" si="11"/>
        <v>67.471023255468182</v>
      </c>
      <c r="I273" s="47">
        <f t="shared" si="11"/>
        <v>35.163572729976792</v>
      </c>
      <c r="J273" s="47">
        <f t="shared" si="11"/>
        <v>39.139573440736733</v>
      </c>
      <c r="K273" s="47">
        <f t="shared" si="11"/>
        <v>14.309290578908385</v>
      </c>
    </row>
    <row r="274" spans="3:11" x14ac:dyDescent="0.2">
      <c r="C274" s="88" t="s">
        <v>130</v>
      </c>
      <c r="D274" s="116">
        <f t="shared" si="11"/>
        <v>49.848998816833117</v>
      </c>
      <c r="E274" s="116">
        <f t="shared" si="11"/>
        <v>48.343622959020358</v>
      </c>
      <c r="F274" s="116">
        <f t="shared" si="11"/>
        <v>87.347860989701559</v>
      </c>
      <c r="G274" s="116">
        <f t="shared" si="11"/>
        <v>60.024088483070969</v>
      </c>
      <c r="H274" s="116">
        <f t="shared" si="11"/>
        <v>57.506390153402975</v>
      </c>
      <c r="I274" s="116">
        <f t="shared" si="11"/>
        <v>32.297065731908866</v>
      </c>
      <c r="J274" s="116">
        <f t="shared" si="11"/>
        <v>64.744425410607505</v>
      </c>
      <c r="K274" s="116">
        <f t="shared" si="11"/>
        <v>55.605740271105155</v>
      </c>
    </row>
    <row r="275" spans="3:11" x14ac:dyDescent="0.2">
      <c r="C275" s="87" t="s">
        <v>131</v>
      </c>
      <c r="D275" s="47">
        <f t="shared" si="11"/>
        <v>89.214974959269838</v>
      </c>
      <c r="E275" s="47">
        <f t="shared" si="11"/>
        <v>99.183581277330461</v>
      </c>
      <c r="F275" s="47">
        <f t="shared" si="11"/>
        <v>99.315469814289216</v>
      </c>
      <c r="G275" s="47">
        <f t="shared" si="11"/>
        <v>98.817690944733684</v>
      </c>
      <c r="H275" s="47">
        <f t="shared" si="11"/>
        <v>91.122801700993136</v>
      </c>
      <c r="I275" s="47">
        <f t="shared" si="11"/>
        <v>69.848094729288093</v>
      </c>
      <c r="J275" s="47">
        <f t="shared" si="11"/>
        <v>90.36234515074878</v>
      </c>
      <c r="K275" s="47">
        <f t="shared" si="11"/>
        <v>55.247568035189353</v>
      </c>
    </row>
    <row r="276" spans="3:11" x14ac:dyDescent="0.2">
      <c r="C276" s="88" t="s">
        <v>132</v>
      </c>
      <c r="D276" s="116">
        <f t="shared" si="11"/>
        <v>87.006402144240639</v>
      </c>
      <c r="E276" s="116">
        <f t="shared" si="11"/>
        <v>87.215560036868027</v>
      </c>
      <c r="F276" s="116">
        <f t="shared" si="11"/>
        <v>91.887866749782205</v>
      </c>
      <c r="G276" s="116">
        <f t="shared" si="11"/>
        <v>82.826578520765935</v>
      </c>
      <c r="H276" s="116">
        <f t="shared" si="11"/>
        <v>78.700998203278999</v>
      </c>
      <c r="I276" s="116">
        <f t="shared" si="11"/>
        <v>88.589268906237891</v>
      </c>
      <c r="J276" s="116">
        <f t="shared" si="11"/>
        <v>91.867815776522846</v>
      </c>
      <c r="K276" s="116">
        <f t="shared" si="11"/>
        <v>35.931094568635316</v>
      </c>
    </row>
    <row r="277" spans="3:11" x14ac:dyDescent="0.2">
      <c r="C277" s="87" t="s">
        <v>133</v>
      </c>
      <c r="D277" s="47">
        <f t="shared" ref="D277:K286" si="12">+IFERROR(IF(D235&gt;0,+((D235/D25)*100)," "),"")</f>
        <v>63.327830078501179</v>
      </c>
      <c r="E277" s="47">
        <f t="shared" si="12"/>
        <v>67.179491177873672</v>
      </c>
      <c r="F277" s="47">
        <f t="shared" si="12"/>
        <v>85.763502102745278</v>
      </c>
      <c r="G277" s="47">
        <f t="shared" si="12"/>
        <v>82.118531966447478</v>
      </c>
      <c r="H277" s="47">
        <f t="shared" si="12"/>
        <v>72.17580669206211</v>
      </c>
      <c r="I277" s="47">
        <f t="shared" si="12"/>
        <v>67.601813938667419</v>
      </c>
      <c r="J277" s="47">
        <f t="shared" si="12"/>
        <v>59.544962143906375</v>
      </c>
      <c r="K277" s="47">
        <f t="shared" si="12"/>
        <v>5.3001057213860356</v>
      </c>
    </row>
    <row r="278" spans="3:11" x14ac:dyDescent="0.2">
      <c r="C278" s="88" t="s">
        <v>134</v>
      </c>
      <c r="D278" s="116">
        <f t="shared" si="12"/>
        <v>28.302922624633602</v>
      </c>
      <c r="E278" s="116">
        <f t="shared" si="12"/>
        <v>28.965289418083195</v>
      </c>
      <c r="F278" s="116">
        <f t="shared" si="12"/>
        <v>34.863476678449743</v>
      </c>
      <c r="G278" s="116">
        <f t="shared" si="12"/>
        <v>37.618440903191235</v>
      </c>
      <c r="H278" s="116">
        <f t="shared" si="12"/>
        <v>21.7377468831614</v>
      </c>
      <c r="I278" s="116">
        <f t="shared" si="12"/>
        <v>29.161929692422099</v>
      </c>
      <c r="J278" s="116">
        <f t="shared" si="12"/>
        <v>23.27023962965621</v>
      </c>
      <c r="K278" s="116">
        <f t="shared" si="12"/>
        <v>22.843862462868767</v>
      </c>
    </row>
    <row r="279" spans="3:11" x14ac:dyDescent="0.2">
      <c r="C279" s="87" t="s">
        <v>135</v>
      </c>
      <c r="D279" s="47" t="str">
        <f t="shared" si="12"/>
        <v xml:space="preserve"> </v>
      </c>
      <c r="E279" s="47" t="str">
        <f t="shared" si="12"/>
        <v xml:space="preserve"> </v>
      </c>
      <c r="F279" s="47" t="str">
        <f t="shared" si="12"/>
        <v xml:space="preserve"> </v>
      </c>
      <c r="G279" s="47" t="str">
        <f t="shared" si="12"/>
        <v xml:space="preserve"> </v>
      </c>
      <c r="H279" s="47" t="str">
        <f t="shared" si="12"/>
        <v xml:space="preserve"> </v>
      </c>
      <c r="I279" s="47">
        <f t="shared" si="12"/>
        <v>90.905842465813734</v>
      </c>
      <c r="J279" s="47">
        <f t="shared" si="12"/>
        <v>93.333672087077787</v>
      </c>
      <c r="K279" s="47">
        <f t="shared" si="12"/>
        <v>49.56141804663195</v>
      </c>
    </row>
    <row r="280" spans="3:11" x14ac:dyDescent="0.2">
      <c r="C280" s="88" t="s">
        <v>136</v>
      </c>
      <c r="D280" s="116">
        <f t="shared" si="12"/>
        <v>87.068605113396131</v>
      </c>
      <c r="E280" s="116">
        <f t="shared" si="12"/>
        <v>96.284817996707218</v>
      </c>
      <c r="F280" s="116">
        <f t="shared" si="12"/>
        <v>88.88552871760173</v>
      </c>
      <c r="G280" s="116">
        <f t="shared" si="12"/>
        <v>96.769790675138808</v>
      </c>
      <c r="H280" s="116">
        <f t="shared" si="12"/>
        <v>87.903394424832143</v>
      </c>
      <c r="I280" s="116">
        <f t="shared" si="12"/>
        <v>75.376124026061547</v>
      </c>
      <c r="J280" s="116">
        <f t="shared" si="12"/>
        <v>77.110985832072913</v>
      </c>
      <c r="K280" s="116">
        <f t="shared" si="12"/>
        <v>40.243194404076092</v>
      </c>
    </row>
    <row r="281" spans="3:11" x14ac:dyDescent="0.2">
      <c r="C281" s="87" t="s">
        <v>137</v>
      </c>
      <c r="D281" s="47">
        <f t="shared" si="12"/>
        <v>85.154749256157032</v>
      </c>
      <c r="E281" s="47">
        <f t="shared" si="12"/>
        <v>83.87922311842479</v>
      </c>
      <c r="F281" s="47">
        <f t="shared" si="12"/>
        <v>58.214490884281958</v>
      </c>
      <c r="G281" s="47">
        <f t="shared" si="12"/>
        <v>50.9572576396641</v>
      </c>
      <c r="H281" s="47">
        <f t="shared" si="12"/>
        <v>45.400322288579069</v>
      </c>
      <c r="I281" s="47">
        <f t="shared" si="12"/>
        <v>54.434222755224425</v>
      </c>
      <c r="J281" s="47">
        <f t="shared" si="12"/>
        <v>62.419318843383529</v>
      </c>
      <c r="K281" s="47">
        <f t="shared" si="12"/>
        <v>29.837298948362672</v>
      </c>
    </row>
    <row r="282" spans="3:11" x14ac:dyDescent="0.2">
      <c r="C282" s="88" t="s">
        <v>138</v>
      </c>
      <c r="D282" s="116">
        <f t="shared" si="12"/>
        <v>65.780091142444846</v>
      </c>
      <c r="E282" s="116">
        <f t="shared" si="12"/>
        <v>96.78751852074906</v>
      </c>
      <c r="F282" s="116">
        <f t="shared" si="12"/>
        <v>95.896709671133408</v>
      </c>
      <c r="G282" s="116">
        <f t="shared" si="12"/>
        <v>86.521347843124985</v>
      </c>
      <c r="H282" s="116">
        <f t="shared" si="12"/>
        <v>67.52414958413793</v>
      </c>
      <c r="I282" s="116">
        <f t="shared" si="12"/>
        <v>40.323998133990543</v>
      </c>
      <c r="J282" s="116">
        <f t="shared" si="12"/>
        <v>43.415105868937658</v>
      </c>
      <c r="K282" s="116">
        <f t="shared" si="12"/>
        <v>19.384990138439626</v>
      </c>
    </row>
    <row r="283" spans="3:11" x14ac:dyDescent="0.2">
      <c r="C283" s="87" t="s">
        <v>160</v>
      </c>
      <c r="D283" s="47">
        <f t="shared" si="12"/>
        <v>56.835505153051557</v>
      </c>
      <c r="E283" s="47">
        <f t="shared" si="12"/>
        <v>83.776088006147674</v>
      </c>
      <c r="F283" s="47">
        <f t="shared" si="12"/>
        <v>84.94506324597188</v>
      </c>
      <c r="G283" s="47">
        <f t="shared" si="12"/>
        <v>67.238967150732591</v>
      </c>
      <c r="H283" s="47">
        <f t="shared" si="12"/>
        <v>46.549927422718604</v>
      </c>
      <c r="I283" s="47">
        <f t="shared" si="12"/>
        <v>38.510090335302401</v>
      </c>
      <c r="J283" s="47">
        <f t="shared" si="12"/>
        <v>48.494477660270455</v>
      </c>
      <c r="K283" s="47">
        <f t="shared" si="12"/>
        <v>17.523081566073326</v>
      </c>
    </row>
    <row r="284" spans="3:11" x14ac:dyDescent="0.2">
      <c r="C284" s="88" t="s">
        <v>161</v>
      </c>
      <c r="D284" s="116">
        <f t="shared" si="12"/>
        <v>13.906610065708813</v>
      </c>
      <c r="E284" s="116">
        <f t="shared" si="12"/>
        <v>22.350720180879076</v>
      </c>
      <c r="F284" s="116">
        <f t="shared" si="12"/>
        <v>15.097566072576951</v>
      </c>
      <c r="G284" s="116">
        <f t="shared" si="12"/>
        <v>12.722444788632629</v>
      </c>
      <c r="H284" s="116">
        <f t="shared" si="12"/>
        <v>39.418266798576262</v>
      </c>
      <c r="I284" s="116">
        <f t="shared" si="12"/>
        <v>29.377057211685774</v>
      </c>
      <c r="J284" s="116">
        <f t="shared" si="12"/>
        <v>39.45323838789335</v>
      </c>
      <c r="K284" s="116">
        <f t="shared" si="12"/>
        <v>20.256389951690934</v>
      </c>
    </row>
    <row r="285" spans="3:11" x14ac:dyDescent="0.2">
      <c r="C285" s="87" t="s">
        <v>140</v>
      </c>
      <c r="D285" s="47">
        <f t="shared" si="12"/>
        <v>82.542360530420865</v>
      </c>
      <c r="E285" s="47">
        <f t="shared" si="12"/>
        <v>87.426408273286</v>
      </c>
      <c r="F285" s="47">
        <f t="shared" si="12"/>
        <v>92.436079449290943</v>
      </c>
      <c r="G285" s="47">
        <f t="shared" si="12"/>
        <v>83.812571696720866</v>
      </c>
      <c r="H285" s="47">
        <f t="shared" si="12"/>
        <v>89.261125705001959</v>
      </c>
      <c r="I285" s="47">
        <f t="shared" si="12"/>
        <v>58.289397876446749</v>
      </c>
      <c r="J285" s="47">
        <f t="shared" si="12"/>
        <v>66.707968392251829</v>
      </c>
      <c r="K285" s="47">
        <f t="shared" si="12"/>
        <v>48.607401925200634</v>
      </c>
    </row>
    <row r="286" spans="3:11" x14ac:dyDescent="0.2">
      <c r="C286" s="88" t="s">
        <v>141</v>
      </c>
      <c r="D286" s="116">
        <f t="shared" si="12"/>
        <v>54.90394046317293</v>
      </c>
      <c r="E286" s="116">
        <f t="shared" si="12"/>
        <v>62.13527720944051</v>
      </c>
      <c r="F286" s="116">
        <f t="shared" si="12"/>
        <v>41.482779756104478</v>
      </c>
      <c r="G286" s="116">
        <f t="shared" si="12"/>
        <v>39.365620770265444</v>
      </c>
      <c r="H286" s="116">
        <f t="shared" si="12"/>
        <v>51.103650345418139</v>
      </c>
      <c r="I286" s="116">
        <f t="shared" si="12"/>
        <v>66.91512524811489</v>
      </c>
      <c r="J286" s="116">
        <f t="shared" si="12"/>
        <v>60.255445725605568</v>
      </c>
      <c r="K286" s="116">
        <f t="shared" si="12"/>
        <v>13.104262160346924</v>
      </c>
    </row>
    <row r="287" spans="3:11" x14ac:dyDescent="0.2">
      <c r="C287" s="87" t="s">
        <v>142</v>
      </c>
      <c r="D287" s="47">
        <f t="shared" ref="D287:K296" si="13">+IFERROR(IF(D245&gt;0,+((D245/D35)*100)," "),"")</f>
        <v>50.930220218244493</v>
      </c>
      <c r="E287" s="47">
        <f t="shared" si="13"/>
        <v>60.398709651208982</v>
      </c>
      <c r="F287" s="47">
        <f t="shared" si="13"/>
        <v>65.360918415580599</v>
      </c>
      <c r="G287" s="47">
        <f t="shared" si="13"/>
        <v>21.258421596421236</v>
      </c>
      <c r="H287" s="47">
        <f t="shared" si="13"/>
        <v>25.627968575011717</v>
      </c>
      <c r="I287" s="47">
        <f t="shared" si="13"/>
        <v>38.12850214095743</v>
      </c>
      <c r="J287" s="47">
        <f t="shared" si="13"/>
        <v>40.021137777574076</v>
      </c>
      <c r="K287" s="47">
        <f t="shared" si="13"/>
        <v>8.7047606923983256</v>
      </c>
    </row>
    <row r="288" spans="3:11" x14ac:dyDescent="0.2">
      <c r="C288" s="88" t="s">
        <v>143</v>
      </c>
      <c r="D288" s="116">
        <f t="shared" si="13"/>
        <v>31.906379668820673</v>
      </c>
      <c r="E288" s="116">
        <f t="shared" si="13"/>
        <v>13.991069978264317</v>
      </c>
      <c r="F288" s="116">
        <f t="shared" si="13"/>
        <v>13.993197569815205</v>
      </c>
      <c r="G288" s="116">
        <f t="shared" si="13"/>
        <v>17.415286394755704</v>
      </c>
      <c r="H288" s="116">
        <f t="shared" si="13"/>
        <v>5.9866652831915879</v>
      </c>
      <c r="I288" s="116">
        <f t="shared" si="13"/>
        <v>11.760368077390481</v>
      </c>
      <c r="J288" s="116">
        <f t="shared" si="13"/>
        <v>68.986665237701644</v>
      </c>
      <c r="K288" s="116">
        <f t="shared" si="13"/>
        <v>12.789277124055973</v>
      </c>
    </row>
    <row r="289" spans="1:11" x14ac:dyDescent="0.2">
      <c r="C289" s="87" t="s">
        <v>144</v>
      </c>
      <c r="D289" s="47">
        <f t="shared" si="13"/>
        <v>24.927490100548251</v>
      </c>
      <c r="E289" s="47">
        <f t="shared" si="13"/>
        <v>42.510077648409563</v>
      </c>
      <c r="F289" s="47">
        <f t="shared" si="13"/>
        <v>27.990080037847402</v>
      </c>
      <c r="G289" s="47">
        <f t="shared" si="13"/>
        <v>33.989349671051443</v>
      </c>
      <c r="H289" s="47">
        <f t="shared" si="13"/>
        <v>43.476709810820417</v>
      </c>
      <c r="I289" s="47">
        <f t="shared" si="13"/>
        <v>24.07086541293479</v>
      </c>
      <c r="J289" s="47">
        <f t="shared" si="13"/>
        <v>33.115923985172095</v>
      </c>
      <c r="K289" s="47">
        <f t="shared" si="13"/>
        <v>5.5334222496112435</v>
      </c>
    </row>
    <row r="290" spans="1:11" x14ac:dyDescent="0.2">
      <c r="C290" s="88" t="s">
        <v>145</v>
      </c>
      <c r="D290" s="116">
        <f t="shared" si="13"/>
        <v>77.593573499428175</v>
      </c>
      <c r="E290" s="116">
        <f t="shared" si="13"/>
        <v>66.827689842476218</v>
      </c>
      <c r="F290" s="116">
        <f t="shared" si="13"/>
        <v>73.091321721059472</v>
      </c>
      <c r="G290" s="116">
        <f t="shared" si="13"/>
        <v>69.195736311600726</v>
      </c>
      <c r="H290" s="116">
        <f t="shared" si="13"/>
        <v>49.208243214048068</v>
      </c>
      <c r="I290" s="116">
        <f t="shared" si="13"/>
        <v>52.527247887626316</v>
      </c>
      <c r="J290" s="116">
        <f t="shared" si="13"/>
        <v>84.5154906177398</v>
      </c>
      <c r="K290" s="116">
        <f t="shared" si="13"/>
        <v>33.994638328064205</v>
      </c>
    </row>
    <row r="291" spans="1:11" x14ac:dyDescent="0.2">
      <c r="C291" s="87" t="s">
        <v>146</v>
      </c>
      <c r="D291" s="47">
        <f t="shared" si="13"/>
        <v>83.296354752902431</v>
      </c>
      <c r="E291" s="47">
        <f t="shared" si="13"/>
        <v>87.881182597579567</v>
      </c>
      <c r="F291" s="47">
        <f t="shared" si="13"/>
        <v>75.023032743336998</v>
      </c>
      <c r="G291" s="47">
        <f t="shared" si="13"/>
        <v>64.721299523473292</v>
      </c>
      <c r="H291" s="47">
        <f t="shared" si="13"/>
        <v>75.329438675977443</v>
      </c>
      <c r="I291" s="47">
        <f t="shared" si="13"/>
        <v>77.753661946909233</v>
      </c>
      <c r="J291" s="47">
        <f t="shared" si="13"/>
        <v>80.191549628747666</v>
      </c>
      <c r="K291" s="47">
        <f t="shared" si="13"/>
        <v>24.479148839999997</v>
      </c>
    </row>
    <row r="292" spans="1:11" x14ac:dyDescent="0.2">
      <c r="C292" s="88" t="s">
        <v>162</v>
      </c>
      <c r="D292" s="116">
        <f t="shared" si="13"/>
        <v>93.324512226477623</v>
      </c>
      <c r="E292" s="116">
        <f t="shared" si="13"/>
        <v>92.752002378373319</v>
      </c>
      <c r="F292" s="116">
        <f t="shared" si="13"/>
        <v>91.359087711646794</v>
      </c>
      <c r="G292" s="116">
        <f t="shared" si="13"/>
        <v>91.197299391529086</v>
      </c>
      <c r="H292" s="116">
        <f t="shared" si="13"/>
        <v>65.000696294133746</v>
      </c>
      <c r="I292" s="116">
        <f t="shared" si="13"/>
        <v>42.607854101413608</v>
      </c>
      <c r="J292" s="116">
        <f t="shared" si="13"/>
        <v>39.979790212916335</v>
      </c>
      <c r="K292" s="116">
        <f t="shared" si="13"/>
        <v>9.2116883309811559</v>
      </c>
    </row>
    <row r="293" spans="1:11" x14ac:dyDescent="0.2">
      <c r="C293" s="87" t="s">
        <v>148</v>
      </c>
      <c r="D293" s="47">
        <f t="shared" si="13"/>
        <v>61.503990634634</v>
      </c>
      <c r="E293" s="47">
        <f t="shared" si="13"/>
        <v>77.892443986985612</v>
      </c>
      <c r="F293" s="47">
        <f t="shared" si="13"/>
        <v>83.457287076111314</v>
      </c>
      <c r="G293" s="47">
        <f t="shared" si="13"/>
        <v>85.684745548631653</v>
      </c>
      <c r="H293" s="47">
        <f t="shared" si="13"/>
        <v>82.745670948322044</v>
      </c>
      <c r="I293" s="47">
        <f t="shared" si="13"/>
        <v>76.199741432760277</v>
      </c>
      <c r="J293" s="47">
        <f t="shared" si="13"/>
        <v>78.260160187165113</v>
      </c>
      <c r="K293" s="47">
        <f t="shared" si="13"/>
        <v>39.418090266310671</v>
      </c>
    </row>
    <row r="294" spans="1:11" x14ac:dyDescent="0.2">
      <c r="C294" s="88" t="s">
        <v>149</v>
      </c>
      <c r="D294" s="116">
        <f t="shared" si="13"/>
        <v>93.272441969752322</v>
      </c>
      <c r="E294" s="116" t="str">
        <f t="shared" si="13"/>
        <v xml:space="preserve"> </v>
      </c>
      <c r="F294" s="116" t="str">
        <f t="shared" si="13"/>
        <v xml:space="preserve"> </v>
      </c>
      <c r="G294" s="116" t="str">
        <f t="shared" si="13"/>
        <v xml:space="preserve"> </v>
      </c>
      <c r="H294" s="116" t="str">
        <f t="shared" si="13"/>
        <v xml:space="preserve"> </v>
      </c>
      <c r="I294" s="116">
        <f t="shared" si="13"/>
        <v>21.068993660244516</v>
      </c>
      <c r="J294" s="116">
        <f t="shared" si="13"/>
        <v>68.253558733810962</v>
      </c>
      <c r="K294" s="116" t="str">
        <f t="shared" si="13"/>
        <v xml:space="preserve"> </v>
      </c>
    </row>
    <row r="295" spans="1:11" x14ac:dyDescent="0.2">
      <c r="C295" s="87" t="s">
        <v>163</v>
      </c>
      <c r="D295" s="47">
        <f t="shared" si="13"/>
        <v>93.178431604728033</v>
      </c>
      <c r="E295" s="47">
        <f t="shared" si="13"/>
        <v>86.054060786404079</v>
      </c>
      <c r="F295" s="47">
        <f t="shared" si="13"/>
        <v>87.418899957082459</v>
      </c>
      <c r="G295" s="47">
        <f t="shared" si="13"/>
        <v>92.689758734790345</v>
      </c>
      <c r="H295" s="47">
        <f t="shared" si="13"/>
        <v>86.625995802440499</v>
      </c>
      <c r="I295" s="47">
        <f t="shared" si="13"/>
        <v>79.063428266112467</v>
      </c>
      <c r="J295" s="47">
        <f t="shared" si="13"/>
        <v>76.277756617073294</v>
      </c>
      <c r="K295" s="47">
        <f t="shared" si="13"/>
        <v>30.576037131514504</v>
      </c>
    </row>
    <row r="296" spans="1:11" x14ac:dyDescent="0.2">
      <c r="C296" s="88" t="s">
        <v>150</v>
      </c>
      <c r="D296" s="116">
        <f t="shared" si="13"/>
        <v>78.478986484195772</v>
      </c>
      <c r="E296" s="116">
        <f t="shared" si="13"/>
        <v>82.361918643258477</v>
      </c>
      <c r="F296" s="116">
        <f t="shared" si="13"/>
        <v>82.962088922490594</v>
      </c>
      <c r="G296" s="116">
        <f t="shared" si="13"/>
        <v>78.877450138099874</v>
      </c>
      <c r="H296" s="116">
        <f t="shared" si="13"/>
        <v>87.383356332558051</v>
      </c>
      <c r="I296" s="116">
        <f t="shared" si="13"/>
        <v>34.377882436805194</v>
      </c>
      <c r="J296" s="116">
        <f t="shared" si="13"/>
        <v>28.858089711567796</v>
      </c>
      <c r="K296" s="116">
        <f t="shared" si="13"/>
        <v>10.94461106818879</v>
      </c>
    </row>
    <row r="297" spans="1:11" x14ac:dyDescent="0.2">
      <c r="C297" s="87" t="s">
        <v>151</v>
      </c>
      <c r="D297" s="47">
        <f t="shared" ref="D297:K298" si="14">+IFERROR(IF(D255&gt;0,+((D255/D45)*100)," "),"")</f>
        <v>35.043130369733944</v>
      </c>
      <c r="E297" s="47">
        <f t="shared" si="14"/>
        <v>49.38886877962959</v>
      </c>
      <c r="F297" s="47">
        <f t="shared" si="14"/>
        <v>59.113463610007642</v>
      </c>
      <c r="G297" s="47">
        <f t="shared" si="14"/>
        <v>64.106687541363414</v>
      </c>
      <c r="H297" s="47">
        <f t="shared" si="14"/>
        <v>40.898056392847586</v>
      </c>
      <c r="I297" s="47">
        <f t="shared" si="14"/>
        <v>30.052897510864902</v>
      </c>
      <c r="J297" s="47">
        <f t="shared" si="14"/>
        <v>36.849709534697602</v>
      </c>
      <c r="K297" s="47">
        <f t="shared" si="14"/>
        <v>15.89755646921078</v>
      </c>
    </row>
    <row r="298" spans="1:11" x14ac:dyDescent="0.2">
      <c r="C298" s="91" t="s">
        <v>202</v>
      </c>
      <c r="D298" s="64">
        <f t="shared" si="14"/>
        <v>74.418524862914339</v>
      </c>
      <c r="E298" s="64">
        <f t="shared" si="14"/>
        <v>79.866324059770889</v>
      </c>
      <c r="F298" s="64">
        <f t="shared" si="14"/>
        <v>76.899944506151556</v>
      </c>
      <c r="G298" s="64">
        <f t="shared" si="14"/>
        <v>79.379013118099181</v>
      </c>
      <c r="H298" s="64">
        <f t="shared" si="14"/>
        <v>70.686081040817129</v>
      </c>
      <c r="I298" s="64">
        <f t="shared" si="14"/>
        <v>53.249195593317232</v>
      </c>
      <c r="J298" s="64">
        <f t="shared" si="14"/>
        <v>61.33669603769053</v>
      </c>
      <c r="K298" s="64">
        <f t="shared" si="14"/>
        <v>31.335197803519456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Junio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D2:K4"/>
    <mergeCell ref="K182:K183"/>
    <mergeCell ref="K223:K224"/>
    <mergeCell ref="I56:I57"/>
    <mergeCell ref="K56:K57"/>
    <mergeCell ref="D223:D224"/>
    <mergeCell ref="E223:E224"/>
    <mergeCell ref="G223:G224"/>
    <mergeCell ref="E8:E9"/>
    <mergeCell ref="G8:G9"/>
    <mergeCell ref="E140:E141"/>
    <mergeCell ref="H182:H183"/>
    <mergeCell ref="J182:J183"/>
    <mergeCell ref="J98:J99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D140:D141"/>
    <mergeCell ref="E265:E266"/>
    <mergeCell ref="E13:E14"/>
    <mergeCell ref="G13:G14"/>
    <mergeCell ref="D265:D266"/>
    <mergeCell ref="E56:E57"/>
    <mergeCell ref="J223:J224"/>
    <mergeCell ref="G56:G57"/>
    <mergeCell ref="K265:K266"/>
    <mergeCell ref="I98:I99"/>
    <mergeCell ref="D182:D183"/>
    <mergeCell ref="F182:F183"/>
    <mergeCell ref="G140:G141"/>
    <mergeCell ref="I140:I141"/>
    <mergeCell ref="F223:F224"/>
    <mergeCell ref="H223:H224"/>
    <mergeCell ref="K140:K141"/>
    <mergeCell ref="D6:K6"/>
    <mergeCell ref="F8:F9"/>
    <mergeCell ref="D11:K11"/>
    <mergeCell ref="F140:F141"/>
    <mergeCell ref="K98:K99"/>
    <mergeCell ref="I8:I9"/>
    <mergeCell ref="K8:K9"/>
    <mergeCell ref="D13:D14"/>
    <mergeCell ref="G265:G266"/>
    <mergeCell ref="D53:K53"/>
    <mergeCell ref="H140:H141"/>
    <mergeCell ref="J56:J57"/>
    <mergeCell ref="I265:I266"/>
    <mergeCell ref="G182:G183"/>
    <mergeCell ref="I182:I183"/>
    <mergeCell ref="H265:H266"/>
    <mergeCell ref="E98:E99"/>
    <mergeCell ref="G98:G99"/>
    <mergeCell ref="D56:D57"/>
    <mergeCell ref="H98:H99"/>
    <mergeCell ref="F56:F57"/>
    <mergeCell ref="E182:E183"/>
    <mergeCell ref="F265:F266"/>
    <mergeCell ref="D138:K138"/>
    <mergeCell ref="A9:C9"/>
    <mergeCell ref="K13:K14"/>
    <mergeCell ref="D221:K221"/>
    <mergeCell ref="C13:C14"/>
    <mergeCell ref="C223:C224"/>
    <mergeCell ref="J13:J14"/>
    <mergeCell ref="I13:I14"/>
    <mergeCell ref="H56:H57"/>
    <mergeCell ref="I223:I224"/>
    <mergeCell ref="C56:C57"/>
    <mergeCell ref="C140:C141"/>
    <mergeCell ref="C182:C183"/>
  </mergeCells>
  <pageMargins left="0.7" right="0.7" top="0.75" bottom="0.75" header="0.3" footer="0.3"/>
  <pageSetup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/>
  <dimension ref="A1:V277"/>
  <sheetViews>
    <sheetView showGridLines="0" zoomScaleNormal="100" workbookViewId="0">
      <pane xSplit="3" ySplit="7" topLeftCell="D8" activePane="bottomRight" state="frozen"/>
      <selection activeCell="N40" sqref="N40"/>
      <selection pane="topRight" activeCell="N40" sqref="N40"/>
      <selection pane="bottomLeft" activeCell="N40" sqref="N40"/>
      <selection pane="bottomRight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22" width="10.7109375" style="3" customWidth="1"/>
    <col min="23" max="33" width="10.7109375" style="9" customWidth="1"/>
    <col min="34" max="34" width="11.42578125" style="9" customWidth="1"/>
    <col min="35" max="16384" width="11.42578125" style="9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ht="16.5" customHeight="1" x14ac:dyDescent="0.2"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6.5" customHeight="1" x14ac:dyDescent="0.2">
      <c r="D4" s="165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ht="19.5" customHeight="1" x14ac:dyDescent="0.2">
      <c r="A5" s="169" t="s">
        <v>217</v>
      </c>
      <c r="B5" s="160"/>
      <c r="C5" s="160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102" customFormat="1" ht="19.5" customHeight="1" x14ac:dyDescent="0.25">
      <c r="A6" s="180"/>
      <c r="B6" s="180"/>
      <c r="C6" s="180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102" customFormat="1" ht="16.5" customHeight="1" x14ac:dyDescent="0.25">
      <c r="A7" s="166" t="s">
        <v>227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</row>
    <row r="8" spans="1:22" s="102" customFormat="1" ht="16.5" customHeight="1" x14ac:dyDescent="0.25">
      <c r="A8" s="99"/>
      <c r="B8" s="98"/>
      <c r="C8" s="98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ht="18" customHeight="1" x14ac:dyDescent="0.2">
      <c r="C9" s="9"/>
      <c r="D9" s="164" t="s">
        <v>218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22" ht="15.75" customHeight="1" x14ac:dyDescent="0.2"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</row>
    <row r="11" spans="1:22" ht="9.9499999999999993" customHeight="1" x14ac:dyDescent="0.2">
      <c r="C11" s="181" t="s">
        <v>120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 t="s">
        <v>121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122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</row>
    <row r="12" spans="1:22" ht="9.9499999999999993" customHeight="1" thickBot="1" x14ac:dyDescent="0.25"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22" x14ac:dyDescent="0.2">
      <c r="C13" s="87" t="s">
        <v>123</v>
      </c>
      <c r="D13" s="56">
        <f>33.331471*Deflactores!$A$5</f>
        <v>124.39023569049898</v>
      </c>
      <c r="E13" s="56">
        <f>34.613984*Deflactores!$B$5</f>
        <v>119.99860761006904</v>
      </c>
      <c r="F13" s="56">
        <f>27.844483848*Deflactores!$C$5</f>
        <v>90.222141649260124</v>
      </c>
      <c r="G13" s="56">
        <f>23.411860299*Deflactores!$D$5</f>
        <v>71.235340306323081</v>
      </c>
      <c r="H13" s="56">
        <f>47.861377*Deflactores!$E$5</f>
        <v>138.03992975026773</v>
      </c>
      <c r="I13" s="56">
        <f>40.4865*Deflactores!$F$5</f>
        <v>111.36274945608095</v>
      </c>
      <c r="J13" s="56">
        <f>54.201210496*Deflactores!$G$5</f>
        <v>142.69674302835125</v>
      </c>
      <c r="K13" s="56">
        <f>57.4483*Deflactores!$H$5</f>
        <v>143.09683465655453</v>
      </c>
      <c r="L13" s="56">
        <f>57.189145*Deflactores!$I$5</f>
        <v>132.29825144400201</v>
      </c>
      <c r="M13" s="56">
        <f>63.021*Deflactores!$J$5</f>
        <v>142.92819886708139</v>
      </c>
      <c r="N13" s="56">
        <f>78.46622*Deflactores!$K$5</f>
        <v>172.48716607627873</v>
      </c>
      <c r="O13" s="56">
        <f>52.70064*Deflactores!$L$5</f>
        <v>111.68618214792507</v>
      </c>
      <c r="P13" s="56">
        <f>42.634344*Deflactores!$M$5</f>
        <v>88.2010126304545</v>
      </c>
      <c r="Q13" s="56">
        <f>58.195504556*Deflactores!$N$5</f>
        <v>118.10241950203239</v>
      </c>
      <c r="R13" s="56">
        <f>86.179999999*Deflactores!$O$5</f>
        <v>168.71925234766135</v>
      </c>
      <c r="S13" s="56">
        <f>66.1917*Deflactores!$P$5</f>
        <v>121.37030546234675</v>
      </c>
      <c r="T13" s="56">
        <f>35.208*Deflactores!$Q$5</f>
        <v>61.047781939710369</v>
      </c>
      <c r="U13" s="56">
        <f>43.457466664*Deflactores!$R$5</f>
        <v>72.390892472759205</v>
      </c>
      <c r="V13" s="56">
        <f>58.9141*Deflactores!$S$5</f>
        <v>95.113737845584254</v>
      </c>
    </row>
    <row r="14" spans="1:22" x14ac:dyDescent="0.2">
      <c r="C14" s="88" t="s">
        <v>124</v>
      </c>
      <c r="D14" s="57">
        <f>5.7083*Deflactores!$A$5</f>
        <v>21.302893664431295</v>
      </c>
      <c r="E14" s="57">
        <f>3.08*Deflactores!$B$5</f>
        <v>10.677641482673957</v>
      </c>
      <c r="F14" s="57">
        <f>8.724*Deflactores!$C$5</f>
        <v>28.267644250287681</v>
      </c>
      <c r="G14" s="57">
        <f>10.92674909*Deflactores!$D$5</f>
        <v>33.246853514720613</v>
      </c>
      <c r="H14" s="57">
        <f>14.9951*Deflactores!$E$5</f>
        <v>43.248286621553746</v>
      </c>
      <c r="I14" s="57">
        <f>11.939*Deflactores!$F$5</f>
        <v>32.839585189042033</v>
      </c>
      <c r="J14" s="57">
        <f>14.61965052*Deflactores!$G$5</f>
        <v>38.48948195669356</v>
      </c>
      <c r="K14" s="57">
        <f>24.214802963*Deflactores!$H$5</f>
        <v>60.316173948358049</v>
      </c>
      <c r="L14" s="57">
        <f>22.269*Deflactores!$I$5</f>
        <v>51.515891021040453</v>
      </c>
      <c r="M14" s="57">
        <f>25.026*Deflactores!$J$5</f>
        <v>56.757606271680537</v>
      </c>
      <c r="N14" s="57">
        <f>29.688*Deflactores!$K$5</f>
        <v>65.261191203967286</v>
      </c>
      <c r="O14" s="57">
        <f>43.024*Deflactores!$L$5</f>
        <v>91.178898410575812</v>
      </c>
      <c r="P14" s="57">
        <f>37.332*Deflactores!$M$5</f>
        <v>77.231637562433889</v>
      </c>
      <c r="Q14" s="57">
        <f>46.52*Deflactores!$N$5</f>
        <v>94.408057755521227</v>
      </c>
      <c r="R14" s="57">
        <f>41.743689985*Deflactores!$O$5</f>
        <v>81.723882160402454</v>
      </c>
      <c r="S14" s="57">
        <f>43.541125728*Deflactores!$P$5</f>
        <v>79.837800355358823</v>
      </c>
      <c r="T14" s="57">
        <f>59.258585483*Deflactores!$Q$5</f>
        <v>102.74952296699246</v>
      </c>
      <c r="U14" s="57">
        <f>71.188861712*Deflactores!$R$5</f>
        <v>118.58549586648121</v>
      </c>
      <c r="V14" s="57">
        <f>83.555011021*Deflactores!$S$5</f>
        <v>134.89520189455999</v>
      </c>
    </row>
    <row r="15" spans="1:22" x14ac:dyDescent="0.2">
      <c r="C15" s="87" t="s">
        <v>125</v>
      </c>
      <c r="D15" s="56">
        <f>5.0034*Deflactores!$A$5</f>
        <v>18.67226637713777</v>
      </c>
      <c r="E15" s="56">
        <f>5.9847*Deflactores!$B$5</f>
        <v>20.747558760181438</v>
      </c>
      <c r="F15" s="56">
        <f>20.892379358*Deflactores!$C$5</f>
        <v>67.695821553644848</v>
      </c>
      <c r="G15" s="56">
        <f>26.16672092*Deflactores!$D$5</f>
        <v>79.617563304715304</v>
      </c>
      <c r="H15" s="56">
        <f>26.507757*Deflactores!$E$5</f>
        <v>76.452646026401794</v>
      </c>
      <c r="I15" s="56">
        <f>40.045592*Deflactores!$F$5</f>
        <v>110.14998156710112</v>
      </c>
      <c r="J15" s="56">
        <f>45.478942157*Deflactores!$G$5</f>
        <v>119.73343146381598</v>
      </c>
      <c r="K15" s="56">
        <f>54.51484678*Deflactores!$H$5</f>
        <v>135.78995402831873</v>
      </c>
      <c r="L15" s="56">
        <f>61.134410275*Deflactores!$I$5</f>
        <v>141.42501312867554</v>
      </c>
      <c r="M15" s="56">
        <f>46.93399793*Deflactores!$J$5</f>
        <v>106.44375350702505</v>
      </c>
      <c r="N15" s="56">
        <f>0*Deflactores!$K$5</f>
        <v>0</v>
      </c>
      <c r="O15" s="56">
        <f>0*Deflactores!$L$5</f>
        <v>0</v>
      </c>
      <c r="P15" s="56">
        <f>0*Deflactores!$M$5</f>
        <v>0</v>
      </c>
      <c r="Q15" s="56">
        <f>0*Deflactores!$N$5</f>
        <v>0</v>
      </c>
      <c r="R15" s="56">
        <f>0*Deflactores!$O$5</f>
        <v>0</v>
      </c>
      <c r="S15" s="56">
        <f>0*Deflactores!$P$5</f>
        <v>0</v>
      </c>
      <c r="T15" s="56">
        <f>0*Deflactores!$Q$5</f>
        <v>0</v>
      </c>
      <c r="U15" s="56">
        <f>0*Deflactores!$R$5</f>
        <v>0</v>
      </c>
      <c r="V15" s="56">
        <f>0*Deflactores!$S$5</f>
        <v>0</v>
      </c>
    </row>
    <row r="16" spans="1:22" x14ac:dyDescent="0.2">
      <c r="C16" s="88" t="s">
        <v>126</v>
      </c>
      <c r="D16" s="57">
        <f>0.767576*Deflactores!$A$5</f>
        <v>2.8645288277367191</v>
      </c>
      <c r="E16" s="57">
        <f>2*Deflactores!$B$5</f>
        <v>6.9335334303077643</v>
      </c>
      <c r="F16" s="57">
        <f>5.826169*Deflactores!$C$5</f>
        <v>18.878045923206592</v>
      </c>
      <c r="G16" s="57">
        <f>0.127919356*Deflactores!$D$5</f>
        <v>0.38922062322467016</v>
      </c>
      <c r="H16" s="57">
        <f>4.842*Deflactores!$E$5</f>
        <v>13.965108856997499</v>
      </c>
      <c r="I16" s="57">
        <f>4.883*Deflactores!$F$5</f>
        <v>13.431250060984359</v>
      </c>
      <c r="J16" s="57">
        <f>5.02949*Deflactores!$G$5</f>
        <v>13.241251173654641</v>
      </c>
      <c r="K16" s="57">
        <f>4.955805825*Deflactores!$H$5</f>
        <v>12.344318747987577</v>
      </c>
      <c r="L16" s="57">
        <f>11.24195483*Deflactores!$I$5</f>
        <v>26.006525658347449</v>
      </c>
      <c r="M16" s="57">
        <f>14.315155568*Deflactores!$J$5</f>
        <v>32.465993904195606</v>
      </c>
      <c r="N16" s="57">
        <f>16.39882231*Deflactores!$K$5</f>
        <v>36.048459926326949</v>
      </c>
      <c r="O16" s="57">
        <f>22.1429376*Deflactores!$L$5</f>
        <v>46.926567914236692</v>
      </c>
      <c r="P16" s="57">
        <f>19.140053*Deflactores!$M$5</f>
        <v>39.596529417705334</v>
      </c>
      <c r="Q16" s="57">
        <f>45.33360717*Deflactores!$N$5</f>
        <v>92.000382716497654</v>
      </c>
      <c r="R16" s="57">
        <f>53.237720336*Deflactores!$O$5</f>
        <v>104.22636774063626</v>
      </c>
      <c r="S16" s="57">
        <f>82.831512655*Deflactores!$P$5</f>
        <v>151.88136870401561</v>
      </c>
      <c r="T16" s="57">
        <f>81.175450023*Deflactores!$Q$5</f>
        <v>140.75156702629974</v>
      </c>
      <c r="U16" s="57">
        <f>115.356283703*Deflactores!$R$5</f>
        <v>192.15902284793566</v>
      </c>
      <c r="V16" s="57">
        <f>119.044773569*Deflactores!$S$5</f>
        <v>192.19157018657339</v>
      </c>
    </row>
    <row r="17" spans="3:22" x14ac:dyDescent="0.2">
      <c r="C17" s="87" t="s">
        <v>127</v>
      </c>
      <c r="D17" s="56">
        <f>0*Deflactores!$A$5</f>
        <v>0</v>
      </c>
      <c r="E17" s="56">
        <f>0*Deflactores!$B$5</f>
        <v>0</v>
      </c>
      <c r="F17" s="56">
        <f>0*Deflactores!$C$5</f>
        <v>0</v>
      </c>
      <c r="G17" s="56">
        <f>0*Deflactores!$D$5</f>
        <v>0</v>
      </c>
      <c r="H17" s="56">
        <f>0*Deflactores!$E$5</f>
        <v>0</v>
      </c>
      <c r="I17" s="56">
        <f>0*Deflactores!$F$5</f>
        <v>0</v>
      </c>
      <c r="J17" s="56">
        <f>0*Deflactores!$G$5</f>
        <v>0</v>
      </c>
      <c r="K17" s="56">
        <f>0*Deflactores!$H$5</f>
        <v>0</v>
      </c>
      <c r="L17" s="56">
        <f>0*Deflactores!$I$5</f>
        <v>0</v>
      </c>
      <c r="M17" s="56">
        <f>0*Deflactores!$J$5</f>
        <v>0</v>
      </c>
      <c r="N17" s="56">
        <f>0*Deflactores!$K$5</f>
        <v>0</v>
      </c>
      <c r="O17" s="56">
        <f>0*Deflactores!$L$5</f>
        <v>0</v>
      </c>
      <c r="P17" s="56">
        <f>0*Deflactores!$M$5</f>
        <v>0</v>
      </c>
      <c r="Q17" s="56">
        <f>0*Deflactores!$N$5</f>
        <v>0</v>
      </c>
      <c r="R17" s="56">
        <f>0*Deflactores!$O$5</f>
        <v>0</v>
      </c>
      <c r="S17" s="56">
        <f>0*Deflactores!$P$5</f>
        <v>0</v>
      </c>
      <c r="T17" s="56">
        <f>0*Deflactores!$Q$5</f>
        <v>0</v>
      </c>
      <c r="U17" s="56">
        <f>0*Deflactores!$R$5</f>
        <v>0</v>
      </c>
      <c r="V17" s="56">
        <f>0*Deflactores!$S$5</f>
        <v>0</v>
      </c>
    </row>
    <row r="18" spans="3:22" x14ac:dyDescent="0.2">
      <c r="C18" s="88" t="s">
        <v>128</v>
      </c>
      <c r="D18" s="57">
        <f>0.123*Deflactores!$A$5</f>
        <v>0.45902561545907694</v>
      </c>
      <c r="E18" s="57">
        <f>0.163*Deflactores!$B$5</f>
        <v>0.56508297457008283</v>
      </c>
      <c r="F18" s="57">
        <f>0.252*Deflactores!$C$5</f>
        <v>0.81653442813760835</v>
      </c>
      <c r="G18" s="57">
        <f>0.397355894*Deflactores!$D$5</f>
        <v>1.2090360172285104</v>
      </c>
      <c r="H18" s="57">
        <f>0.61157*Deflactores!$E$5</f>
        <v>1.7638665063349774</v>
      </c>
      <c r="I18" s="57">
        <f>0.46408*Deflactores!$F$5</f>
        <v>1.2765051255993489</v>
      </c>
      <c r="J18" s="57">
        <f>6.565123628*Deflactores!$G$5</f>
        <v>17.284148282319443</v>
      </c>
      <c r="K18" s="57">
        <f>5.448536332*Deflactores!$H$5</f>
        <v>13.571651426072382</v>
      </c>
      <c r="L18" s="57">
        <f>3.027950532*Deflactores!$I$5</f>
        <v>7.0046957485119892</v>
      </c>
      <c r="M18" s="57">
        <f>11.521*Deflactores!$J$5</f>
        <v>26.129001113083653</v>
      </c>
      <c r="N18" s="57">
        <f>6.1620778*Deflactores!$K$5</f>
        <v>13.545693125825993</v>
      </c>
      <c r="O18" s="57">
        <f>8.083267943*Deflactores!$L$5</f>
        <v>17.130519398481336</v>
      </c>
      <c r="P18" s="57">
        <f>8.389*Deflactores!$M$5</f>
        <v>17.354982521998764</v>
      </c>
      <c r="Q18" s="57">
        <f>7.84800016*Deflactores!$N$5</f>
        <v>15.926793903065773</v>
      </c>
      <c r="R18" s="57">
        <f>8.169890072*Deflactores!$O$5</f>
        <v>15.994636165309998</v>
      </c>
      <c r="S18" s="57">
        <f>14.6958917*Deflactores!$P$5</f>
        <v>26.946654409398253</v>
      </c>
      <c r="T18" s="57">
        <f>16.201587145*Deflactores!$Q$5</f>
        <v>28.092222196806826</v>
      </c>
      <c r="U18" s="57">
        <f>8.721629691*Deflactores!$R$5</f>
        <v>14.528379254822665</v>
      </c>
      <c r="V18" s="57">
        <f>10.740904898*Deflactores!$S$5</f>
        <v>17.340630047691874</v>
      </c>
    </row>
    <row r="19" spans="3:22" x14ac:dyDescent="0.2">
      <c r="C19" s="87" t="s">
        <v>129</v>
      </c>
      <c r="D19" s="56">
        <f>7.474*Deflactores!$A$5</f>
        <v>27.892336991391392</v>
      </c>
      <c r="E19" s="56">
        <f>9.59817*Deflactores!$B$5</f>
        <v>33.274616282388536</v>
      </c>
      <c r="F19" s="56">
        <f>9.63517*Deflactores!$C$5</f>
        <v>31.220031849042222</v>
      </c>
      <c r="G19" s="56">
        <f>9.408160079*Deflactores!$D$5</f>
        <v>28.626237997522765</v>
      </c>
      <c r="H19" s="56">
        <f>16.9332*Deflactores!$E$5</f>
        <v>48.838079574000425</v>
      </c>
      <c r="I19" s="56">
        <f>16.245*Deflactores!$F$5</f>
        <v>44.683730747632794</v>
      </c>
      <c r="J19" s="56">
        <f>21.781292*Deflactores!$G$5</f>
        <v>57.344096172517382</v>
      </c>
      <c r="K19" s="56">
        <f>14.87*Deflactores!$H$5</f>
        <v>37.039389004425992</v>
      </c>
      <c r="L19" s="56">
        <f>23.243*Deflactores!$I$5</f>
        <v>53.769089541606867</v>
      </c>
      <c r="M19" s="56">
        <f>23.293*Deflactores!$J$5</f>
        <v>52.827256568618822</v>
      </c>
      <c r="N19" s="56">
        <f>37.544*Deflactores!$K$5</f>
        <v>82.530522856431816</v>
      </c>
      <c r="O19" s="56">
        <f>66.455458382*Deflactores!$L$5</f>
        <v>140.8361725697431</v>
      </c>
      <c r="P19" s="56">
        <f>47.0974*Deflactores!$M$5</f>
        <v>97.434086760231807</v>
      </c>
      <c r="Q19" s="56">
        <f>44.506*Deflactores!$N$5</f>
        <v>90.320830147618821</v>
      </c>
      <c r="R19" s="56">
        <f>51.22936919*Deflactores!$O$5</f>
        <v>100.29450995682771</v>
      </c>
      <c r="S19" s="56">
        <f>95.82534965*Deflactores!$P$5</f>
        <v>175.70710463784255</v>
      </c>
      <c r="T19" s="56">
        <f>68.690954*Deflactores!$Q$5</f>
        <v>119.10447571639048</v>
      </c>
      <c r="U19" s="56">
        <f>75.680605627*Deflactores!$R$5</f>
        <v>126.0677854642616</v>
      </c>
      <c r="V19" s="56">
        <f>62.258012497*Deflactores!$S$5</f>
        <v>100.51230994663021</v>
      </c>
    </row>
    <row r="20" spans="3:22" x14ac:dyDescent="0.2">
      <c r="C20" s="88" t="s">
        <v>130</v>
      </c>
      <c r="D20" s="57">
        <f>7.9412*Deflactores!$A$5</f>
        <v>29.635887947021317</v>
      </c>
      <c r="E20" s="57">
        <f>12.685856*Deflactores!$B$5</f>
        <v>43.978903334035166</v>
      </c>
      <c r="F20" s="57">
        <f>14.0452*Deflactores!$C$5</f>
        <v>45.509481547929909</v>
      </c>
      <c r="G20" s="57">
        <f>12.3905955265*Deflactores!$D$5</f>
        <v>37.700903629855205</v>
      </c>
      <c r="H20" s="57">
        <f>13.308254642*Deflactores!$E$5</f>
        <v>38.383152575830707</v>
      </c>
      <c r="I20" s="57">
        <f>11.707*Deflactores!$F$5</f>
        <v>32.201442650817917</v>
      </c>
      <c r="J20" s="57">
        <f>19.90821*Deflactores!$G$5</f>
        <v>52.412791163291523</v>
      </c>
      <c r="K20" s="57">
        <f>15.099354449*Deflactores!$H$5</f>
        <v>37.610683466860877</v>
      </c>
      <c r="L20" s="57">
        <f>15.19399925*Deflactores!$I$5</f>
        <v>35.148969847625416</v>
      </c>
      <c r="M20" s="57">
        <f>14.892*Deflactores!$J$5</f>
        <v>33.774245688398722</v>
      </c>
      <c r="N20" s="57">
        <f>0*Deflactores!$K$5</f>
        <v>0</v>
      </c>
      <c r="O20" s="57">
        <f>3.380814*Deflactores!$L$5</f>
        <v>7.1648125755636967</v>
      </c>
      <c r="P20" s="57">
        <f>0*Deflactores!$M$5</f>
        <v>0</v>
      </c>
      <c r="Q20" s="57">
        <f>0*Deflactores!$N$5</f>
        <v>0</v>
      </c>
      <c r="R20" s="57">
        <f>0*Deflactores!$O$5</f>
        <v>0</v>
      </c>
      <c r="S20" s="57">
        <f>0*Deflactores!$P$5</f>
        <v>0</v>
      </c>
      <c r="T20" s="57">
        <f>0*Deflactores!$Q$5</f>
        <v>0</v>
      </c>
      <c r="U20" s="57">
        <f>0*Deflactores!$R$5</f>
        <v>0</v>
      </c>
      <c r="V20" s="57">
        <f>0*Deflactores!$S$5</f>
        <v>0</v>
      </c>
    </row>
    <row r="21" spans="3:22" x14ac:dyDescent="0.2">
      <c r="C21" s="87" t="s">
        <v>131</v>
      </c>
      <c r="D21" s="56">
        <f>91.216217126*Deflactores!$A$5</f>
        <v>340.41122118789389</v>
      </c>
      <c r="E21" s="56">
        <f>102.836083923*Deflactores!$B$5</f>
        <v>356.50871286102767</v>
      </c>
      <c r="F21" s="56">
        <f>143.796637523*Deflactores!$C$5</f>
        <v>465.93216344426088</v>
      </c>
      <c r="G21" s="56">
        <f>138.035095872*Deflactores!$D$5</f>
        <v>419.99981646387374</v>
      </c>
      <c r="H21" s="56">
        <f>147.143470962*Deflactores!$E$5</f>
        <v>424.385499706894</v>
      </c>
      <c r="I21" s="56">
        <f>151.406784946*Deflactores!$F$5</f>
        <v>416.46168124911082</v>
      </c>
      <c r="J21" s="56">
        <f>172.207613293*Deflactores!$G$5</f>
        <v>453.37484747523126</v>
      </c>
      <c r="K21" s="56">
        <f>17.825910604*Deflactores!$H$5</f>
        <v>44.402208286461217</v>
      </c>
      <c r="L21" s="56">
        <f>18.174535269*Deflactores!$I$5</f>
        <v>42.043979445680549</v>
      </c>
      <c r="M21" s="56">
        <f>30.434424904*Deflactores!$J$5</f>
        <v>69.023619667795913</v>
      </c>
      <c r="N21" s="56">
        <f>4.414*Deflactores!$K$5</f>
        <v>9.7030078811072347</v>
      </c>
      <c r="O21" s="56">
        <f>4.589138186*Deflactores!$L$5</f>
        <v>9.7255616505529048</v>
      </c>
      <c r="P21" s="56">
        <f>5.997993114*Deflactores!$M$5</f>
        <v>12.408518972528183</v>
      </c>
      <c r="Q21" s="56">
        <f>16.172081914*Deflactores!$N$5</f>
        <v>32.81975157704067</v>
      </c>
      <c r="R21" s="56">
        <f>6.871371819*Deflactores!$O$5</f>
        <v>13.452456671129291</v>
      </c>
      <c r="S21" s="56">
        <f>10.288599167*Deflactores!$P$5</f>
        <v>18.865362631242835</v>
      </c>
      <c r="T21" s="56">
        <f>12.434971369*Deflactores!$Q$5</f>
        <v>21.561219625120817</v>
      </c>
      <c r="U21" s="56">
        <f>14.656377492*Deflactores!$R$5</f>
        <v>24.414406280669343</v>
      </c>
      <c r="V21" s="56">
        <f>10.273978355*Deflactores!$S$5</f>
        <v>16.586801527795163</v>
      </c>
    </row>
    <row r="22" spans="3:22" x14ac:dyDescent="0.2">
      <c r="C22" s="88" t="s">
        <v>132</v>
      </c>
      <c r="D22" s="57">
        <f>11.4*Deflactores!$A$5</f>
        <v>42.543837530353478</v>
      </c>
      <c r="E22" s="57">
        <f>21.291231*Deflactores!$B$5</f>
        <v>73.811730955452504</v>
      </c>
      <c r="F22" s="57">
        <f>19.406*Deflactores!$C$5</f>
        <v>62.879631398565181</v>
      </c>
      <c r="G22" s="57">
        <f>5.04883192584*Deflactores!$D$5</f>
        <v>15.362096637916597</v>
      </c>
      <c r="H22" s="57">
        <f>10.66781*Deflactores!$E$5</f>
        <v>30.767684410525916</v>
      </c>
      <c r="I22" s="57">
        <f>8.401981856*Deflactores!$F$5</f>
        <v>23.110612188365653</v>
      </c>
      <c r="J22" s="57">
        <f>17.931*Deflactores!$G$5</f>
        <v>47.207346032063171</v>
      </c>
      <c r="K22" s="57">
        <f>42.3754775*Deflactores!$H$5</f>
        <v>105.55223909689315</v>
      </c>
      <c r="L22" s="57">
        <f>40.680937*Deflactores!$I$5</f>
        <v>94.109062693691342</v>
      </c>
      <c r="M22" s="57">
        <f>65.498774*Deflactores!$J$5</f>
        <v>148.54765547709525</v>
      </c>
      <c r="N22" s="57">
        <f>83.586368999*Deflactores!$K$5</f>
        <v>183.7424551768089</v>
      </c>
      <c r="O22" s="57">
        <f>90.8669*Deflactores!$L$5</f>
        <v>192.5702827255474</v>
      </c>
      <c r="P22" s="57">
        <f>102.32939*Deflactores!$M$5</f>
        <v>211.69683811381512</v>
      </c>
      <c r="Q22" s="57">
        <f>113.803772*Deflactores!$N$5</f>
        <v>230.95427944480156</v>
      </c>
      <c r="R22" s="57">
        <f>127.1610685*Deflactores!$O$5</f>
        <v>248.95010913551519</v>
      </c>
      <c r="S22" s="57">
        <f>153.522832*Deflactores!$P$5</f>
        <v>281.50225806686552</v>
      </c>
      <c r="T22" s="57">
        <f>197.688789446*Deflactores!$Q$5</f>
        <v>342.77613354989558</v>
      </c>
      <c r="U22" s="57">
        <f>264.916585428*Deflactores!$R$5</f>
        <v>441.29466170322087</v>
      </c>
      <c r="V22" s="57">
        <f>350.238551568*Deflactores!$S$5</f>
        <v>565.44185139475769</v>
      </c>
    </row>
    <row r="23" spans="3:22" x14ac:dyDescent="0.2">
      <c r="C23" s="87" t="s">
        <v>133</v>
      </c>
      <c r="D23" s="56">
        <f>0*Deflactores!$A$5</f>
        <v>0</v>
      </c>
      <c r="E23" s="56">
        <f>0*Deflactores!$B$5</f>
        <v>0</v>
      </c>
      <c r="F23" s="56">
        <f>0*Deflactores!$C$5</f>
        <v>0</v>
      </c>
      <c r="G23" s="56">
        <f>0*Deflactores!$D$5</f>
        <v>0</v>
      </c>
      <c r="H23" s="56">
        <f>1.0222*Deflactores!$E$5</f>
        <v>2.9481896475883613</v>
      </c>
      <c r="I23" s="56">
        <f>2.60854*Deflactores!$F$5</f>
        <v>7.1750876580135454</v>
      </c>
      <c r="J23" s="56">
        <f>5.9*Deflactores!$G$5</f>
        <v>15.533062382977675</v>
      </c>
      <c r="K23" s="56">
        <f>1.1*Deflactores!$H$5</f>
        <v>2.7399682518405242</v>
      </c>
      <c r="L23" s="56">
        <f>5*Deflactores!$I$5</f>
        <v>11.566727518308063</v>
      </c>
      <c r="M23" s="56">
        <f>4.502234*Deflactores!$J$5</f>
        <v>10.210821733995576</v>
      </c>
      <c r="N23" s="56">
        <f>3.4892*Deflactores!$K$5</f>
        <v>7.6700804482916549</v>
      </c>
      <c r="O23" s="56">
        <f>5.387*Deflactores!$L$5</f>
        <v>11.416435611234936</v>
      </c>
      <c r="P23" s="56">
        <f>4.5*Deflactores!$M$5</f>
        <v>9.309503081296274</v>
      </c>
      <c r="Q23" s="56">
        <f>5.5*Deflactores!$N$5</f>
        <v>11.161743715721554</v>
      </c>
      <c r="R23" s="56">
        <f>4*Deflactores!$O$5</f>
        <v>7.8310165861972196</v>
      </c>
      <c r="S23" s="56">
        <f>5*Deflactores!$P$5</f>
        <v>9.1680909738189804</v>
      </c>
      <c r="T23" s="56">
        <f>8.896924682*Deflactores!$Q$5</f>
        <v>15.42653709159177</v>
      </c>
      <c r="U23" s="56">
        <f>7.8*Deflactores!$R$5</f>
        <v>12.993140296308962</v>
      </c>
      <c r="V23" s="56">
        <f>25.63*Deflactores!$S$5</f>
        <v>41.378296553496092</v>
      </c>
    </row>
    <row r="24" spans="3:22" x14ac:dyDescent="0.2">
      <c r="C24" s="88" t="s">
        <v>134</v>
      </c>
      <c r="D24" s="57">
        <f>8.38355015*Deflactores!$A$5</f>
        <v>31.286701360453552</v>
      </c>
      <c r="E24" s="57">
        <f>13.220052616*Deflactores!$B$5</f>
        <v>45.830838381731809</v>
      </c>
      <c r="F24" s="57">
        <f>21.941779323*Deflactores!$C$5</f>
        <v>71.096104094553183</v>
      </c>
      <c r="G24" s="57">
        <f>15.21971209854*Deflactores!$D$5</f>
        <v>46.309065441931956</v>
      </c>
      <c r="H24" s="57">
        <f>22.220180073*Deflactores!$E$5</f>
        <v>64.086582722332025</v>
      </c>
      <c r="I24" s="57">
        <f>28.621019*Deflactores!$F$5</f>
        <v>78.725386686296233</v>
      </c>
      <c r="J24" s="57">
        <f>12.406098991*Deflactores!$G$5</f>
        <v>32.661815179084641</v>
      </c>
      <c r="K24" s="57">
        <f>15.624225567*Deflactores!$H$5</f>
        <v>38.918074557431829</v>
      </c>
      <c r="L24" s="57">
        <f>14.2065*Deflactores!$I$5</f>
        <v>32.8645428977687</v>
      </c>
      <c r="M24" s="57">
        <f>12.280845*Deflactores!$J$5</f>
        <v>27.852288227984356</v>
      </c>
      <c r="N24" s="57">
        <f>13.157981822*Deflactores!$K$5</f>
        <v>28.924331970623413</v>
      </c>
      <c r="O24" s="57">
        <f>12.521*Deflactores!$L$5</f>
        <v>26.535212602241071</v>
      </c>
      <c r="P24" s="57">
        <f>17.185015*Deflactores!$M$5</f>
        <v>35.551988909916147</v>
      </c>
      <c r="Q24" s="57">
        <f>18.938359*Deflactores!$N$5</f>
        <v>38.43365628260522</v>
      </c>
      <c r="R24" s="57">
        <f>22.6385625*Deflactores!$O$5</f>
        <v>44.320739606290594</v>
      </c>
      <c r="S24" s="57">
        <f>29.53707284*Deflactores!$P$5</f>
        <v>54.159714179487551</v>
      </c>
      <c r="T24" s="57">
        <f>19.774412426*Deflactores!$Q$5</f>
        <v>34.28720795751952</v>
      </c>
      <c r="U24" s="57">
        <f>26.504951691*Deflactores!$R$5</f>
        <v>44.151609726673648</v>
      </c>
      <c r="V24" s="57">
        <f>32.079040924*Deflactores!$S$5</f>
        <v>51.789936344323422</v>
      </c>
    </row>
    <row r="25" spans="3:22" x14ac:dyDescent="0.2">
      <c r="C25" s="87" t="s">
        <v>135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</row>
    <row r="26" spans="3:22" x14ac:dyDescent="0.2">
      <c r="C26" s="88" t="s">
        <v>136</v>
      </c>
      <c r="D26" s="57">
        <f>988.594003*Deflactores!$A$5</f>
        <v>3689.3493550099802</v>
      </c>
      <c r="E26" s="57">
        <f>1024.548958*Deflactores!$B$5</f>
        <v>3551.8722256399928</v>
      </c>
      <c r="F26" s="57">
        <f>993.124687057*Deflactores!$C$5</f>
        <v>3217.9384857755108</v>
      </c>
      <c r="G26" s="57">
        <f>1024.616947386*Deflactores!$D$5</f>
        <v>3117.6051795330955</v>
      </c>
      <c r="H26" s="57">
        <f>1062.63267616*Deflactores!$E$5</f>
        <v>3064.8040061084207</v>
      </c>
      <c r="I26" s="57">
        <f>1166.38396927993*Deflactores!$F$5</f>
        <v>3208.2725288802453</v>
      </c>
      <c r="J26" s="57">
        <f>1517.321493426*Deflactores!$G$5</f>
        <v>3994.6863410879505</v>
      </c>
      <c r="K26" s="57">
        <f>2129.364813466*Deflactores!$H$5</f>
        <v>5303.9927140755999</v>
      </c>
      <c r="L26" s="57">
        <f>2632.925978623*Deflactores!$I$5</f>
        <v>6090.867474121369</v>
      </c>
      <c r="M26" s="57">
        <f>3406.847781799*Deflactores!$J$5</f>
        <v>7726.5453938662131</v>
      </c>
      <c r="N26" s="57">
        <f>2829.717202915*Deflactores!$K$5</f>
        <v>6220.3824923400471</v>
      </c>
      <c r="O26" s="57">
        <f>3117.587245224*Deflactores!$L$5</f>
        <v>6606.9675232053278</v>
      </c>
      <c r="P26" s="57">
        <f>2940.600159318*Deflactores!$M$5</f>
        <v>6083.4502764513845</v>
      </c>
      <c r="Q26" s="57">
        <f>3392.522776858*Deflactores!$N$5</f>
        <v>6884.8126881885482</v>
      </c>
      <c r="R26" s="57">
        <f>1193.84*Deflactores!$O$5</f>
        <v>2337.2452103164219</v>
      </c>
      <c r="S26" s="57">
        <f>1294.527102667*Deflactores!$P$5</f>
        <v>2373.6684490650719</v>
      </c>
      <c r="T26" s="57">
        <f>2290.350040749*Deflactores!$Q$5</f>
        <v>3971.2789665204418</v>
      </c>
      <c r="U26" s="57">
        <f>2482.024403433*Deflactores!$R$5</f>
        <v>4134.5245247009643</v>
      </c>
      <c r="V26" s="57">
        <f>2346.272648031*Deflactores!$S$5</f>
        <v>3787.9346635030543</v>
      </c>
    </row>
    <row r="27" spans="3:22" x14ac:dyDescent="0.2">
      <c r="C27" s="87" t="s">
        <v>137</v>
      </c>
      <c r="D27" s="56">
        <f>12.5216*Deflactores!$A$5</f>
        <v>46.729554036848597</v>
      </c>
      <c r="E27" s="56">
        <f>17.126446*Deflactores!$B$5</f>
        <v>59.373392941680351</v>
      </c>
      <c r="F27" s="56">
        <f>20.181628*Deflactores!$C$5</f>
        <v>65.392833642325172</v>
      </c>
      <c r="G27" s="56">
        <f>23.73953577378*Deflactores!$D$5</f>
        <v>72.232359494797663</v>
      </c>
      <c r="H27" s="56">
        <f>28.879663798*Deflactores!$E$5</f>
        <v>83.293607743197001</v>
      </c>
      <c r="I27" s="56">
        <f>77.180038748*Deflactores!$F$5</f>
        <v>212.29252511588169</v>
      </c>
      <c r="J27" s="56">
        <f>50.427613018*Deflactores!$G$5</f>
        <v>132.76190827682223</v>
      </c>
      <c r="K27" s="56">
        <f>30.96912093*Deflactores!$H$5</f>
        <v>77.140371032372613</v>
      </c>
      <c r="L27" s="56">
        <f>54.24768273232*Deflactores!$I$5</f>
        <v>125.49363293287419</v>
      </c>
      <c r="M27" s="56">
        <f>55.84288298*Deflactores!$J$5</f>
        <v>126.64862004532766</v>
      </c>
      <c r="N27" s="56">
        <f>63.828*Deflactores!$K$5</f>
        <v>140.30892320691271</v>
      </c>
      <c r="O27" s="56">
        <f>53.826*Deflactores!$L$5</f>
        <v>114.07110881944156</v>
      </c>
      <c r="P27" s="56">
        <f>49.842873529*Deflactores!$M$5</f>
        <v>103.1138632664191</v>
      </c>
      <c r="Q27" s="56">
        <f>55.268*Deflactores!$N$5</f>
        <v>112.16131848736343</v>
      </c>
      <c r="R27" s="56">
        <f>58.133461075*Deflactores!$O$5</f>
        <v>113.81102447284387</v>
      </c>
      <c r="S27" s="56">
        <f>44.073*Deflactores!$P$5</f>
        <v>80.813054697824782</v>
      </c>
      <c r="T27" s="56">
        <f>38.23511959177*Deflactores!$Q$5</f>
        <v>66.29655882972969</v>
      </c>
      <c r="U27" s="56">
        <f>66.45947275*Deflactores!$R$5</f>
        <v>110.70734018711185</v>
      </c>
      <c r="V27" s="56">
        <f>51.951*Deflactores!$S$5</f>
        <v>83.872176521680672</v>
      </c>
    </row>
    <row r="28" spans="3:22" x14ac:dyDescent="0.2">
      <c r="C28" s="88" t="s">
        <v>138</v>
      </c>
      <c r="D28" s="57">
        <f>4.11*Deflactores!$A$5</f>
        <v>15.338173004364279</v>
      </c>
      <c r="E28" s="57">
        <f>4.225*Deflactores!$B$5</f>
        <v>14.647089371525151</v>
      </c>
      <c r="F28" s="57">
        <f>6.1477*Deflactores!$C$5</f>
        <v>19.919875808974503</v>
      </c>
      <c r="G28" s="57">
        <f>17.8601930205999*Deflactores!$D$5</f>
        <v>54.34326497383865</v>
      </c>
      <c r="H28" s="57">
        <f>27*Deflactores!$E$5</f>
        <v>77.872354221175655</v>
      </c>
      <c r="I28" s="57">
        <f>22.905*Deflactores!$F$5</f>
        <v>63.002822577687233</v>
      </c>
      <c r="J28" s="57">
        <f>45.01422*Deflactores!$G$5</f>
        <v>118.5099470137426</v>
      </c>
      <c r="K28" s="57">
        <f>44.1*Deflactores!$H$5</f>
        <v>109.84781809651555</v>
      </c>
      <c r="L28" s="57">
        <f>57.726176236*Deflactores!$I$5</f>
        <v>133.54059023912845</v>
      </c>
      <c r="M28" s="57">
        <f>65.90292803*Deflactores!$J$5</f>
        <v>149.46425482608643</v>
      </c>
      <c r="N28" s="57">
        <f>62.142977326*Deflactores!$K$5</f>
        <v>136.60484792697014</v>
      </c>
      <c r="O28" s="57">
        <f>50.842*Deflactores!$L$5</f>
        <v>107.7472469549669</v>
      </c>
      <c r="P28" s="57">
        <f>10*Deflactores!$M$5</f>
        <v>20.687784625102829</v>
      </c>
      <c r="Q28" s="57">
        <f>5*Deflactores!$N$5</f>
        <v>10.147039741565049</v>
      </c>
      <c r="R28" s="57">
        <f>0*Deflactores!$O$5</f>
        <v>0</v>
      </c>
      <c r="S28" s="57">
        <f>0*Deflactores!$P$5</f>
        <v>0</v>
      </c>
      <c r="T28" s="57">
        <f>0*Deflactores!$Q$5</f>
        <v>0</v>
      </c>
      <c r="U28" s="57">
        <f>0*Deflactores!$R$5</f>
        <v>0</v>
      </c>
      <c r="V28" s="57">
        <f>0*Deflactores!$S$5</f>
        <v>0</v>
      </c>
    </row>
    <row r="29" spans="3:22" x14ac:dyDescent="0.2">
      <c r="C29" s="87" t="s">
        <v>139</v>
      </c>
      <c r="D29" s="56">
        <f>97.230458*Deflactores!$A$5</f>
        <v>362.85586036437343</v>
      </c>
      <c r="E29" s="56">
        <f>55.835044269*Deflactores!$B$5</f>
        <v>193.56707301091274</v>
      </c>
      <c r="F29" s="56">
        <f>79.633278*Deflactores!$C$5</f>
        <v>258.02902028751265</v>
      </c>
      <c r="G29" s="56">
        <f>68.1467361221499*Deflactores!$D$5</f>
        <v>207.35028641162268</v>
      </c>
      <c r="H29" s="56">
        <f>161.931129821*Deflactores!$E$5</f>
        <v>467.03549262429971</v>
      </c>
      <c r="I29" s="56">
        <f>104.73659*Deflactores!$F$5</f>
        <v>288.08997149801229</v>
      </c>
      <c r="J29" s="56">
        <f>115.30867*Deflactores!$G$5</f>
        <v>303.57572278104857</v>
      </c>
      <c r="K29" s="56">
        <f>212.5*Deflactores!$H$5</f>
        <v>529.31204865101029</v>
      </c>
      <c r="L29" s="56">
        <f>290.7856852*Deflactores!$I$5</f>
        <v>672.68775738658121</v>
      </c>
      <c r="M29" s="56">
        <f>355.700560146*Deflactores!$J$5</f>
        <v>806.70951583884312</v>
      </c>
      <c r="N29" s="56">
        <f>318.582487162*Deflactores!$K$5</f>
        <v>700.31907197907356</v>
      </c>
      <c r="O29" s="56">
        <f>249.573873425*Deflactores!$L$5</f>
        <v>528.91109266809178</v>
      </c>
      <c r="P29" s="56">
        <f>266.965383098*Deflactores!$M$5</f>
        <v>552.29223478894914</v>
      </c>
      <c r="Q29" s="56">
        <f>376.371994363*Deflactores!$N$5</f>
        <v>763.81231688269156</v>
      </c>
      <c r="R29" s="56">
        <f>379.635709703*Deflactores!$O$5</f>
        <v>743.23338484923636</v>
      </c>
      <c r="S29" s="56">
        <f>458.915141732*Deflactores!$P$5</f>
        <v>841.4751537324014</v>
      </c>
      <c r="T29" s="56">
        <f>545.75880368*Deflactores!$Q$5</f>
        <v>946.30096678975929</v>
      </c>
      <c r="U29" s="56">
        <f>586.76978419*Deflactores!$R$5</f>
        <v>977.43360610456443</v>
      </c>
      <c r="V29" s="56">
        <f>38.031706034*Deflactores!$S$5</f>
        <v>61.40020330512052</v>
      </c>
    </row>
    <row r="30" spans="3:22" x14ac:dyDescent="0.2">
      <c r="C30" s="88" t="s">
        <v>140</v>
      </c>
      <c r="D30" s="57">
        <f>19.214099*Deflactores!$A$5</f>
        <v>71.705395276151506</v>
      </c>
      <c r="E30" s="57">
        <f>40.170842355*Deflactores!$B$5</f>
        <v>139.26293919600778</v>
      </c>
      <c r="F30" s="57">
        <f>16.07973095*Deflactores!$C$5</f>
        <v>52.101801253431944</v>
      </c>
      <c r="G30" s="57">
        <f>7.61225894106999*Deflactores!$D$5</f>
        <v>23.161844007335596</v>
      </c>
      <c r="H30" s="57">
        <f>35.752420038*Deflactores!$E$5</f>
        <v>103.11574509123682</v>
      </c>
      <c r="I30" s="57">
        <f>237.425797222*Deflactores!$F$5</f>
        <v>653.0668141341896</v>
      </c>
      <c r="J30" s="57">
        <f>231.7134*Deflactores!$G$5</f>
        <v>610.03706731726425</v>
      </c>
      <c r="K30" s="57">
        <f>137.81*Deflactores!$H$5</f>
        <v>343.26820435103872</v>
      </c>
      <c r="L30" s="57">
        <f>248.933277614*Deflactores!$I$5</f>
        <v>575.8686784800949</v>
      </c>
      <c r="M30" s="57">
        <f>339.220730743*Deflactores!$J$5</f>
        <v>769.33415946227728</v>
      </c>
      <c r="N30" s="57">
        <f>332.850024345*Deflactores!$K$5</f>
        <v>731.68246702452882</v>
      </c>
      <c r="O30" s="57">
        <f>533.1659*Deflactores!$L$5</f>
        <v>1129.9153828580147</v>
      </c>
      <c r="P30" s="57">
        <f>539.5974*Deflactores!$M$5</f>
        <v>1116.3074795465461</v>
      </c>
      <c r="Q30" s="57">
        <f>475.00096*Deflactores!$N$5</f>
        <v>963.97072368031013</v>
      </c>
      <c r="R30" s="57">
        <f>288.902116034*Deflactores!$O$5</f>
        <v>565.59931561243195</v>
      </c>
      <c r="S30" s="57">
        <f>190.337998364*Deflactores!$P$5</f>
        <v>349.00721695515199</v>
      </c>
      <c r="T30" s="57">
        <f>245.778159809*Deflactores!$Q$5</f>
        <v>426.15915432751416</v>
      </c>
      <c r="U30" s="57">
        <f>183.930402349*Deflactores!$R$5</f>
        <v>306.38891313809131</v>
      </c>
      <c r="V30" s="57">
        <f>235.528096031*Deflactores!$S$5</f>
        <v>380.24781132465955</v>
      </c>
    </row>
    <row r="31" spans="3:22" x14ac:dyDescent="0.2">
      <c r="C31" s="87" t="s">
        <v>141</v>
      </c>
      <c r="D31" s="56">
        <f>0*Deflactores!$A$5</f>
        <v>0</v>
      </c>
      <c r="E31" s="56">
        <f>0*Deflactores!$B$5</f>
        <v>0</v>
      </c>
      <c r="F31" s="56">
        <f>0*Deflactores!$C$5</f>
        <v>0</v>
      </c>
      <c r="G31" s="56">
        <f>0*Deflactores!$D$5</f>
        <v>0</v>
      </c>
      <c r="H31" s="56">
        <f>0*Deflactores!$E$5</f>
        <v>0</v>
      </c>
      <c r="I31" s="56">
        <f>0*Deflactores!$F$5</f>
        <v>0</v>
      </c>
      <c r="J31" s="56">
        <f>0*Deflactores!$G$5</f>
        <v>0</v>
      </c>
      <c r="K31" s="56">
        <f>1.44575*Deflactores!$H$5</f>
        <v>3.6011900909985797</v>
      </c>
      <c r="L31" s="56">
        <f>3.259*Deflactores!$I$5</f>
        <v>7.5391929964331963</v>
      </c>
      <c r="M31" s="56">
        <f>1.75*Deflactores!$J$5</f>
        <v>3.9689047780484668</v>
      </c>
      <c r="N31" s="56">
        <f>4.724*Deflactores!$K$5</f>
        <v>10.384460632159172</v>
      </c>
      <c r="O31" s="56">
        <f>5.463*Deflactores!$L$5</f>
        <v>11.577499117166598</v>
      </c>
      <c r="P31" s="56">
        <f>5.008997988*Deflactores!$M$5</f>
        <v>10.362507156331741</v>
      </c>
      <c r="Q31" s="56">
        <f>6.2*Deflactores!$N$5</f>
        <v>12.582329279540662</v>
      </c>
      <c r="R31" s="56">
        <f>3.442*Deflactores!$O$5</f>
        <v>6.7385897724227082</v>
      </c>
      <c r="S31" s="56">
        <f>0*Deflactores!$P$5</f>
        <v>0</v>
      </c>
      <c r="T31" s="56">
        <f>3.1807*Deflactores!$Q$5</f>
        <v>5.5150727111916824</v>
      </c>
      <c r="U31" s="56">
        <f>0*Deflactores!$R$5</f>
        <v>0</v>
      </c>
      <c r="V31" s="56">
        <f>0*Deflactores!$S$5</f>
        <v>0</v>
      </c>
    </row>
    <row r="32" spans="3:22" x14ac:dyDescent="0.2">
      <c r="C32" s="88" t="s">
        <v>142</v>
      </c>
      <c r="D32" s="57">
        <f>2.25181*Deflactores!$A$5</f>
        <v>8.4035648060723904</v>
      </c>
      <c r="E32" s="57">
        <f>4.04*Deflactores!$B$5</f>
        <v>14.005737529221683</v>
      </c>
      <c r="F32" s="57">
        <f>4.866476*Deflactores!$C$5</f>
        <v>15.768433324227759</v>
      </c>
      <c r="G32" s="57">
        <f>5.415345017*Deflactores!$D$5</f>
        <v>16.477287162807102</v>
      </c>
      <c r="H32" s="57">
        <f>7.23*Deflactores!$E$5</f>
        <v>20.852485963670372</v>
      </c>
      <c r="I32" s="57">
        <f>7.05*Deflactores!$F$5</f>
        <v>19.391831441724296</v>
      </c>
      <c r="J32" s="57">
        <f>7.2615*Deflactores!$G$5</f>
        <v>19.117513982032609</v>
      </c>
      <c r="K32" s="57">
        <f>9.556*Deflactores!$H$5</f>
        <v>23.802851467807312</v>
      </c>
      <c r="L32" s="57">
        <f>13.85145986*Deflactores!$I$5</f>
        <v>32.043212386280317</v>
      </c>
      <c r="M32" s="57">
        <f>15.952*Deflactores!$J$5</f>
        <v>36.178268011102368</v>
      </c>
      <c r="N32" s="57">
        <f>25.4373*Deflactores!$K$5</f>
        <v>55.917155046236765</v>
      </c>
      <c r="O32" s="57">
        <f>29.177*Deflactores!$L$5</f>
        <v>61.833551481158672</v>
      </c>
      <c r="P32" s="57">
        <f>30.05231*Deflactores!$M$5</f>
        <v>62.171571676682397</v>
      </c>
      <c r="Q32" s="57">
        <f>41.4124*Deflactores!$N$5</f>
        <v>84.042653718717688</v>
      </c>
      <c r="R32" s="57">
        <f>18.74*Deflactores!$O$5</f>
        <v>36.688312706333974</v>
      </c>
      <c r="S32" s="57">
        <f>19.439*Deflactores!$P$5</f>
        <v>35.643704088013429</v>
      </c>
      <c r="T32" s="57">
        <f>17.67908812*Deflactores!$Q$5</f>
        <v>30.654087606302095</v>
      </c>
      <c r="U32" s="57">
        <f>17.279816551*Deflactores!$R$5</f>
        <v>28.784497530977518</v>
      </c>
      <c r="V32" s="57">
        <f>18.038236*Deflactores!$S$5</f>
        <v>29.121790031601609</v>
      </c>
    </row>
    <row r="33" spans="3:22" x14ac:dyDescent="0.2">
      <c r="C33" s="87" t="s">
        <v>143</v>
      </c>
      <c r="D33" s="56">
        <f>0.0585*Deflactores!$A$5</f>
        <v>0.21831706101102441</v>
      </c>
      <c r="E33" s="56">
        <f>0*Deflactores!$B$5</f>
        <v>0</v>
      </c>
      <c r="F33" s="56">
        <f>0*Deflactores!$C$5</f>
        <v>0</v>
      </c>
      <c r="G33" s="56">
        <f>0*Deflactores!$D$5</f>
        <v>0</v>
      </c>
      <c r="H33" s="56">
        <f>66.591601911*Deflactores!$E$5</f>
        <v>192.06091896921885</v>
      </c>
      <c r="I33" s="56">
        <f>8.86793114152*Deflactores!$F$5</f>
        <v>24.392258997613268</v>
      </c>
      <c r="J33" s="56">
        <f>0*Deflactores!$G$5</f>
        <v>0</v>
      </c>
      <c r="K33" s="56">
        <f>0*Deflactores!$H$5</f>
        <v>0</v>
      </c>
      <c r="L33" s="56">
        <f>0*Deflactores!$I$5</f>
        <v>0</v>
      </c>
      <c r="M33" s="56">
        <f>0*Deflactores!$J$5</f>
        <v>0</v>
      </c>
      <c r="N33" s="56">
        <f>0*Deflactores!$K$5</f>
        <v>0</v>
      </c>
      <c r="O33" s="56">
        <f>0*Deflactores!$L$5</f>
        <v>0</v>
      </c>
      <c r="P33" s="56">
        <f>48.02174751*Deflactores!$M$5</f>
        <v>99.346356980794809</v>
      </c>
      <c r="Q33" s="56">
        <f>6.856473429*Deflactores!$N$5</f>
        <v>13.914581674209558</v>
      </c>
      <c r="R33" s="56">
        <f>12.826001183*Deflactores!$O$5</f>
        <v>25.110156999664543</v>
      </c>
      <c r="S33" s="56">
        <f>3.309*Deflactores!$P$5</f>
        <v>6.0674426064734011</v>
      </c>
      <c r="T33" s="56">
        <f>11.880739274*Deflactores!$Q$5</f>
        <v>20.600226666715091</v>
      </c>
      <c r="U33" s="56">
        <f>20.546765788*Deflactores!$R$5</f>
        <v>34.226539810113479</v>
      </c>
      <c r="V33" s="56">
        <f>152.863819794*Deflactores!$S$5</f>
        <v>246.79065422303233</v>
      </c>
    </row>
    <row r="34" spans="3:22" x14ac:dyDescent="0.2">
      <c r="C34" s="88" t="s">
        <v>144</v>
      </c>
      <c r="D34" s="57">
        <f>0*Deflactores!$A$5</f>
        <v>0</v>
      </c>
      <c r="E34" s="57">
        <f>0*Deflactores!$B$5</f>
        <v>0</v>
      </c>
      <c r="F34" s="57">
        <f>0*Deflactores!$C$5</f>
        <v>0</v>
      </c>
      <c r="G34" s="57">
        <f>0*Deflactores!$D$5</f>
        <v>0</v>
      </c>
      <c r="H34" s="57">
        <f>0*Deflactores!$E$5</f>
        <v>0</v>
      </c>
      <c r="I34" s="57">
        <f>0*Deflactores!$F$5</f>
        <v>0</v>
      </c>
      <c r="J34" s="57">
        <f>0*Deflactores!$G$5</f>
        <v>0</v>
      </c>
      <c r="K34" s="57">
        <f>0*Deflactores!$H$5</f>
        <v>0</v>
      </c>
      <c r="L34" s="57">
        <f>0*Deflactores!$I$5</f>
        <v>0</v>
      </c>
      <c r="M34" s="57">
        <f>0*Deflactores!$J$5</f>
        <v>0</v>
      </c>
      <c r="N34" s="57">
        <f>0*Deflactores!$K$5</f>
        <v>0</v>
      </c>
      <c r="O34" s="57">
        <f>0*Deflactores!$L$5</f>
        <v>0</v>
      </c>
      <c r="P34" s="57">
        <f>0*Deflactores!$M$5</f>
        <v>0</v>
      </c>
      <c r="Q34" s="57">
        <f>0*Deflactores!$N$5</f>
        <v>0</v>
      </c>
      <c r="R34" s="57">
        <f>0*Deflactores!$O$5</f>
        <v>0</v>
      </c>
      <c r="S34" s="57">
        <f>0*Deflactores!$P$5</f>
        <v>0</v>
      </c>
      <c r="T34" s="57">
        <f>0*Deflactores!$Q$5</f>
        <v>0</v>
      </c>
      <c r="U34" s="57">
        <f>0*Deflactores!$R$5</f>
        <v>0</v>
      </c>
      <c r="V34" s="57">
        <f>0*Deflactores!$S$5</f>
        <v>0</v>
      </c>
    </row>
    <row r="35" spans="3:22" x14ac:dyDescent="0.2">
      <c r="C35" s="87" t="s">
        <v>145</v>
      </c>
      <c r="D35" s="56">
        <f>5.03*Deflactores!$A$5</f>
        <v>18.771535331375262</v>
      </c>
      <c r="E35" s="56">
        <f>5*Deflactores!$B$5</f>
        <v>17.333833575769411</v>
      </c>
      <c r="F35" s="56">
        <f>4*Deflactores!$C$5</f>
        <v>12.960863938692196</v>
      </c>
      <c r="G35" s="56">
        <f>9.870944804*Deflactores!$D$5</f>
        <v>30.034354522776049</v>
      </c>
      <c r="H35" s="56">
        <f>13.053568989*Deflactores!$E$5</f>
        <v>37.648598080072659</v>
      </c>
      <c r="I35" s="56">
        <f>1.5396*Deflactores!$F$5</f>
        <v>4.2348459131459188</v>
      </c>
      <c r="J35" s="56">
        <f>22.066488055*Deflactores!$G$5</f>
        <v>58.09493822568588</v>
      </c>
      <c r="K35" s="56">
        <f>19.4*Deflactores!$H$5</f>
        <v>48.323076441551052</v>
      </c>
      <c r="L35" s="56">
        <f>11.026*Deflactores!$I$5</f>
        <v>25.506947523372943</v>
      </c>
      <c r="M35" s="56">
        <f>15.871*Deflactores!$J$5</f>
        <v>35.994564418518415</v>
      </c>
      <c r="N35" s="56">
        <f>22.845*Deflactores!$K$5</f>
        <v>50.21867128316601</v>
      </c>
      <c r="O35" s="56">
        <f>25.472150113*Deflactores!$L$5</f>
        <v>53.982023694964774</v>
      </c>
      <c r="P35" s="56">
        <f>31.308241876*Deflactores!$M$5</f>
        <v>64.769816492131341</v>
      </c>
      <c r="Q35" s="56">
        <f>27.399250201*Deflactores!$N$5</f>
        <v>55.604256135726231</v>
      </c>
      <c r="R35" s="56">
        <f>27.046943088*Deflactores!$O$5</f>
        <v>52.951264982015061</v>
      </c>
      <c r="S35" s="56">
        <f>39.292229095*Deflactores!$P$5</f>
        <v>72.046946181419401</v>
      </c>
      <c r="T35" s="56">
        <f>49.447810288*Deflactores!$Q$5</f>
        <v>85.738444099579382</v>
      </c>
      <c r="U35" s="56">
        <f>46.155453971*Deflactores!$R$5</f>
        <v>76.885165241670975</v>
      </c>
      <c r="V35" s="56">
        <f>50.652121353*Deflactores!$S$5</f>
        <v>81.775204775969797</v>
      </c>
    </row>
    <row r="36" spans="3:22" x14ac:dyDescent="0.2">
      <c r="C36" s="88" t="s">
        <v>146</v>
      </c>
      <c r="D36" s="57">
        <f>5*Deflactores!$A$5</f>
        <v>18.659577864190119</v>
      </c>
      <c r="E36" s="57">
        <f>7.56*Deflactores!$B$5</f>
        <v>26.208756366563346</v>
      </c>
      <c r="F36" s="57">
        <f>7.306698*Deflactores!$C$5</f>
        <v>23.675279654778596</v>
      </c>
      <c r="G36" s="57">
        <f>2.735757955*Deflactores!$D$5</f>
        <v>8.3240992570111825</v>
      </c>
      <c r="H36" s="57">
        <f>1.38248944*Deflactores!$E$5</f>
        <v>3.9873224955079545</v>
      </c>
      <c r="I36" s="57">
        <f>4.105*Deflactores!$F$5</f>
        <v>11.291272066422446</v>
      </c>
      <c r="J36" s="57">
        <f>4.78005*Deflactores!$G$5</f>
        <v>12.5845448887716</v>
      </c>
      <c r="K36" s="57">
        <f>4.483202125*Deflactores!$H$5</f>
        <v>11.167119535530883</v>
      </c>
      <c r="L36" s="57">
        <f>3.203*Deflactores!$I$5</f>
        <v>7.4096456482281452</v>
      </c>
      <c r="M36" s="57">
        <f>4.6368*Deflactores!$J$5</f>
        <v>10.516010099917219</v>
      </c>
      <c r="N36" s="57">
        <f>8.174*Deflactores!$K$5</f>
        <v>17.968370280962969</v>
      </c>
      <c r="O36" s="57">
        <f>9.328*Deflactores!$L$5</f>
        <v>19.768426096454331</v>
      </c>
      <c r="P36" s="57">
        <f>56.3293*Deflactores!$M$5</f>
        <v>116.53284264828049</v>
      </c>
      <c r="Q36" s="57">
        <f>45.655*Deflactores!$N$5</f>
        <v>92.652619880230461</v>
      </c>
      <c r="R36" s="57">
        <f>12.141666222*Deflactores!$O$5</f>
        <v>23.770397392138133</v>
      </c>
      <c r="S36" s="57">
        <f>38.738*Deflactores!$P$5</f>
        <v>71.030701628759928</v>
      </c>
      <c r="T36" s="57">
        <f>24.26004861*Deflactores!$Q$5</f>
        <v>42.064932895650237</v>
      </c>
      <c r="U36" s="57">
        <f>44.462062667*Deflactores!$R$5</f>
        <v>74.064335653283592</v>
      </c>
      <c r="V36" s="57">
        <f>14.957*Deflactores!$S$5</f>
        <v>24.14729541750453</v>
      </c>
    </row>
    <row r="37" spans="3:22" x14ac:dyDescent="0.2">
      <c r="C37" s="90" t="s">
        <v>147</v>
      </c>
      <c r="D37" s="58">
        <f>549.613135133*Deflactores!$A$5</f>
        <v>2051.1098180391718</v>
      </c>
      <c r="E37" s="58">
        <f>642.371092*Deflactores!$B$5</f>
        <v>2226.9507205226523</v>
      </c>
      <c r="F37" s="58">
        <f>580.045982*Deflactores!$C$5</f>
        <v>1879.4742627217756</v>
      </c>
      <c r="G37" s="58">
        <f>638.436806401*Deflactores!$D$5</f>
        <v>1942.5736608380462</v>
      </c>
      <c r="H37" s="58">
        <f>820.390154884*Deflactores!$E$5</f>
        <v>2366.1375089145185</v>
      </c>
      <c r="I37" s="58">
        <f>858.925877516*Deflactores!$F$5</f>
        <v>2362.5738776915459</v>
      </c>
      <c r="J37" s="58">
        <f>1032.322967055*Deflactores!$G$5</f>
        <v>2717.819838414563</v>
      </c>
      <c r="K37" s="58">
        <f>1107.985667955*Deflactores!$H$5</f>
        <v>2759.8595942645607</v>
      </c>
      <c r="L37" s="58">
        <f>1278.2622989*Deflactores!$I$5</f>
        <v>2957.0623416604712</v>
      </c>
      <c r="M37" s="58">
        <f>1473.08851871*Deflactores!$J$5</f>
        <v>3340.8846059408329</v>
      </c>
      <c r="N37" s="58">
        <f>1932.011065536*Deflactores!$K$5</f>
        <v>4247.0137279751234</v>
      </c>
      <c r="O37" s="58">
        <f>2055.251411328*Deflactores!$L$5</f>
        <v>4355.6052352563283</v>
      </c>
      <c r="P37" s="58">
        <f>2291.387265689*Deflactores!$M$5</f>
        <v>4740.3726245277303</v>
      </c>
      <c r="Q37" s="58">
        <f>2288.003081879*Deflactores!$N$5</f>
        <v>4643.2916401299053</v>
      </c>
      <c r="R37" s="58">
        <f>940.228365931*Deflactores!$O$5</f>
        <v>1840.7359821046925</v>
      </c>
      <c r="S37" s="58">
        <f>1467.019163975*Deflactores!$P$5</f>
        <v>2689.9530311317326</v>
      </c>
      <c r="T37" s="58">
        <f>1740.513954108*Deflactores!$Q$5</f>
        <v>3017.9083257614247</v>
      </c>
      <c r="U37" s="58">
        <f>1802.42724173*Deflactores!$R$5</f>
        <v>3002.4602597034718</v>
      </c>
      <c r="V37" s="58">
        <f>1622.051876834*Deflactores!$S$5</f>
        <v>2618.7180485677791</v>
      </c>
    </row>
    <row r="38" spans="3:22" ht="22.5" customHeight="1" x14ac:dyDescent="0.2">
      <c r="C38" s="89" t="s">
        <v>148</v>
      </c>
      <c r="D38" s="59">
        <f>0*Deflactores!$A$5</f>
        <v>0</v>
      </c>
      <c r="E38" s="59">
        <f>0*Deflactores!$B$5</f>
        <v>0</v>
      </c>
      <c r="F38" s="59">
        <f>0*Deflactores!$C$5</f>
        <v>0</v>
      </c>
      <c r="G38" s="59">
        <f>0*Deflactores!$D$5</f>
        <v>0</v>
      </c>
      <c r="H38" s="59">
        <f>0*Deflactores!$E$5</f>
        <v>0</v>
      </c>
      <c r="I38" s="59">
        <f>0*Deflactores!$F$5</f>
        <v>0</v>
      </c>
      <c r="J38" s="59">
        <f>0*Deflactores!$G$5</f>
        <v>0</v>
      </c>
      <c r="K38" s="59">
        <f>0*Deflactores!$H$5</f>
        <v>0</v>
      </c>
      <c r="L38" s="59">
        <f>0*Deflactores!$I$5</f>
        <v>0</v>
      </c>
      <c r="M38" s="59">
        <f>0*Deflactores!$J$5</f>
        <v>0</v>
      </c>
      <c r="N38" s="59">
        <f>0*Deflactores!$K$5</f>
        <v>0</v>
      </c>
      <c r="O38" s="59">
        <f>0*Deflactores!$L$5</f>
        <v>0</v>
      </c>
      <c r="P38" s="59">
        <f>0*Deflactores!$M$5</f>
        <v>0</v>
      </c>
      <c r="Q38" s="59">
        <f>0*Deflactores!$N$5</f>
        <v>0</v>
      </c>
      <c r="R38" s="59">
        <f>0*Deflactores!$O$5</f>
        <v>0</v>
      </c>
      <c r="S38" s="59">
        <f>0*Deflactores!$P$5</f>
        <v>0</v>
      </c>
      <c r="T38" s="59">
        <f>0*Deflactores!$Q$5</f>
        <v>0</v>
      </c>
      <c r="U38" s="59">
        <f>0*Deflactores!$R$5</f>
        <v>0</v>
      </c>
      <c r="V38" s="59">
        <f>0*Deflactores!$S$5</f>
        <v>0</v>
      </c>
    </row>
    <row r="39" spans="3:22" x14ac:dyDescent="0.2">
      <c r="C39" s="87" t="s">
        <v>149</v>
      </c>
      <c r="D39" s="56">
        <f>98.9015*Deflactores!$A$5</f>
        <v>369.09204802703982</v>
      </c>
      <c r="E39" s="56">
        <f>116.756338*Deflactores!$B$5</f>
        <v>404.76698636165639</v>
      </c>
      <c r="F39" s="56">
        <f>125.9008*Deflactores!$C$5</f>
        <v>407.94578464312463</v>
      </c>
      <c r="G39" s="56">
        <f>62.866223244*Deflactores!$D$5</f>
        <v>191.28325341796531</v>
      </c>
      <c r="H39" s="56">
        <f>114.18489*Deflactores!$E$5</f>
        <v>329.3276370661473</v>
      </c>
      <c r="I39" s="56">
        <f>133.85148*Deflactores!$F$5</f>
        <v>368.1738068631675</v>
      </c>
      <c r="J39" s="56">
        <f>184.069098926*Deflactores!$G$5</f>
        <v>484.60284684678766</v>
      </c>
      <c r="K39" s="56">
        <f>293.277434559*Deflactores!$H$5</f>
        <v>730.5189633389972</v>
      </c>
      <c r="L39" s="56">
        <f>398.50953025*Deflactores!$I$5</f>
        <v>921.89022997013899</v>
      </c>
      <c r="M39" s="56">
        <f>655.382887867*Deflactores!$J$5</f>
        <v>1486.3727286323081</v>
      </c>
      <c r="N39" s="56">
        <f>668.020921168*Deflactores!$K$5</f>
        <v>1468.4667564199408</v>
      </c>
      <c r="O39" s="56">
        <f>743.603854668*Deflactores!$L$5</f>
        <v>1575.8874191726979</v>
      </c>
      <c r="P39" s="56">
        <f>793.0351*Deflactores!$M$5</f>
        <v>1640.6139348946886</v>
      </c>
      <c r="Q39" s="56">
        <f>1040.1088*Deflactores!$N$5</f>
        <v>2110.8050658303068</v>
      </c>
      <c r="R39" s="56">
        <f>1486.473636772*Deflactores!$O$5</f>
        <v>2910.1499261266081</v>
      </c>
      <c r="S39" s="56">
        <f>1117.427383892*Deflactores!$P$5</f>
        <v>2048.9351824316805</v>
      </c>
      <c r="T39" s="56">
        <f>1072.059561046*Deflactores!$Q$5</f>
        <v>1858.8632784911902</v>
      </c>
      <c r="U39" s="56">
        <f>1124.874949997*Deflactores!$R$5</f>
        <v>1873.8023129634037</v>
      </c>
      <c r="V39" s="56">
        <f>1017.342893346*Deflactores!$S$5</f>
        <v>1642.4469737597558</v>
      </c>
    </row>
    <row r="40" spans="3:22" x14ac:dyDescent="0.2">
      <c r="C40" s="88" t="s">
        <v>150</v>
      </c>
      <c r="D40" s="57">
        <f>374.49705638*Deflactores!$A$5</f>
        <v>1397.5913966865214</v>
      </c>
      <c r="E40" s="57">
        <f>620.729310222169*Deflactores!$B$5</f>
        <v>2151.923711798644</v>
      </c>
      <c r="F40" s="57">
        <f>819.568153999999*Deflactores!$C$5</f>
        <v>2655.5778331197798</v>
      </c>
      <c r="G40" s="57">
        <f>589.5477118503*Deflactores!$D$5</f>
        <v>1793.8186604617676</v>
      </c>
      <c r="H40" s="57">
        <f>556.45745207805*Deflactores!$E$5</f>
        <v>1604.913030267955</v>
      </c>
      <c r="I40" s="57">
        <f>414.93196229092*Deflactores!$F$5</f>
        <v>1141.3178258906983</v>
      </c>
      <c r="J40" s="57">
        <f>626.344717247169*Deflactores!$G$5</f>
        <v>1648.9917908896252</v>
      </c>
      <c r="K40" s="57">
        <f>622.014583239*Deflactores!$H$5</f>
        <v>1549.363827506068</v>
      </c>
      <c r="L40" s="57">
        <f>607.0412298412*Deflactores!$I$5</f>
        <v>1404.2960995903557</v>
      </c>
      <c r="M40" s="57">
        <f>789.275460401*Deflactores!$J$5</f>
        <v>1790.0337977039615</v>
      </c>
      <c r="N40" s="57">
        <f>940.380620588*Deflactores!$K$5</f>
        <v>2067.1772933407065</v>
      </c>
      <c r="O40" s="57">
        <f>640.692251700999*Deflactores!$L$5</f>
        <v>1357.7913195027998</v>
      </c>
      <c r="P40" s="57">
        <f>885.32743819*Deflactores!$M$5</f>
        <v>1831.5463363968756</v>
      </c>
      <c r="Q40" s="57">
        <f>805.128064220929*Deflactores!$N$5</f>
        <v>1633.9332929398208</v>
      </c>
      <c r="R40" s="57">
        <f>1083.207089551*Deflactores!$O$5</f>
        <v>2120.6531711400748</v>
      </c>
      <c r="S40" s="57">
        <f>1185.408594855*Deflactores!$P$5</f>
        <v>2173.5867677555129</v>
      </c>
      <c r="T40" s="57">
        <f>1194.542338375*Deflactores!$Q$5</f>
        <v>2071.2383603405115</v>
      </c>
      <c r="U40" s="57">
        <f>1713.156958357*Deflactores!$R$5</f>
        <v>2853.7549627603116</v>
      </c>
      <c r="V40" s="57">
        <f>1370.173098558*Deflactores!$S$5</f>
        <v>2212.0729146217541</v>
      </c>
    </row>
    <row r="41" spans="3:22" x14ac:dyDescent="0.2">
      <c r="C41" s="87" t="s">
        <v>151</v>
      </c>
      <c r="D41" s="56">
        <f>10*Deflactores!$A$5</f>
        <v>37.319155728380238</v>
      </c>
      <c r="E41" s="56">
        <f>39.85905156*Deflactores!$B$5</f>
        <v>138.1820332458104</v>
      </c>
      <c r="F41" s="56">
        <f>12.104*Deflactores!$C$5</f>
        <v>39.219574278482582</v>
      </c>
      <c r="G41" s="56">
        <f>0*Deflactores!$D$5</f>
        <v>0</v>
      </c>
      <c r="H41" s="56">
        <f>10*Deflactores!$E$5</f>
        <v>28.841612674509499</v>
      </c>
      <c r="I41" s="56">
        <f>80*Deflactores!$F$5</f>
        <v>220.04915111176504</v>
      </c>
      <c r="J41" s="56">
        <f>20*Deflactores!$G$5</f>
        <v>52.654448755856521</v>
      </c>
      <c r="K41" s="56">
        <f>0*Deflactores!$H$5</f>
        <v>0</v>
      </c>
      <c r="L41" s="56">
        <f>0*Deflactores!$I$5</f>
        <v>0</v>
      </c>
      <c r="M41" s="56">
        <f>0*Deflactores!$J$5</f>
        <v>0</v>
      </c>
      <c r="N41" s="56">
        <f>0*Deflactores!$K$5</f>
        <v>0</v>
      </c>
      <c r="O41" s="56">
        <f>0*Deflactores!$L$5</f>
        <v>0</v>
      </c>
      <c r="P41" s="56">
        <f>0*Deflactores!$M$5</f>
        <v>0</v>
      </c>
      <c r="Q41" s="56">
        <f>0*Deflactores!$N$5</f>
        <v>0</v>
      </c>
      <c r="R41" s="56">
        <f>0*Deflactores!$O$5</f>
        <v>0</v>
      </c>
      <c r="S41" s="56">
        <f>0*Deflactores!$P$5</f>
        <v>0</v>
      </c>
      <c r="T41" s="56">
        <f>0*Deflactores!$Q$5</f>
        <v>0</v>
      </c>
      <c r="U41" s="56">
        <f>0*Deflactores!$R$5</f>
        <v>0</v>
      </c>
      <c r="V41" s="56">
        <f>0*Deflactores!$S$5</f>
        <v>0</v>
      </c>
    </row>
    <row r="42" spans="3:22" ht="21.75" customHeight="1" x14ac:dyDescent="0.2">
      <c r="C42" s="79" t="s">
        <v>202</v>
      </c>
      <c r="D42" s="44">
        <f t="shared" ref="D42:V42" si="0">+SUM(D13:D41)</f>
        <v>8726.6026864278592</v>
      </c>
      <c r="E42" s="44">
        <f t="shared" si="0"/>
        <v>9650.4217256328757</v>
      </c>
      <c r="F42" s="44">
        <f t="shared" si="0"/>
        <v>9530.5216485875062</v>
      </c>
      <c r="G42" s="44">
        <f t="shared" si="0"/>
        <v>8190.9003840183759</v>
      </c>
      <c r="H42" s="44">
        <f t="shared" si="0"/>
        <v>9262.7693466186556</v>
      </c>
      <c r="I42" s="44">
        <f t="shared" si="0"/>
        <v>9447.5675447611429</v>
      </c>
      <c r="J42" s="44">
        <f t="shared" si="0"/>
        <v>11143.415922790153</v>
      </c>
      <c r="K42" s="44">
        <f t="shared" si="0"/>
        <v>12121.579274323256</v>
      </c>
      <c r="L42" s="44">
        <f t="shared" si="0"/>
        <v>13581.958551880585</v>
      </c>
      <c r="M42" s="44">
        <f t="shared" si="0"/>
        <v>16989.611264650393</v>
      </c>
      <c r="N42" s="44">
        <f t="shared" si="0"/>
        <v>16446.357146121489</v>
      </c>
      <c r="O42" s="44">
        <f t="shared" si="0"/>
        <v>16579.228474433516</v>
      </c>
      <c r="P42" s="44">
        <f t="shared" si="0"/>
        <v>17030.352727422298</v>
      </c>
      <c r="Q42" s="44">
        <f t="shared" si="0"/>
        <v>18105.858441613844</v>
      </c>
      <c r="R42" s="44">
        <f t="shared" si="0"/>
        <v>11562.199706844855</v>
      </c>
      <c r="S42" s="44">
        <f t="shared" si="0"/>
        <v>11661.666309694419</v>
      </c>
      <c r="T42" s="44">
        <f t="shared" si="0"/>
        <v>13408.415043110337</v>
      </c>
      <c r="U42" s="44">
        <f t="shared" si="0"/>
        <v>14519.617851707097</v>
      </c>
      <c r="V42" s="44">
        <f t="shared" si="0"/>
        <v>12383.778071793324</v>
      </c>
    </row>
    <row r="43" spans="3:22" x14ac:dyDescent="0.2">
      <c r="C43" s="1" t="s">
        <v>52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3:22" x14ac:dyDescent="0.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3:22" x14ac:dyDescent="0.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3:22" x14ac:dyDescent="0.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8" spans="3:22" ht="14.25" customHeight="1" x14ac:dyDescent="0.2">
      <c r="C48" s="9"/>
      <c r="D48" s="164" t="s">
        <v>219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</row>
    <row r="49" spans="3:22" ht="11.25" hidden="1" customHeight="1" x14ac:dyDescent="0.2">
      <c r="H49" s="27"/>
      <c r="I49" s="27"/>
      <c r="J49" s="27"/>
      <c r="L49" s="27"/>
      <c r="M49" s="27"/>
      <c r="N49" s="27"/>
      <c r="O49" s="27"/>
      <c r="P49" s="27"/>
      <c r="Q49" s="98"/>
      <c r="R49" s="28"/>
      <c r="S49" s="28"/>
      <c r="T49" s="28"/>
      <c r="U49" s="28"/>
      <c r="V49" s="28"/>
    </row>
    <row r="50" spans="3:22" ht="15.75" customHeight="1" x14ac:dyDescent="0.2"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3:22" ht="12" thickBot="1" x14ac:dyDescent="0.25">
      <c r="C51" s="181" t="s">
        <v>120</v>
      </c>
      <c r="D51" s="155">
        <v>2000</v>
      </c>
      <c r="E51" s="155">
        <v>2001</v>
      </c>
      <c r="F51" s="155">
        <v>2002</v>
      </c>
      <c r="G51" s="155">
        <v>2003</v>
      </c>
      <c r="H51" s="155">
        <v>2004</v>
      </c>
      <c r="I51" s="155">
        <v>2005</v>
      </c>
      <c r="J51" s="155">
        <v>2006</v>
      </c>
      <c r="K51" s="155">
        <v>2007</v>
      </c>
      <c r="L51" s="155">
        <v>2008</v>
      </c>
      <c r="M51" s="155">
        <v>2009</v>
      </c>
      <c r="N51" s="155">
        <v>2010</v>
      </c>
      <c r="O51" s="155">
        <v>2011</v>
      </c>
      <c r="P51" s="155">
        <v>2012</v>
      </c>
      <c r="Q51" s="155">
        <v>2013</v>
      </c>
      <c r="R51" s="155">
        <v>2014</v>
      </c>
      <c r="S51" s="155">
        <v>2015</v>
      </c>
      <c r="T51" s="155">
        <v>2016</v>
      </c>
      <c r="U51" s="155">
        <v>2017</v>
      </c>
      <c r="V51" s="155">
        <v>2018</v>
      </c>
    </row>
    <row r="52" spans="3:22" ht="12" customHeight="1" thickBot="1" x14ac:dyDescent="0.25">
      <c r="C52" s="162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</row>
    <row r="53" spans="3:22" x14ac:dyDescent="0.2">
      <c r="C53" s="87" t="s">
        <v>123</v>
      </c>
      <c r="D53" s="56">
        <f>23.209210128*Deflactores!$A$5</f>
        <v>86.614812709953185</v>
      </c>
      <c r="E53" s="56">
        <f>29.664868468*Deflactores!$B$5</f>
        <v>102.84117861428034</v>
      </c>
      <c r="F53" s="56">
        <f>26.319890102*Deflactores!$C$5</f>
        <v>85.282128623338366</v>
      </c>
      <c r="G53" s="56">
        <f>22.536835683*Deflactores!$D$5</f>
        <v>68.572900179776113</v>
      </c>
      <c r="H53" s="56">
        <f>46.100004489*Deflactores!$E$5</f>
        <v>132.95984737648874</v>
      </c>
      <c r="I53" s="56">
        <f>38.55687265*Deflactores!$F$5</f>
        <v>106.05508870196164</v>
      </c>
      <c r="J53" s="56">
        <f>50.741952299*Deflactores!$G$5</f>
        <v>133.58947635499058</v>
      </c>
      <c r="K53" s="56">
        <f>53.790639818*Deflactores!$H$5</f>
        <v>133.98604122500794</v>
      </c>
      <c r="L53" s="56">
        <f>54.784359999*Deflactores!$I$5</f>
        <v>126.73515287466577</v>
      </c>
      <c r="M53" s="56">
        <f>48.550830098*Deflactores!$J$5</f>
        <v>110.110640888098</v>
      </c>
      <c r="N53" s="56">
        <f>64.67939378*Deflactores!$K$5</f>
        <v>142.1804865411369</v>
      </c>
      <c r="O53" s="56">
        <f>46.0673355751299*Deflactores!$L$5</f>
        <v>97.628507587641195</v>
      </c>
      <c r="P53" s="56">
        <f>38.72166458843*Deflactores!$M$5</f>
        <v>80.106545733091082</v>
      </c>
      <c r="Q53" s="56">
        <f>46.31395061091*Deflactores!$N$5</f>
        <v>93.989899487556926</v>
      </c>
      <c r="R53" s="56">
        <f>81.65292511278*Deflactores!$O$5</f>
        <v>159.8563527174249</v>
      </c>
      <c r="S53" s="56">
        <f>52.59631935204*Deflactores!$P$5</f>
        <v>96.441568141507688</v>
      </c>
      <c r="T53" s="56">
        <f>34.51405773565*Deflactores!$Q$5</f>
        <v>59.844543015807062</v>
      </c>
      <c r="U53" s="56">
        <f>41.83505273063*Deflactores!$R$5</f>
        <v>69.688296081097292</v>
      </c>
      <c r="V53" s="56">
        <f>51.71735349469*Deflactores!$S$5</f>
        <v>83.494966440314897</v>
      </c>
    </row>
    <row r="54" spans="3:22" x14ac:dyDescent="0.2">
      <c r="C54" s="88" t="s">
        <v>124</v>
      </c>
      <c r="D54" s="57">
        <f>3.04604505296*Deflactores!$A$5</f>
        <v>11.367582968707646</v>
      </c>
      <c r="E54" s="57">
        <f>1.062717388*Deflactores!$B$5</f>
        <v>3.6841932683336736</v>
      </c>
      <c r="F54" s="57">
        <f>7.36757275538999*Deflactores!$C$5</f>
        <v>23.872527010256302</v>
      </c>
      <c r="G54" s="57">
        <f>8.58197371639*Deflactores!$D$5</f>
        <v>26.112398176793931</v>
      </c>
      <c r="H54" s="57">
        <f>11.4031171549599*Deflactores!$E$5</f>
        <v>32.888428826540817</v>
      </c>
      <c r="I54" s="57">
        <f>8.77429770821999*Deflactores!$F$5</f>
        <v>24.13470952869643</v>
      </c>
      <c r="J54" s="57">
        <f>11.65714183993*Deflactores!$G$5</f>
        <v>30.690018882517261</v>
      </c>
      <c r="K54" s="57">
        <f>20.93919499082*Deflactores!$H$5</f>
        <v>52.157026812677209</v>
      </c>
      <c r="L54" s="57">
        <f>17.04992551237*Deflactores!$I$5</f>
        <v>39.442368521806557</v>
      </c>
      <c r="M54" s="57">
        <f>20.7066014237699*Deflactores!$J$5</f>
        <v>46.961445330254598</v>
      </c>
      <c r="N54" s="57">
        <f>24.02984087722*Deflactores!$K$5</f>
        <v>52.823229590715556</v>
      </c>
      <c r="O54" s="57">
        <f>38.07912427073*Deflactores!$L$5</f>
        <v>80.69943760330473</v>
      </c>
      <c r="P54" s="57">
        <f>33.42179785151*Deflactores!$M$5</f>
        <v>69.142295573576334</v>
      </c>
      <c r="Q54" s="57">
        <f>35.14800508274*Deflactores!$N$5</f>
        <v>71.32964088225863</v>
      </c>
      <c r="R54" s="57">
        <f>39.0767289976999*Deflactores!$O$5</f>
        <v>76.502628228830446</v>
      </c>
      <c r="S54" s="57">
        <f>37.11706677972*Deflactores!$P$5</f>
        <v>68.058528983557437</v>
      </c>
      <c r="T54" s="57">
        <f>52.77448568989*Deflactores!$Q$5</f>
        <v>91.506626175209334</v>
      </c>
      <c r="U54" s="57">
        <f>68.91064596491*Deflactores!$R$5</f>
        <v>114.79047319632727</v>
      </c>
      <c r="V54" s="57">
        <f>81.46567146615*Deflactores!$S$5</f>
        <v>131.52207229247131</v>
      </c>
    </row>
    <row r="55" spans="3:22" x14ac:dyDescent="0.2">
      <c r="C55" s="87" t="s">
        <v>125</v>
      </c>
      <c r="D55" s="56">
        <f>5.0011216421*Deflactores!$A$5</f>
        <v>18.66376373781026</v>
      </c>
      <c r="E55" s="56">
        <f>5.94429947522999*Deflactores!$B$5</f>
        <v>20.607499565634015</v>
      </c>
      <c r="F55" s="56">
        <f>20.7327861223699*Deflactores!$C$5</f>
        <v>67.178705000510519</v>
      </c>
      <c r="G55" s="56">
        <f>26.06584200239*Deflactores!$D$5</f>
        <v>79.310618707664688</v>
      </c>
      <c r="H55" s="56">
        <f>26.506704538*Deflactores!$E$5</f>
        <v>76.449610556265938</v>
      </c>
      <c r="I55" s="56">
        <f>39.99792735841*Deflactores!$F$5</f>
        <v>110.01887451810205</v>
      </c>
      <c r="J55" s="56">
        <f>45.03790471065*Deflactores!$G$5</f>
        <v>118.57230228290346</v>
      </c>
      <c r="K55" s="56">
        <f>52.3041580905*Deflactores!$H$5</f>
        <v>130.28339327928882</v>
      </c>
      <c r="L55" s="56">
        <f>59.2253059354*Deflactores!$I$5</f>
        <v>137.00859518864104</v>
      </c>
      <c r="M55" s="56">
        <f>46.141062034*Deflactores!$J$5</f>
        <v>104.64541804055618</v>
      </c>
      <c r="N55" s="56">
        <f>0*Deflactores!$K$5</f>
        <v>0</v>
      </c>
      <c r="O55" s="56">
        <f>0*Deflactores!$L$5</f>
        <v>0</v>
      </c>
      <c r="P55" s="56">
        <f>0*Deflactores!$M$5</f>
        <v>0</v>
      </c>
      <c r="Q55" s="56">
        <f>0*Deflactores!$N$5</f>
        <v>0</v>
      </c>
      <c r="R55" s="56">
        <f>0*Deflactores!$O$5</f>
        <v>0</v>
      </c>
      <c r="S55" s="56">
        <f>0*Deflactores!$P$5</f>
        <v>0</v>
      </c>
      <c r="T55" s="56">
        <f>0*Deflactores!$Q$5</f>
        <v>0</v>
      </c>
      <c r="U55" s="56">
        <f>0*Deflactores!$R$5</f>
        <v>0</v>
      </c>
      <c r="V55" s="56">
        <f>0*Deflactores!$S$5</f>
        <v>0</v>
      </c>
    </row>
    <row r="56" spans="3:22" x14ac:dyDescent="0.2">
      <c r="C56" s="88" t="s">
        <v>126</v>
      </c>
      <c r="D56" s="57">
        <f>0.767423013*Deflactores!$A$5</f>
        <v>2.8639578931689775</v>
      </c>
      <c r="E56" s="57">
        <f>0.290857026*Deflactores!$B$5</f>
        <v>1.0083334566054474</v>
      </c>
      <c r="F56" s="57">
        <f>1.028965653*Deflactores!$C$5</f>
        <v>3.3340709565301418</v>
      </c>
      <c r="G56" s="57">
        <f>0.127919356*Deflactores!$D$5</f>
        <v>0.38922062322467016</v>
      </c>
      <c r="H56" s="57">
        <f>2.272435411*Deflactores!$E$5</f>
        <v>6.5540701951901807</v>
      </c>
      <c r="I56" s="57">
        <f>3.10901975*Deflactores!$F$5</f>
        <v>8.55171445971515</v>
      </c>
      <c r="J56" s="57">
        <f>2.175061771*Deflactores!$G$5</f>
        <v>5.7263339280971026</v>
      </c>
      <c r="K56" s="57">
        <f>4.920850719*Deflactores!$H$5</f>
        <v>12.257249765551467</v>
      </c>
      <c r="L56" s="57">
        <f>10.4884077636*Deflactores!$I$5</f>
        <v>24.263310940493611</v>
      </c>
      <c r="M56" s="57">
        <f>13.6273551686*Deflactores!$J$5</f>
        <v>30.90610002332572</v>
      </c>
      <c r="N56" s="57">
        <f>14.3642611669*Deflactores!$K$5</f>
        <v>31.57601706133061</v>
      </c>
      <c r="O56" s="57">
        <f>18.07443329359*Deflactores!$L$5</f>
        <v>38.304363078862309</v>
      </c>
      <c r="P56" s="57">
        <f>16.76340375216*Deflactores!$M$5</f>
        <v>34.67976864083267</v>
      </c>
      <c r="Q56" s="57">
        <f>42.9016047916999*Deflactores!$N$5</f>
        <v>87.06485775965929</v>
      </c>
      <c r="R56" s="57">
        <f>52.273225058*Deflactores!$O$5</f>
        <v>102.33812311080453</v>
      </c>
      <c r="S56" s="57">
        <f>79.09879771742*Deflactores!$P$5</f>
        <v>145.03699467860233</v>
      </c>
      <c r="T56" s="57">
        <f>79.17216206013*Deflactores!$Q$5</f>
        <v>137.27803013923617</v>
      </c>
      <c r="U56" s="57">
        <f>114.446524580219*Deflactores!$R$5</f>
        <v>190.64355773022535</v>
      </c>
      <c r="V56" s="57">
        <f>116.476834320699*Deflactores!$S$5</f>
        <v>188.04576637277859</v>
      </c>
    </row>
    <row r="57" spans="3:22" x14ac:dyDescent="0.2">
      <c r="C57" s="87" t="s">
        <v>127</v>
      </c>
      <c r="D57" s="56">
        <f>0*Deflactores!$A$5</f>
        <v>0</v>
      </c>
      <c r="E57" s="56">
        <f>0*Deflactores!$B$5</f>
        <v>0</v>
      </c>
      <c r="F57" s="56">
        <f>0*Deflactores!$C$5</f>
        <v>0</v>
      </c>
      <c r="G57" s="56">
        <f>0*Deflactores!$D$5</f>
        <v>0</v>
      </c>
      <c r="H57" s="56">
        <f>0*Deflactores!$E$5</f>
        <v>0</v>
      </c>
      <c r="I57" s="56">
        <f>0*Deflactores!$F$5</f>
        <v>0</v>
      </c>
      <c r="J57" s="56">
        <f>0*Deflactores!$G$5</f>
        <v>0</v>
      </c>
      <c r="K57" s="56">
        <f>0*Deflactores!$H$5</f>
        <v>0</v>
      </c>
      <c r="L57" s="56">
        <f>0*Deflactores!$I$5</f>
        <v>0</v>
      </c>
      <c r="M57" s="56">
        <f>0*Deflactores!$J$5</f>
        <v>0</v>
      </c>
      <c r="N57" s="56">
        <f>0*Deflactores!$K$5</f>
        <v>0</v>
      </c>
      <c r="O57" s="56">
        <f>0*Deflactores!$L$5</f>
        <v>0</v>
      </c>
      <c r="P57" s="56">
        <f>0*Deflactores!$M$5</f>
        <v>0</v>
      </c>
      <c r="Q57" s="56">
        <f>0*Deflactores!$N$5</f>
        <v>0</v>
      </c>
      <c r="R57" s="56">
        <f>0*Deflactores!$O$5</f>
        <v>0</v>
      </c>
      <c r="S57" s="56">
        <f>0*Deflactores!$P$5</f>
        <v>0</v>
      </c>
      <c r="T57" s="56">
        <f>0*Deflactores!$Q$5</f>
        <v>0</v>
      </c>
      <c r="U57" s="56">
        <f>0*Deflactores!$R$5</f>
        <v>0</v>
      </c>
      <c r="V57" s="56">
        <f>0*Deflactores!$S$5</f>
        <v>0</v>
      </c>
    </row>
    <row r="58" spans="3:22" x14ac:dyDescent="0.2">
      <c r="C58" s="88" t="s">
        <v>128</v>
      </c>
      <c r="D58" s="57">
        <f>0.110112825*Deflactores!$A$5</f>
        <v>0.4109317663866881</v>
      </c>
      <c r="E58" s="57">
        <f>0.134241411*Deflactores!$B$5</f>
        <v>0.46538365545009225</v>
      </c>
      <c r="F58" s="57">
        <f>0.235194906*Deflactores!$C$5</f>
        <v>0.76208229393487525</v>
      </c>
      <c r="G58" s="57">
        <f>0.393911981*Deflactores!$D$5</f>
        <v>1.1985572124087649</v>
      </c>
      <c r="H58" s="57">
        <f>0.589622361*Deflactores!$E$5</f>
        <v>1.7005659760191816</v>
      </c>
      <c r="I58" s="57">
        <f>0.461787985*Deflactores!$F$5</f>
        <v>1.2702006761607811</v>
      </c>
      <c r="J58" s="57">
        <f>2.305815455*Deflactores!$G$5</f>
        <v>6.0705720857879744</v>
      </c>
      <c r="K58" s="57">
        <f>2.97763172*Deflactores!$H$5</f>
        <v>7.4169239804302665</v>
      </c>
      <c r="L58" s="57">
        <f>2.603315972*Deflactores!$I$5</f>
        <v>6.0223692984366606</v>
      </c>
      <c r="M58" s="57">
        <f>3.093967776*Deflactores!$J$5</f>
        <v>7.0169505653110793</v>
      </c>
      <c r="N58" s="57">
        <f>6.042086124*Deflactores!$K$5</f>
        <v>13.281923262233953</v>
      </c>
      <c r="O58" s="57">
        <f>6.5263708449*Deflactores!$L$5</f>
        <v>13.831054859075886</v>
      </c>
      <c r="P58" s="57">
        <f>8.07377242931*Deflactores!$M$5</f>
        <v>16.702846512965856</v>
      </c>
      <c r="Q58" s="57">
        <f>7.18527594852*Deflactores!$N$5</f>
        <v>14.581856120748789</v>
      </c>
      <c r="R58" s="57">
        <f>7.99685104244999*Deflactores!$O$5</f>
        <v>15.655868287693599</v>
      </c>
      <c r="S58" s="57">
        <f>14.10024263784*Deflactores!$P$5</f>
        <v>25.854461451327683</v>
      </c>
      <c r="T58" s="57">
        <f>15.92549632639*Deflactores!$Q$5</f>
        <v>27.613503380342969</v>
      </c>
      <c r="U58" s="57">
        <f>8.599866694*Deflactores!$R$5</f>
        <v>14.325548010858554</v>
      </c>
      <c r="V58" s="57">
        <f>10.63036282977*Deflactores!$S$5</f>
        <v>17.162165651247953</v>
      </c>
    </row>
    <row r="59" spans="3:22" x14ac:dyDescent="0.2">
      <c r="C59" s="87" t="s">
        <v>129</v>
      </c>
      <c r="D59" s="56">
        <f>7.21262575329*Deflactores!$A$5</f>
        <v>26.916910369755534</v>
      </c>
      <c r="E59" s="56">
        <f>8.75865134876*Deflactores!$B$5</f>
        <v>30.364200965518826</v>
      </c>
      <c r="F59" s="56">
        <f>9.52102413243*Deflactores!$C$5</f>
        <v>30.850174584357536</v>
      </c>
      <c r="G59" s="56">
        <f>9.17939615728999*Deflactores!$D$5</f>
        <v>27.930177299880651</v>
      </c>
      <c r="H59" s="56">
        <f>16.81115388476*Deflactores!$E$5</f>
        <v>48.486078895582359</v>
      </c>
      <c r="I59" s="56">
        <f>15.9709902885*Deflactores!$F$5</f>
        <v>43.930035692483358</v>
      </c>
      <c r="J59" s="56">
        <f>21.24512186586*Deflactores!$G$5</f>
        <v>55.932509029892614</v>
      </c>
      <c r="K59" s="56">
        <f>14.667663945*Deflactores!$H$5</f>
        <v>36.535394125423572</v>
      </c>
      <c r="L59" s="56">
        <f>22.75498075126*Deflactores!$I$5</f>
        <v>52.640132406833871</v>
      </c>
      <c r="M59" s="56">
        <f>23.20263890351*Deflactores!$J$5</f>
        <v>52.622322518556615</v>
      </c>
      <c r="N59" s="56">
        <f>35.82100586768*Deflactores!$K$5</f>
        <v>78.742977399929217</v>
      </c>
      <c r="O59" s="56">
        <f>43.69068769902*Deflactores!$L$5</f>
        <v>92.591780754860991</v>
      </c>
      <c r="P59" s="56">
        <f>41.17788786357*Deflactores!$M$5</f>
        <v>85.187927543817182</v>
      </c>
      <c r="Q59" s="56">
        <f>33.33100086114*Deflactores!$N$5</f>
        <v>67.642198072825295</v>
      </c>
      <c r="R59" s="56">
        <f>48.37344954376*Deflactores!$O$5</f>
        <v>94.703321427189721</v>
      </c>
      <c r="S59" s="56">
        <f>87.2204518721999*Deflactores!$P$5</f>
        <v>159.92900750838572</v>
      </c>
      <c r="T59" s="56">
        <f>66.8094183374999*Deflactores!$Q$5</f>
        <v>115.84204732409059</v>
      </c>
      <c r="U59" s="56">
        <f>75.2055244444199*Deflactores!$R$5</f>
        <v>125.27640130305652</v>
      </c>
      <c r="V59" s="56">
        <f>60.69539856807*Deflactores!$S$5</f>
        <v>97.989551360992692</v>
      </c>
    </row>
    <row r="60" spans="3:22" x14ac:dyDescent="0.2">
      <c r="C60" s="88" t="s">
        <v>130</v>
      </c>
      <c r="D60" s="57">
        <f>6.917689511*Deflactores!$A$5</f>
        <v>25.816233214159155</v>
      </c>
      <c r="E60" s="57">
        <f>12.03410639055*Deflactores!$B$5</f>
        <v>41.719439481379368</v>
      </c>
      <c r="F60" s="57">
        <f>13.7299584874699*Deflactores!$C$5</f>
        <v>44.488030959997367</v>
      </c>
      <c r="G60" s="57">
        <f>11.69979258176*Deflactores!$D$5</f>
        <v>35.598995356668304</v>
      </c>
      <c r="H60" s="57">
        <f>12.86607683206*Deflactores!$E$5</f>
        <v>37.107840463075469</v>
      </c>
      <c r="I60" s="57">
        <f>11.40206241893*Deflactores!$F$5</f>
        <v>31.362676952611313</v>
      </c>
      <c r="J60" s="57">
        <f>18.66318358301*Deflactores!$G$5</f>
        <v>49.134982179637142</v>
      </c>
      <c r="K60" s="57">
        <f>14.46829588636*Deflactores!$H$5</f>
        <v>36.038792169873865</v>
      </c>
      <c r="L60" s="57">
        <f>14.48993519508*Deflactores!$I$5</f>
        <v>33.520226431886471</v>
      </c>
      <c r="M60" s="57">
        <f>8.16160844437*Deflactores!$J$5</f>
        <v>18.510083857954747</v>
      </c>
      <c r="N60" s="57">
        <f>0*Deflactores!$K$5</f>
        <v>0</v>
      </c>
      <c r="O60" s="57">
        <f>3.172530085*Deflactores!$L$5</f>
        <v>6.7234055021548542</v>
      </c>
      <c r="P60" s="57">
        <f>0*Deflactores!$M$5</f>
        <v>0</v>
      </c>
      <c r="Q60" s="57">
        <f>0*Deflactores!$N$5</f>
        <v>0</v>
      </c>
      <c r="R60" s="57">
        <f>0*Deflactores!$O$5</f>
        <v>0</v>
      </c>
      <c r="S60" s="57">
        <f>0*Deflactores!$P$5</f>
        <v>0</v>
      </c>
      <c r="T60" s="57">
        <f>0*Deflactores!$Q$5</f>
        <v>0</v>
      </c>
      <c r="U60" s="57">
        <f>0*Deflactores!$R$5</f>
        <v>0</v>
      </c>
      <c r="V60" s="57">
        <f>0*Deflactores!$S$5</f>
        <v>0</v>
      </c>
    </row>
    <row r="61" spans="3:22" x14ac:dyDescent="0.2">
      <c r="C61" s="87" t="s">
        <v>131</v>
      </c>
      <c r="D61" s="56">
        <f>88.85655027866*Deflactores!$A$5</f>
        <v>331.60514373359609</v>
      </c>
      <c r="E61" s="56">
        <f>99.17929733453*Deflactores!$B$5</f>
        <v>343.83148683169878</v>
      </c>
      <c r="F61" s="56">
        <f>130.63248999904*Deflactores!$C$5</f>
        <v>423.27748221253159</v>
      </c>
      <c r="G61" s="56">
        <f>134.54748541064*Deflactores!$D$5</f>
        <v>409.38805324224359</v>
      </c>
      <c r="H61" s="56">
        <f>138.42184262557*Deflactores!$E$5</f>
        <v>399.23091706985991</v>
      </c>
      <c r="I61" s="56">
        <f>149.40221290245*Deflactores!$F$5</f>
        <v>410.94787654254145</v>
      </c>
      <c r="J61" s="56">
        <f>68.11224037019*Deflactores!$G$5</f>
        <v>179.32062351093757</v>
      </c>
      <c r="K61" s="56">
        <f>16.03621764636*Deflactores!$H$5</f>
        <v>39.944297482391974</v>
      </c>
      <c r="L61" s="56">
        <f>17.13660215002*Deflactores!$I$5</f>
        <v>39.642881531786692</v>
      </c>
      <c r="M61" s="56">
        <f>27.59628116223*Deflactores!$J$5</f>
        <v>62.586864092082024</v>
      </c>
      <c r="N61" s="56">
        <f>3.900918542*Deflactores!$K$5</f>
        <v>8.5751344260496936</v>
      </c>
      <c r="O61" s="56">
        <f>4.43949667109*Deflactores!$L$5</f>
        <v>9.4084328739169898</v>
      </c>
      <c r="P61" s="56">
        <f>5.46275456291999*Deflactores!$M$5</f>
        <v>11.301228985748651</v>
      </c>
      <c r="Q61" s="56">
        <f>15.76222204436*Deflactores!$N$5</f>
        <v>31.987978699898722</v>
      </c>
      <c r="R61" s="56">
        <f>6.03571215*Deflactores!$O$5</f>
        <v>11.81644048904052</v>
      </c>
      <c r="S61" s="56">
        <f>9.06207895043*Deflactores!$P$5</f>
        <v>16.616392845894449</v>
      </c>
      <c r="T61" s="56">
        <f>10.7161556452699*Deflactores!$Q$5</f>
        <v>18.580934249728276</v>
      </c>
      <c r="U61" s="56">
        <f>13.6330621061699*Deflactores!$R$5</f>
        <v>22.709780591507545</v>
      </c>
      <c r="V61" s="56">
        <f>10.03837515781*Deflactores!$S$5</f>
        <v>16.206432469571219</v>
      </c>
    </row>
    <row r="62" spans="3:22" x14ac:dyDescent="0.2">
      <c r="C62" s="88" t="s">
        <v>132</v>
      </c>
      <c r="D62" s="57">
        <f>10.7303846523199*Deflactores!$A$5</f>
        <v>40.044889586534758</v>
      </c>
      <c r="E62" s="57">
        <f>14.35896077104*Deflactores!$B$5</f>
        <v>49.779167265241796</v>
      </c>
      <c r="F62" s="57">
        <f>13.98099950814*Deflactores!$C$5</f>
        <v>45.30145808798126</v>
      </c>
      <c r="G62" s="57">
        <f>4.93750024996999*Deflactores!$D$5</f>
        <v>15.023347400727095</v>
      </c>
      <c r="H62" s="57">
        <f>9.23444872430999*Deflactores!$E$5</f>
        <v>26.633639336916708</v>
      </c>
      <c r="I62" s="57">
        <f>7.83337265804999*Deflactores!$F$5</f>
        <v>21.546587546825137</v>
      </c>
      <c r="J62" s="57">
        <f>16.65211071796*Deflactores!$G$5</f>
        <v>43.840385523783702</v>
      </c>
      <c r="K62" s="57">
        <f>16.14065559263*Deflactores!$H$5</f>
        <v>40.204439897907633</v>
      </c>
      <c r="L62" s="57">
        <f>25.27236688397*Deflactores!$I$5</f>
        <v>58.463716297918644</v>
      </c>
      <c r="M62" s="57">
        <f>60.24449437957*Deflactores!$J$5</f>
        <v>136.63123519667965</v>
      </c>
      <c r="N62" s="57">
        <f>63.1095737997599*Deflactores!$K$5</f>
        <v>138.72965381794043</v>
      </c>
      <c r="O62" s="57">
        <f>66.15572337629*Deflactores!$L$5</f>
        <v>140.20095716355758</v>
      </c>
      <c r="P62" s="57">
        <f>76.0819283712*Deflactores!$M$5</f>
        <v>157.39665480058861</v>
      </c>
      <c r="Q62" s="57">
        <f>98.69501671383*Deflactores!$N$5</f>
        <v>200.29245137793197</v>
      </c>
      <c r="R62" s="57">
        <f>102.08940218641*Deflactores!$O$5</f>
        <v>199.86595044918386</v>
      </c>
      <c r="S62" s="57">
        <f>129.40824410987*Deflactores!$P$5</f>
        <v>237.28531095229246</v>
      </c>
      <c r="T62" s="57">
        <f>189.79637944675*Deflactores!$Q$5</f>
        <v>329.09134246227336</v>
      </c>
      <c r="U62" s="57">
        <f>256.027164765629*Deflactores!$R$5</f>
        <v>426.4867783930805</v>
      </c>
      <c r="V62" s="57">
        <f>333.99729948606*Deflactores!$S$5</f>
        <v>539.22119805700504</v>
      </c>
    </row>
    <row r="63" spans="3:22" x14ac:dyDescent="0.2">
      <c r="C63" s="87" t="s">
        <v>133</v>
      </c>
      <c r="D63" s="56">
        <f>0*Deflactores!$A$5</f>
        <v>0</v>
      </c>
      <c r="E63" s="56">
        <f>0*Deflactores!$B$5</f>
        <v>0</v>
      </c>
      <c r="F63" s="56">
        <f>0*Deflactores!$C$5</f>
        <v>0</v>
      </c>
      <c r="G63" s="56">
        <f>0*Deflactores!$D$5</f>
        <v>0</v>
      </c>
      <c r="H63" s="56">
        <f>0.917822978*Deflactores!$E$5</f>
        <v>2.6471494835240854</v>
      </c>
      <c r="I63" s="56">
        <f>2.6084096012*Deflactores!$F$5</f>
        <v>7.17472898119797</v>
      </c>
      <c r="J63" s="56">
        <f>5.9*Deflactores!$G$5</f>
        <v>15.533062382977675</v>
      </c>
      <c r="K63" s="56">
        <f>1.09751816106*Deflactores!$H$5</f>
        <v>2.7337862882934498</v>
      </c>
      <c r="L63" s="56">
        <f>4.94609906*Deflactores!$I$5</f>
        <v>11.44203602111593</v>
      </c>
      <c r="M63" s="56">
        <f>4.502234*Deflactores!$J$5</f>
        <v>10.210821733995576</v>
      </c>
      <c r="N63" s="56">
        <f>3.431674708*Deflactores!$K$5</f>
        <v>7.5436263563933785</v>
      </c>
      <c r="O63" s="56">
        <f>5.324889945*Deflactores!$L$5</f>
        <v>11.284808463709828</v>
      </c>
      <c r="P63" s="56">
        <f>4.41460858764999*Deflactores!$M$5</f>
        <v>9.1328471665432396</v>
      </c>
      <c r="Q63" s="56">
        <f>3.53564383299*Deflactores!$N$5</f>
        <v>7.175263697073782</v>
      </c>
      <c r="R63" s="56">
        <f>3.98813691490999*Deflactores!$O$5</f>
        <v>7.8077915821713848</v>
      </c>
      <c r="S63" s="56">
        <f>2.472103375*Deflactores!$P$5</f>
        <v>4.5328937277369876</v>
      </c>
      <c r="T63" s="56">
        <f>2.98089424655*Deflactores!$Q$5</f>
        <v>5.1686259358305398</v>
      </c>
      <c r="U63" s="56">
        <f>7.78810775331*Deflactores!$R$5</f>
        <v>12.973330343785696</v>
      </c>
      <c r="V63" s="56">
        <f>25.22369865832*Deflactores!$S$5</f>
        <v>40.722344255169197</v>
      </c>
    </row>
    <row r="64" spans="3:22" x14ac:dyDescent="0.2">
      <c r="C64" s="88" t="s">
        <v>134</v>
      </c>
      <c r="D64" s="57">
        <f>7.4030269236*Deflactores!$A$5</f>
        <v>27.627471462322006</v>
      </c>
      <c r="E64" s="57">
        <f>11.08305770535*Deflactores!$B$5</f>
        <v>38.422375555037142</v>
      </c>
      <c r="F64" s="57">
        <f>17.4207050769599*Deflactores!$C$5</f>
        <v>56.446847054640408</v>
      </c>
      <c r="G64" s="57">
        <f>15.08373477376*Deflactores!$D$5</f>
        <v>45.895326811983757</v>
      </c>
      <c r="H64" s="57">
        <f>16.2718543383299*Deflactores!$E$5</f>
        <v>46.930652032214802</v>
      </c>
      <c r="I64" s="57">
        <f>23.0512667862999*Deflactores!$F$5</f>
        <v>63.405146104701473</v>
      </c>
      <c r="J64" s="57">
        <f>11.98074788608*Deflactores!$G$5</f>
        <v>31.541983781221788</v>
      </c>
      <c r="K64" s="57">
        <f>14.27582194667*Deflactores!$H$5</f>
        <v>35.559362638912717</v>
      </c>
      <c r="L64" s="57">
        <f>13.5422993706699*Deflactores!$I$5</f>
        <v>31.328017358378702</v>
      </c>
      <c r="M64" s="57">
        <f>10.0651656352*Deflactores!$J$5</f>
        <v>22.827247989368292</v>
      </c>
      <c r="N64" s="57">
        <f>11.1853314043*Deflactores!$K$5</f>
        <v>24.587983409315623</v>
      </c>
      <c r="O64" s="57">
        <f>10.40983253541*Deflactores!$L$5</f>
        <v>22.061106898876332</v>
      </c>
      <c r="P64" s="57">
        <f>14.77170839575*Deflactores!$M$5</f>
        <v>30.559392183609923</v>
      </c>
      <c r="Q64" s="57">
        <f>18.06433416822*Deflactores!$N$5</f>
        <v>36.659903341967954</v>
      </c>
      <c r="R64" s="57">
        <f>21.844530181036*Deflactores!$O$5</f>
        <v>42.766219541344668</v>
      </c>
      <c r="S64" s="57">
        <f>21.7296389743699*Deflactores!$P$5</f>
        <v>39.84386138905316</v>
      </c>
      <c r="T64" s="57">
        <f>18.0046768588199*Deflactores!$Q$5</f>
        <v>31.218631753356814</v>
      </c>
      <c r="U64" s="57">
        <f>25.91607595112*Deflactores!$R$5</f>
        <v>43.170668046500111</v>
      </c>
      <c r="V64" s="57">
        <f>26.75419579889*Deflactores!$S$5</f>
        <v>43.1932519631982</v>
      </c>
    </row>
    <row r="65" spans="3:22" x14ac:dyDescent="0.2">
      <c r="C65" s="87" t="s">
        <v>135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</row>
    <row r="66" spans="3:22" x14ac:dyDescent="0.2">
      <c r="C66" s="88" t="s">
        <v>136</v>
      </c>
      <c r="D66" s="57">
        <f>783.75635207105*Deflactores!$A$5</f>
        <v>2924.9125356046725</v>
      </c>
      <c r="E66" s="57">
        <f>804.191050811169*Deflactores!$B$5</f>
        <v>2787.9427675767852</v>
      </c>
      <c r="F66" s="57">
        <f>897.48324592748*Deflactores!$C$5</f>
        <v>2908.0395594304737</v>
      </c>
      <c r="G66" s="57">
        <f>986.61322323573*Deflactores!$D$5</f>
        <v>3001.9711296038058</v>
      </c>
      <c r="H66" s="57">
        <f>1054.70162683411*Deflactores!$E$5</f>
        <v>3041.9295808324455</v>
      </c>
      <c r="I66" s="57">
        <f>1144.4134547831*Deflactores!$F$5</f>
        <v>3147.8401155737934</v>
      </c>
      <c r="J66" s="57">
        <f>1506.35720168513*Deflactores!$G$5</f>
        <v>3965.8204042072553</v>
      </c>
      <c r="K66" s="57">
        <f>2057.71292613796*Deflactores!$H$5</f>
        <v>5125.5164445635228</v>
      </c>
      <c r="L66" s="57">
        <f>2578.49651102968*Deflactores!$I$5</f>
        <v>5964.9533099976661</v>
      </c>
      <c r="M66" s="57">
        <f>3378.34592939794*Deflactores!$J$5</f>
        <v>7661.904743478899</v>
      </c>
      <c r="N66" s="57">
        <f>2699.11896025672*Deflactores!$K$5</f>
        <v>5933.296906075424</v>
      </c>
      <c r="O66" s="57">
        <f>2758.98269483588*Deflactores!$L$5</f>
        <v>5846.992442566414</v>
      </c>
      <c r="P66" s="57">
        <f>2851.41649076732*Deflactores!$M$5</f>
        <v>5898.9490237460823</v>
      </c>
      <c r="Q66" s="57">
        <f>3296.97782184062*Deflactores!$N$5</f>
        <v>6690.9129970550684</v>
      </c>
      <c r="R66" s="57">
        <f>1153.41833109045*Deflactores!$O$5</f>
        <v>2258.1095203983077</v>
      </c>
      <c r="S66" s="57">
        <f>1255.36784704984*Deflactores!$P$5</f>
        <v>2301.8653254720407</v>
      </c>
      <c r="T66" s="57">
        <f>2274.79825354112*Deflactores!$Q$5</f>
        <v>3944.3134440755593</v>
      </c>
      <c r="U66" s="57">
        <f>2469.56078951237*Deflactores!$R$5</f>
        <v>4113.7627959484289</v>
      </c>
      <c r="V66" s="57">
        <f>2317.27116193752*Deflactores!$S$5</f>
        <v>3741.1132787169404</v>
      </c>
    </row>
    <row r="67" spans="3:22" x14ac:dyDescent="0.2">
      <c r="C67" s="87" t="s">
        <v>137</v>
      </c>
      <c r="D67" s="56">
        <f>9.16418072909*Deflactores!$A$5</f>
        <v>34.199948775193093</v>
      </c>
      <c r="E67" s="56">
        <f>11.69453653486*Deflactores!$B$5</f>
        <v>40.54223000820366</v>
      </c>
      <c r="F67" s="56">
        <f>18.05998607355*Deflactores!$C$5</f>
        <v>58.518255558489365</v>
      </c>
      <c r="G67" s="56">
        <f>22.33358455534*Deflactores!$D$5</f>
        <v>67.954467340113112</v>
      </c>
      <c r="H67" s="56">
        <f>21.62871002702*Deflactores!$E$5</f>
        <v>62.380687724859072</v>
      </c>
      <c r="I67" s="56">
        <f>44.53138977466*Deflactores!$F$5</f>
        <v>122.48868147176334</v>
      </c>
      <c r="J67" s="56">
        <f>46.13845432529*Deflactores!$G$5</f>
        <v>121.46974394727046</v>
      </c>
      <c r="K67" s="56">
        <f>28.49453422167*Deflactores!$H$5</f>
        <v>70.976471925781041</v>
      </c>
      <c r="L67" s="56">
        <f>44.8560445389499*Deflactores!$I$5</f>
        <v>103.7675289462248</v>
      </c>
      <c r="M67" s="56">
        <f>44.18754418004*Deflactores!$J$5</f>
        <v>100.21494584365057</v>
      </c>
      <c r="N67" s="56">
        <f>35.22992994866*Deflactores!$K$5</f>
        <v>77.443653815746217</v>
      </c>
      <c r="O67" s="56">
        <f>37.00266176156*Deflactores!$L$5</f>
        <v>78.418137264740082</v>
      </c>
      <c r="P67" s="56">
        <f>42.4254209544599*Deflactores!$M$5</f>
        <v>87.768797133519101</v>
      </c>
      <c r="Q67" s="56">
        <f>44.96291783831*Deflactores!$N$5</f>
        <v>91.248102840411121</v>
      </c>
      <c r="R67" s="56">
        <f>54.6884594046*Deflactores!$O$5</f>
        <v>107.06655816774899</v>
      </c>
      <c r="S67" s="56">
        <f>41.2972567344199*Deflactores!$P$5</f>
        <v>75.723401342064037</v>
      </c>
      <c r="T67" s="56">
        <f>35.0278453277*Deflactores!$Q$5</f>
        <v>60.735408525997848</v>
      </c>
      <c r="U67" s="56">
        <f>64.05267357061*Deflactores!$R$5</f>
        <v>106.69812487905344</v>
      </c>
      <c r="V67" s="56">
        <f>41.36061043726*Deflactores!$S$5</f>
        <v>66.774545622573939</v>
      </c>
    </row>
    <row r="68" spans="3:22" x14ac:dyDescent="0.2">
      <c r="C68" s="88" t="s">
        <v>138</v>
      </c>
      <c r="D68" s="57">
        <f>3.91711488534*Deflactores!$A$5</f>
        <v>14.618342041195978</v>
      </c>
      <c r="E68" s="57">
        <f>4.09519986397*Deflactores!$B$5</f>
        <v>14.197102580313901</v>
      </c>
      <c r="F68" s="57">
        <f>5.52525726338*Deflactores!$C$5</f>
        <v>17.903026904234743</v>
      </c>
      <c r="G68" s="57">
        <f>17.00957829135*Deflactores!$D$5</f>
        <v>51.755096885791595</v>
      </c>
      <c r="H68" s="57">
        <f>25.34981986463*Deflactores!$E$5</f>
        <v>73.112968590424529</v>
      </c>
      <c r="I68" s="57">
        <f>17.8148936322399*Deflactores!$F$5</f>
        <v>49.001902761509733</v>
      </c>
      <c r="J68" s="57">
        <f>38.53041158853*Deflactores!$G$5</f>
        <v>101.43987912651566</v>
      </c>
      <c r="K68" s="57">
        <f>36.11206215059*Deflactores!$H$5</f>
        <v>89.950821637371305</v>
      </c>
      <c r="L68" s="57">
        <f>51.51198866141*Deflactores!$I$5</f>
        <v>119.16502735454081</v>
      </c>
      <c r="M68" s="57">
        <f>32.53208580133*Deflactores!$J$5</f>
        <v>73.781000443875044</v>
      </c>
      <c r="N68" s="57">
        <f>37.64325783754*Deflactores!$K$5</f>
        <v>82.748714877254713</v>
      </c>
      <c r="O68" s="57">
        <f>26.999793958*Deflactores!$L$5</f>
        <v>57.219493082999278</v>
      </c>
      <c r="P68" s="57">
        <f>10*Deflactores!$M$5</f>
        <v>20.687784625102829</v>
      </c>
      <c r="Q68" s="57">
        <f>5*Deflactores!$N$5</f>
        <v>10.147039741565049</v>
      </c>
      <c r="R68" s="57">
        <f>0*Deflactores!$O$5</f>
        <v>0</v>
      </c>
      <c r="S68" s="57">
        <f>0*Deflactores!$P$5</f>
        <v>0</v>
      </c>
      <c r="T68" s="57">
        <f>0*Deflactores!$Q$5</f>
        <v>0</v>
      </c>
      <c r="U68" s="57">
        <f>0*Deflactores!$R$5</f>
        <v>0</v>
      </c>
      <c r="V68" s="57">
        <f>0*Deflactores!$S$5</f>
        <v>0</v>
      </c>
    </row>
    <row r="69" spans="3:22" x14ac:dyDescent="0.2">
      <c r="C69" s="87" t="s">
        <v>139</v>
      </c>
      <c r="D69" s="56">
        <f>64.36264744443*Deflactores!$A$5</f>
        <v>240.19596630695176</v>
      </c>
      <c r="E69" s="56">
        <f>55.61952653211*Deflactores!$B$5</f>
        <v>192.81992329413717</v>
      </c>
      <c r="F69" s="56">
        <f>79.56779913279*Deflactores!$C$5</f>
        <v>257.81685461532049</v>
      </c>
      <c r="G69" s="56">
        <f>67.48878974761*Deflactores!$D$5</f>
        <v>205.34835092699726</v>
      </c>
      <c r="H69" s="56">
        <f>108.46387496175*Deflactores!$E$5</f>
        <v>312.82730708232225</v>
      </c>
      <c r="I69" s="56">
        <f>103.75606151124*Deflactores!$F$5</f>
        <v>285.39291572810549</v>
      </c>
      <c r="J69" s="56">
        <f>114.12112459343*Deflactores!$G$5</f>
        <v>300.4492453432739</v>
      </c>
      <c r="K69" s="56">
        <f>149.89817971907*Deflactores!$H$5</f>
        <v>373.37841221721533</v>
      </c>
      <c r="L69" s="56">
        <f>272.27543562105*Deflactores!$I$5</f>
        <v>629.86715475146298</v>
      </c>
      <c r="M69" s="56">
        <f>306.74790240321*Deflactores!$J$5</f>
        <v>695.68755171682574</v>
      </c>
      <c r="N69" s="56">
        <f>259.9464065344*Deflactores!$K$5</f>
        <v>571.42320599655386</v>
      </c>
      <c r="O69" s="56">
        <f>200.30747241681*Deflactores!$L$5</f>
        <v>424.50294436527372</v>
      </c>
      <c r="P69" s="56">
        <f>253.80679463581*Deflactores!$M$5</f>
        <v>525.07003038133416</v>
      </c>
      <c r="Q69" s="56">
        <f>340.03298142215*Deflactores!$N$5</f>
        <v>690.06563518668122</v>
      </c>
      <c r="R69" s="56">
        <f>332.06259455702*Deflactores!$O$5</f>
        <v>650.09692140792663</v>
      </c>
      <c r="S69" s="56">
        <f>452.827952995599*Deflactores!$P$5</f>
        <v>830.31357371037529</v>
      </c>
      <c r="T69" s="56">
        <f>538.61542109368*Deflactores!$Q$5</f>
        <v>933.91492775199538</v>
      </c>
      <c r="U69" s="56">
        <f>574.6538301149*Deflactores!$R$5</f>
        <v>957.25100467874245</v>
      </c>
      <c r="V69" s="56">
        <f>33.53913998675*Deflactores!$S$5</f>
        <v>54.14719003203124</v>
      </c>
    </row>
    <row r="70" spans="3:22" x14ac:dyDescent="0.2">
      <c r="C70" s="88" t="s">
        <v>140</v>
      </c>
      <c r="D70" s="57">
        <f>7.76798867261*Deflactores!$A$5</f>
        <v>28.989477896942628</v>
      </c>
      <c r="E70" s="57">
        <f>32.89961187753*Deflactores!$B$5</f>
        <v>114.05527939850232</v>
      </c>
      <c r="F70" s="57">
        <f>9.8005457963*Deflactores!$C$5</f>
        <v>31.755885147691515</v>
      </c>
      <c r="G70" s="57">
        <f>7.18372860872999*Deflactores!$D$5</f>
        <v>21.857953429399529</v>
      </c>
      <c r="H70" s="57">
        <f>35.0357179659*Deflactores!$E$5</f>
        <v>101.04866073458416</v>
      </c>
      <c r="I70" s="57">
        <f>215.98553864273*Deflactores!$F$5</f>
        <v>594.09293038437579</v>
      </c>
      <c r="J70" s="57">
        <f>227.957002549829*Deflactores!$G$5</f>
        <v>600.1475154649313</v>
      </c>
      <c r="K70" s="57">
        <f>115.259678674589*Deflactores!$H$5</f>
        <v>287.09805480519469</v>
      </c>
      <c r="L70" s="57">
        <f>235.40005174949*Deflactores!$I$5</f>
        <v>544.5616512763936</v>
      </c>
      <c r="M70" s="57">
        <f>253.58308678879*Deflactores!$J$5</f>
        <v>575.11264273617587</v>
      </c>
      <c r="N70" s="57">
        <f>277.06831678735*Deflactores!$K$5</f>
        <v>609.06118291635096</v>
      </c>
      <c r="O70" s="57">
        <f>468.92564922068*Deflactores!$L$5</f>
        <v>993.77380374687834</v>
      </c>
      <c r="P70" s="57">
        <f>477.40073643226*Deflactores!$M$5</f>
        <v>987.63636151760761</v>
      </c>
      <c r="Q70" s="57">
        <f>449.53578397965*Deflactores!$N$5</f>
        <v>912.2914930594219</v>
      </c>
      <c r="R70" s="57">
        <f>286.1552494147*Deflactores!$O$5</f>
        <v>560.22162609847942</v>
      </c>
      <c r="S70" s="57">
        <f>177.81687981949*Deflactores!$P$5</f>
        <v>326.0482661731441</v>
      </c>
      <c r="T70" s="57">
        <f>235.95637273672*Deflactores!$Q$5</f>
        <v>409.12898176881117</v>
      </c>
      <c r="U70" s="57">
        <f>177.72026931991*Deflactores!$R$5</f>
        <v>296.04415291941075</v>
      </c>
      <c r="V70" s="57">
        <f>220.66633762977*Deflactores!$S$5</f>
        <v>356.25427849467491</v>
      </c>
    </row>
    <row r="71" spans="3:22" x14ac:dyDescent="0.2">
      <c r="C71" s="87" t="s">
        <v>141</v>
      </c>
      <c r="D71" s="56">
        <f>0*Deflactores!$A$5</f>
        <v>0</v>
      </c>
      <c r="E71" s="56">
        <f>0*Deflactores!$B$5</f>
        <v>0</v>
      </c>
      <c r="F71" s="56">
        <f>0*Deflactores!$C$5</f>
        <v>0</v>
      </c>
      <c r="G71" s="56">
        <f>0*Deflactores!$D$5</f>
        <v>0</v>
      </c>
      <c r="H71" s="56">
        <f>0*Deflactores!$E$5</f>
        <v>0</v>
      </c>
      <c r="I71" s="56">
        <f>0*Deflactores!$F$5</f>
        <v>0</v>
      </c>
      <c r="J71" s="56">
        <f>0*Deflactores!$G$5</f>
        <v>0</v>
      </c>
      <c r="K71" s="56">
        <f>1.033709844*Deflactores!$H$5</f>
        <v>2.5748474128863825</v>
      </c>
      <c r="L71" s="56">
        <f>0.786042999*Deflactores!$I$5</f>
        <v>1.8183890374213396</v>
      </c>
      <c r="M71" s="56">
        <f>0.094315157*Deflactores!$J$5</f>
        <v>0.21390164414839502</v>
      </c>
      <c r="N71" s="56">
        <f>0.301809918*Deflactores!$K$5</f>
        <v>0.66344902876083567</v>
      </c>
      <c r="O71" s="56">
        <f>5.441148*Deflactores!$L$5</f>
        <v>11.531189120697931</v>
      </c>
      <c r="P71" s="56">
        <f>0.16075268*Deflactores!$M$5</f>
        <v>0.33256168217480753</v>
      </c>
      <c r="Q71" s="56">
        <f>0.327883872*Deflactores!$N$5</f>
        <v>0.66541013596044563</v>
      </c>
      <c r="R71" s="56">
        <f>2.868343936*Deflactores!$O$5</f>
        <v>5.6155122344335542</v>
      </c>
      <c r="S71" s="56">
        <f>0*Deflactores!$P$5</f>
        <v>0</v>
      </c>
      <c r="T71" s="56">
        <f>0.473329598*Deflactores!$Q$5</f>
        <v>0.82071466951587058</v>
      </c>
      <c r="U71" s="56">
        <f>0*Deflactores!$R$5</f>
        <v>0</v>
      </c>
      <c r="V71" s="56">
        <f>0*Deflactores!$S$5</f>
        <v>0</v>
      </c>
    </row>
    <row r="72" spans="3:22" x14ac:dyDescent="0.2">
      <c r="C72" s="88" t="s">
        <v>142</v>
      </c>
      <c r="D72" s="57">
        <f>1.60707621494*Deflactores!$A$5</f>
        <v>5.9974727532721737</v>
      </c>
      <c r="E72" s="57">
        <f>3.92720358312*Deflactores!$B$5</f>
        <v>13.614698665593478</v>
      </c>
      <c r="F72" s="57">
        <f>4.85115981739999*Deflactores!$C$5</f>
        <v>15.718805584543038</v>
      </c>
      <c r="G72" s="57">
        <f>4.712578767*Deflactores!$D$5</f>
        <v>14.338978103416089</v>
      </c>
      <c r="H72" s="57">
        <f>6.74760077899999*Deflactores!$E$5</f>
        <v>19.461168815013629</v>
      </c>
      <c r="I72" s="57">
        <f>6.88851664572*Deflactores!$F$5</f>
        <v>18.947653003874365</v>
      </c>
      <c r="J72" s="57">
        <f>6.99672734065*Deflactores!$G$5</f>
        <v>18.420441060847786</v>
      </c>
      <c r="K72" s="57">
        <f>8.93850071522*Deflactores!$H$5</f>
        <v>22.26473470796056</v>
      </c>
      <c r="L72" s="57">
        <f>12.90488368072*Deflactores!$I$5</f>
        <v>29.853454638069735</v>
      </c>
      <c r="M72" s="57">
        <f>15.35513065792*Deflactores!$J$5</f>
        <v>34.824600820444111</v>
      </c>
      <c r="N72" s="57">
        <f>22.71480381291*Deflactores!$K$5</f>
        <v>49.932469509395197</v>
      </c>
      <c r="O72" s="57">
        <f>25.4518601440199*Deflactores!$L$5</f>
        <v>53.939024043133465</v>
      </c>
      <c r="P72" s="57">
        <f>27.23400668907*Deflactores!$M$5</f>
        <v>56.341126486208999</v>
      </c>
      <c r="Q72" s="57">
        <f>38.2486069114*Deflactores!$N$5</f>
        <v>77.622026877895095</v>
      </c>
      <c r="R72" s="57">
        <f>16.84911320897*Deflactores!$O$5</f>
        <v>32.986421250539685</v>
      </c>
      <c r="S72" s="57">
        <f>19.13725023883*Deflactores!$P$5</f>
        <v>35.090410235666489</v>
      </c>
      <c r="T72" s="57">
        <f>16.02984097178*Deflactores!$Q$5</f>
        <v>27.794428430284608</v>
      </c>
      <c r="U72" s="57">
        <f>16.43177132524*Deflactores!$R$5</f>
        <v>27.37183463406538</v>
      </c>
      <c r="V72" s="57">
        <f>17.58606328075*Deflactores!$S$5</f>
        <v>28.391780789677018</v>
      </c>
    </row>
    <row r="73" spans="3:22" x14ac:dyDescent="0.2">
      <c r="C73" s="87" t="s">
        <v>143</v>
      </c>
      <c r="D73" s="56">
        <f>0.0585*Deflactores!$A$5</f>
        <v>0.21831706101102441</v>
      </c>
      <c r="E73" s="56">
        <f>0*Deflactores!$B$5</f>
        <v>0</v>
      </c>
      <c r="F73" s="56">
        <f>0*Deflactores!$C$5</f>
        <v>0</v>
      </c>
      <c r="G73" s="56">
        <f>0*Deflactores!$D$5</f>
        <v>0</v>
      </c>
      <c r="H73" s="56">
        <f>51.62513713616*Deflactores!$E$5</f>
        <v>148.89522095495633</v>
      </c>
      <c r="I73" s="56">
        <f>8.41141910152*Deflactores!$F$5</f>
        <v>23.136570411684517</v>
      </c>
      <c r="J73" s="56">
        <f>0*Deflactores!$G$5</f>
        <v>0</v>
      </c>
      <c r="K73" s="56">
        <f>0*Deflactores!$H$5</f>
        <v>0</v>
      </c>
      <c r="L73" s="56">
        <f>0*Deflactores!$I$5</f>
        <v>0</v>
      </c>
      <c r="M73" s="56">
        <f>0*Deflactores!$J$5</f>
        <v>0</v>
      </c>
      <c r="N73" s="56">
        <f>0*Deflactores!$K$5</f>
        <v>0</v>
      </c>
      <c r="O73" s="56">
        <f>0*Deflactores!$L$5</f>
        <v>0</v>
      </c>
      <c r="P73" s="56">
        <f>1.837994*Deflactores!$M$5</f>
        <v>3.8024024014231248</v>
      </c>
      <c r="Q73" s="56">
        <f>3.565116884*Deflactores!$N$5</f>
        <v>7.2350765410545108</v>
      </c>
      <c r="R73" s="56">
        <f>11.10531429688*Deflactores!$O$5</f>
        <v>21.741475113450097</v>
      </c>
      <c r="S73" s="56">
        <f>0.260502065*Deflactores!$P$5</f>
        <v>0.47766132615754103</v>
      </c>
      <c r="T73" s="56">
        <f>11.80826940417*Deflactores!$Q$5</f>
        <v>20.474569861143031</v>
      </c>
      <c r="U73" s="56">
        <f>20.3188699500599*Deflactores!$R$5</f>
        <v>33.84691383635699</v>
      </c>
      <c r="V73" s="56">
        <f>56.06953242524*Deflactores!$S$5</f>
        <v>90.521332044769636</v>
      </c>
    </row>
    <row r="74" spans="3:22" x14ac:dyDescent="0.2">
      <c r="C74" s="88" t="s">
        <v>144</v>
      </c>
      <c r="D74" s="57">
        <f>0*Deflactores!$A$5</f>
        <v>0</v>
      </c>
      <c r="E74" s="57">
        <f>0*Deflactores!$B$5</f>
        <v>0</v>
      </c>
      <c r="F74" s="57">
        <f>0*Deflactores!$C$5</f>
        <v>0</v>
      </c>
      <c r="G74" s="57">
        <f>0*Deflactores!$D$5</f>
        <v>0</v>
      </c>
      <c r="H74" s="57">
        <f>0*Deflactores!$E$5</f>
        <v>0</v>
      </c>
      <c r="I74" s="57">
        <f>0*Deflactores!$F$5</f>
        <v>0</v>
      </c>
      <c r="J74" s="57">
        <f>0*Deflactores!$G$5</f>
        <v>0</v>
      </c>
      <c r="K74" s="57">
        <f>0*Deflactores!$H$5</f>
        <v>0</v>
      </c>
      <c r="L74" s="57">
        <f>0*Deflactores!$I$5</f>
        <v>0</v>
      </c>
      <c r="M74" s="57">
        <f>0*Deflactores!$J$5</f>
        <v>0</v>
      </c>
      <c r="N74" s="57">
        <f>0*Deflactores!$K$5</f>
        <v>0</v>
      </c>
      <c r="O74" s="57">
        <f>0*Deflactores!$L$5</f>
        <v>0</v>
      </c>
      <c r="P74" s="57">
        <f>0*Deflactores!$M$5</f>
        <v>0</v>
      </c>
      <c r="Q74" s="57">
        <f>0*Deflactores!$N$5</f>
        <v>0</v>
      </c>
      <c r="R74" s="57">
        <f>0*Deflactores!$O$5</f>
        <v>0</v>
      </c>
      <c r="S74" s="57">
        <f>0*Deflactores!$P$5</f>
        <v>0</v>
      </c>
      <c r="T74" s="57">
        <f>0*Deflactores!$Q$5</f>
        <v>0</v>
      </c>
      <c r="U74" s="57">
        <f>0*Deflactores!$R$5</f>
        <v>0</v>
      </c>
      <c r="V74" s="57">
        <f>0*Deflactores!$S$5</f>
        <v>0</v>
      </c>
    </row>
    <row r="75" spans="3:22" x14ac:dyDescent="0.2">
      <c r="C75" s="87" t="s">
        <v>145</v>
      </c>
      <c r="D75" s="56">
        <f>1.76845274115*Deflactores!$A$5</f>
        <v>6.5997163245257759</v>
      </c>
      <c r="E75" s="56">
        <f>0.326138672*Deflactores!$B$5</f>
        <v>1.1306466926140895</v>
      </c>
      <c r="F75" s="56">
        <f>3.759734354*Deflactores!$C$5</f>
        <v>12.1823513519552</v>
      </c>
      <c r="G75" s="56">
        <f>9.785214233*Deflactores!$D$5</f>
        <v>29.773501847172934</v>
      </c>
      <c r="H75" s="56">
        <f>12.930728134*Deflactores!$E$5</f>
        <v>37.294305244021103</v>
      </c>
      <c r="I75" s="56">
        <f>1.490787856*Deflactores!$F$5</f>
        <v>4.100582527506603</v>
      </c>
      <c r="J75" s="56">
        <f>13.85200792581*Deflactores!$G$5</f>
        <v>36.46849207476405</v>
      </c>
      <c r="K75" s="56">
        <f>15.71872646964*Deflactores!$H$5</f>
        <v>39.153464987435349</v>
      </c>
      <c r="L75" s="56">
        <f>10.802639176*Deflactores!$I$5</f>
        <v>24.990236765478389</v>
      </c>
      <c r="M75" s="56">
        <f>15.474536848*Deflactores!$J$5</f>
        <v>35.095407562351006</v>
      </c>
      <c r="N75" s="56">
        <f>15.636954889*Deflactores!$K$5</f>
        <v>34.373696539303424</v>
      </c>
      <c r="O75" s="56">
        <f>18.55610505966*Deflactores!$L$5</f>
        <v>39.325149175592948</v>
      </c>
      <c r="P75" s="56">
        <f>19.9258681739199*Deflactores!$M$5</f>
        <v>41.222206925024587</v>
      </c>
      <c r="Q75" s="56">
        <f>14.1210694408299*Deflactores!$N$5</f>
        <v>28.657410561900146</v>
      </c>
      <c r="R75" s="56">
        <f>21.09960034907*Deflactores!$O$5</f>
        <v>41.307830073924947</v>
      </c>
      <c r="S75" s="56">
        <f>30.03196868271*Deflactores!$P$5</f>
        <v>55.06716420119357</v>
      </c>
      <c r="T75" s="56">
        <f>47.216400572*Deflactores!$Q$5</f>
        <v>81.869362818037715</v>
      </c>
      <c r="U75" s="56">
        <f>43.530558076*Deflactores!$R$5</f>
        <v>72.512647212576042</v>
      </c>
      <c r="V75" s="56">
        <f>47.9328995984*Deflactores!$S$5</f>
        <v>77.3851632560105</v>
      </c>
    </row>
    <row r="76" spans="3:22" x14ac:dyDescent="0.2">
      <c r="C76" s="88" t="s">
        <v>146</v>
      </c>
      <c r="D76" s="57">
        <f>3.22159064087999*Deflactores!$A$5</f>
        <v>12.022704282009265</v>
      </c>
      <c r="E76" s="57">
        <f>4.51765405322999*Deflactores!$B$5</f>
        <v>15.661652702317753</v>
      </c>
      <c r="F76" s="57">
        <f>1.57433331087*Deflactores!$C$5</f>
        <v>5.1011799590842184</v>
      </c>
      <c r="G76" s="57">
        <f>2.73446456904*Deflactores!$D$5</f>
        <v>8.3201638675192182</v>
      </c>
      <c r="H76" s="57">
        <f>0.95751653006*Deflactores!$E$5</f>
        <v>2.7616320889430854</v>
      </c>
      <c r="I76" s="57">
        <f>3.37464939781*Deflactores!$F$5</f>
        <v>9.282359191098994</v>
      </c>
      <c r="J76" s="57">
        <f>3.90773503727*Deflactores!$G$5</f>
        <v>10.287981713569916</v>
      </c>
      <c r="K76" s="57">
        <f>4.07851416467*Deflactores!$H$5</f>
        <v>10.159090296252431</v>
      </c>
      <c r="L76" s="57">
        <f>2.74858777098*Deflactores!$I$5</f>
        <v>6.3584331614158778</v>
      </c>
      <c r="M76" s="57">
        <f>3.44213520779*Deflactores!$J$5</f>
        <v>7.8065753559351903</v>
      </c>
      <c r="N76" s="57">
        <f>8.01837743081*Deflactores!$K$5</f>
        <v>17.626275352252339</v>
      </c>
      <c r="O76" s="57">
        <f>9.11835063947728*Deflactores!$L$5</f>
        <v>19.324125293531701</v>
      </c>
      <c r="P76" s="57">
        <f>56.0279819934679*Deflactores!$M$5</f>
        <v>115.90948244600034</v>
      </c>
      <c r="Q76" s="57">
        <f>44.4904725145049*Deflactores!$N$5</f>
        <v>90.289318545137746</v>
      </c>
      <c r="R76" s="57">
        <f>11.6096626035154*Deflactores!$O$5</f>
        <v>22.728865102070671</v>
      </c>
      <c r="S76" s="57">
        <f>38.2573618978981*Deflactores!$P$5</f>
        <v>70.149394859649149</v>
      </c>
      <c r="T76" s="57">
        <f>23.93139742884*Deflactores!$Q$5</f>
        <v>41.495078724959377</v>
      </c>
      <c r="U76" s="57">
        <f>44.34971060323*Deflactores!$R$5</f>
        <v>73.877181021598531</v>
      </c>
      <c r="V76" s="57">
        <f>14.92384023755*Deflactores!$S$5</f>
        <v>24.093760712693779</v>
      </c>
    </row>
    <row r="77" spans="3:22" x14ac:dyDescent="0.2">
      <c r="C77" s="90" t="s">
        <v>147</v>
      </c>
      <c r="D77" s="58">
        <f>392.71643165858*Deflactores!$A$5</f>
        <v>1465.5845670160343</v>
      </c>
      <c r="E77" s="58">
        <f>622.1630436247*Deflactores!$B$5</f>
        <v>2156.8941310369428</v>
      </c>
      <c r="F77" s="58">
        <f>540.48506314996*Deflactores!$C$5</f>
        <v>1751.2883410955226</v>
      </c>
      <c r="G77" s="58">
        <f>601.932012280869*Deflactores!$D$5</f>
        <v>1831.5004099836121</v>
      </c>
      <c r="H77" s="58">
        <f>787.98172753258*Deflactores!$E$5</f>
        <v>2272.6663780085551</v>
      </c>
      <c r="I77" s="58">
        <f>813.61997882011*Deflactores!$F$5</f>
        <v>2237.9548208367182</v>
      </c>
      <c r="J77" s="58">
        <f>998.49381883022*Deflactores!$G$5</f>
        <v>2628.7570808317655</v>
      </c>
      <c r="K77" s="58">
        <f>1079.94963227449*Deflactores!$H$5</f>
        <v>2690.0251872899557</v>
      </c>
      <c r="L77" s="58">
        <f>1248.53457846822*Deflactores!$I$5</f>
        <v>2888.2918532655035</v>
      </c>
      <c r="M77" s="58">
        <f>1449.33358765908*Deflactores!$J$5</f>
        <v>3287.0097148835707</v>
      </c>
      <c r="N77" s="58">
        <f>1895.90294676126*Deflactores!$K$5</f>
        <v>4167.6396090255857</v>
      </c>
      <c r="O77" s="58">
        <f>1748.19022975657*Deflactores!$L$5</f>
        <v>3704.8637821061616</v>
      </c>
      <c r="P77" s="58">
        <f>2088.11680896278*Deflactores!$M$5</f>
        <v>4319.8510815878981</v>
      </c>
      <c r="Q77" s="58">
        <f>2240.35116434672*Deflactores!$N$5</f>
        <v>4546.58645993754</v>
      </c>
      <c r="R77" s="58">
        <f>919.666933867093*Deflactores!$O$5</f>
        <v>1800.4817532225868</v>
      </c>
      <c r="S77" s="58">
        <f>1436.31079481222*Deflactores!$P$5</f>
        <v>2633.6456067033355</v>
      </c>
      <c r="T77" s="58">
        <f>1710.49589793522*Deflactores!$Q$5</f>
        <v>2965.8594803998635</v>
      </c>
      <c r="U77" s="58">
        <f>1758.58825164283*Deflactores!$R$5</f>
        <v>2929.4338303892282</v>
      </c>
      <c r="V77" s="58">
        <f>1551.01281285828*Deflactores!$S$5</f>
        <v>2504.0291895716759</v>
      </c>
    </row>
    <row r="78" spans="3:22" ht="22.5" customHeight="1" x14ac:dyDescent="0.2">
      <c r="C78" s="89" t="s">
        <v>148</v>
      </c>
      <c r="D78" s="59">
        <f>0*Deflactores!$A$5</f>
        <v>0</v>
      </c>
      <c r="E78" s="59">
        <f>0*Deflactores!$B$5</f>
        <v>0</v>
      </c>
      <c r="F78" s="59">
        <f>0*Deflactores!$C$5</f>
        <v>0</v>
      </c>
      <c r="G78" s="59">
        <f>0*Deflactores!$D$5</f>
        <v>0</v>
      </c>
      <c r="H78" s="59">
        <f>0*Deflactores!$E$5</f>
        <v>0</v>
      </c>
      <c r="I78" s="59">
        <f>0*Deflactores!$F$5</f>
        <v>0</v>
      </c>
      <c r="J78" s="59">
        <f>0*Deflactores!$G$5</f>
        <v>0</v>
      </c>
      <c r="K78" s="59">
        <f>0*Deflactores!$H$5</f>
        <v>0</v>
      </c>
      <c r="L78" s="59">
        <f>0*Deflactores!$I$5</f>
        <v>0</v>
      </c>
      <c r="M78" s="59">
        <f>0*Deflactores!$J$5</f>
        <v>0</v>
      </c>
      <c r="N78" s="59">
        <f>0*Deflactores!$K$5</f>
        <v>0</v>
      </c>
      <c r="O78" s="59">
        <f>0*Deflactores!$L$5</f>
        <v>0</v>
      </c>
      <c r="P78" s="59">
        <f>0*Deflactores!$M$5</f>
        <v>0</v>
      </c>
      <c r="Q78" s="59">
        <f>0*Deflactores!$N$5</f>
        <v>0</v>
      </c>
      <c r="R78" s="59">
        <f>0*Deflactores!$O$5</f>
        <v>0</v>
      </c>
      <c r="S78" s="59">
        <f>0*Deflactores!$P$5</f>
        <v>0</v>
      </c>
      <c r="T78" s="59">
        <f>0*Deflactores!$Q$5</f>
        <v>0</v>
      </c>
      <c r="U78" s="59">
        <f>0*Deflactores!$R$5</f>
        <v>0</v>
      </c>
      <c r="V78" s="59">
        <f>0*Deflactores!$S$5</f>
        <v>0</v>
      </c>
    </row>
    <row r="79" spans="3:22" x14ac:dyDescent="0.2">
      <c r="C79" s="87" t="s">
        <v>149</v>
      </c>
      <c r="D79" s="56">
        <f>93.52866373272*Deflactores!$A$5</f>
        <v>349.04107669086869</v>
      </c>
      <c r="E79" s="56">
        <f>115.96637658264*Deflactores!$B$5</f>
        <v>402.02837441369695</v>
      </c>
      <c r="F79" s="56">
        <f>125.12196392347*Deflactores!$C$5</f>
        <v>405.42218753851205</v>
      </c>
      <c r="G79" s="56">
        <f>62.0709848533*Deflactores!$D$5</f>
        <v>188.8635790878316</v>
      </c>
      <c r="H79" s="56">
        <f>114.00994420229*Deflactores!$E$5</f>
        <v>328.82306517248884</v>
      </c>
      <c r="I79" s="56">
        <f>131.9639349544*Deflactores!$F$5</f>
        <v>362.98189830104877</v>
      </c>
      <c r="J79" s="56">
        <f>168.87974848564*Deflactores!$G$5</f>
        <v>444.6135031269535</v>
      </c>
      <c r="K79" s="56">
        <f>289.82214956312*Deflactores!$H$5</f>
        <v>721.91226225738615</v>
      </c>
      <c r="L79" s="56">
        <f>380.62791087475*Deflactores!$I$5</f>
        <v>880.52386619021604</v>
      </c>
      <c r="M79" s="56">
        <f>552.24022622899*Deflactores!$J$5</f>
        <v>1252.4507842918883</v>
      </c>
      <c r="N79" s="56">
        <f>615.30212216*Deflactores!$K$5</f>
        <v>1352.5784641097614</v>
      </c>
      <c r="O79" s="56">
        <f>706.63294722487*Deflactores!$L$5</f>
        <v>1497.5365774586789</v>
      </c>
      <c r="P79" s="56">
        <f>777.95317929196*Deflactores!$M$5</f>
        <v>1609.4127821606075</v>
      </c>
      <c r="Q79" s="56">
        <f>985.797221949282*Deflactores!$N$5</f>
        <v>2000.5847176487571</v>
      </c>
      <c r="R79" s="56">
        <f>1438.40911885927*Deflactores!$O$5</f>
        <v>2816.0514168810678</v>
      </c>
      <c r="S79" s="56">
        <f>1074.98519337358*Deflactores!$P$5</f>
        <v>1971.1124096714736</v>
      </c>
      <c r="T79" s="56">
        <f>1053.64491435101*Deflactores!$Q$5</f>
        <v>1826.9337926944236</v>
      </c>
      <c r="U79" s="56">
        <f>1107.18191374212*Deflactores!$R$5</f>
        <v>1844.3294793316941</v>
      </c>
      <c r="V79" s="56">
        <f>953.58440473304*Deflactores!$S$5</f>
        <v>1539.5122234815753</v>
      </c>
    </row>
    <row r="80" spans="3:22" x14ac:dyDescent="0.2">
      <c r="C80" s="88" t="s">
        <v>150</v>
      </c>
      <c r="D80" s="57">
        <f>298.70572025942*Deflactores!$A$5</f>
        <v>1114.7445291319279</v>
      </c>
      <c r="E80" s="57">
        <f>587.121851577179*Deflactores!$B$5</f>
        <v>2035.4144927872819</v>
      </c>
      <c r="F80" s="57">
        <f>679.63517038258*Deflactores!$C$5</f>
        <v>2202.164742819627</v>
      </c>
      <c r="G80" s="57">
        <f>578.35788781344*Deflactores!$D$5</f>
        <v>1759.7713479862341</v>
      </c>
      <c r="H80" s="57">
        <f>527.75736763164*Deflactores!$E$5</f>
        <v>1522.1373583350478</v>
      </c>
      <c r="I80" s="57">
        <f>409.918353258159*Deflactores!$F$5</f>
        <v>1127.5273207448815</v>
      </c>
      <c r="J80" s="57">
        <f>617.20371751977*Deflactores!$G$5</f>
        <v>1624.9260758034436</v>
      </c>
      <c r="K80" s="57">
        <f>580.67927455963*Deflactores!$H$5</f>
        <v>1446.4025243592482</v>
      </c>
      <c r="L80" s="57">
        <f>586.86608809909*Deflactores!$I$5</f>
        <v>1357.6240261555099</v>
      </c>
      <c r="M80" s="57">
        <f>668.63008800732*Deflactores!$J$5</f>
        <v>1516.4166577366966</v>
      </c>
      <c r="N80" s="57">
        <f>678.17253983387*Deflactores!$K$5</f>
        <v>1490.7823966376418</v>
      </c>
      <c r="O80" s="57">
        <f>522.794461012339*Deflactores!$L$5</f>
        <v>1107.935641740791</v>
      </c>
      <c r="P80" s="57">
        <f>767.06311900422*Deflactores!$M$5</f>
        <v>1586.8836599818924</v>
      </c>
      <c r="Q80" s="57">
        <f>773.220525703551*Deflactores!$N$5</f>
        <v>1569.1798806615502</v>
      </c>
      <c r="R80" s="57">
        <f>1051.37426015401*Deflactores!$O$5</f>
        <v>2058.3323173917206</v>
      </c>
      <c r="S80" s="57">
        <f>1149.5680926332*Deflactores!$P$5</f>
        <v>2107.8689707721483</v>
      </c>
      <c r="T80" s="57">
        <f>1185.76604587685*Deflactores!$Q$5</f>
        <v>2056.0209895535827</v>
      </c>
      <c r="U80" s="57">
        <f>1687.66088474946*Deflactores!$R$5</f>
        <v>2811.2839292490567</v>
      </c>
      <c r="V80" s="57">
        <f>1341.12715366985*Deflactores!$S$5</f>
        <v>2165.1797534333664</v>
      </c>
    </row>
    <row r="81" spans="3:22" x14ac:dyDescent="0.2">
      <c r="C81" s="87" t="s">
        <v>151</v>
      </c>
      <c r="D81" s="56">
        <f>3.071935497*Deflactores!$A$5</f>
        <v>11.464203920008215</v>
      </c>
      <c r="E81" s="56">
        <f>19.390758745*Deflactores!$B$5</f>
        <v>67.223236998745065</v>
      </c>
      <c r="F81" s="56">
        <f>4.212960129*Deflactores!$C$5</f>
        <v>13.65090075277603</v>
      </c>
      <c r="G81" s="56">
        <f>0*Deflactores!$D$5</f>
        <v>0</v>
      </c>
      <c r="H81" s="56">
        <f>0*Deflactores!$E$5</f>
        <v>0</v>
      </c>
      <c r="I81" s="56">
        <f>79.6222639375899*Deflactores!$F$5</f>
        <v>219.01014486329453</v>
      </c>
      <c r="J81" s="56">
        <f>0.12052760618*Deflactores!$G$5</f>
        <v>0.31731573316354328</v>
      </c>
      <c r="K81" s="56">
        <f>0*Deflactores!$H$5</f>
        <v>0</v>
      </c>
      <c r="L81" s="56">
        <f>0*Deflactores!$I$5</f>
        <v>0</v>
      </c>
      <c r="M81" s="56">
        <f>0*Deflactores!$J$5</f>
        <v>0</v>
      </c>
      <c r="N81" s="56">
        <f>0*Deflactores!$K$5</f>
        <v>0</v>
      </c>
      <c r="O81" s="56">
        <f>0*Deflactores!$L$5</f>
        <v>0</v>
      </c>
      <c r="P81" s="56">
        <f>0*Deflactores!$M$5</f>
        <v>0</v>
      </c>
      <c r="Q81" s="56">
        <f>0*Deflactores!$N$5</f>
        <v>0</v>
      </c>
      <c r="R81" s="56">
        <f>0*Deflactores!$O$5</f>
        <v>0</v>
      </c>
      <c r="S81" s="56">
        <f>0*Deflactores!$P$5</f>
        <v>0</v>
      </c>
      <c r="T81" s="56">
        <f>0*Deflactores!$Q$5</f>
        <v>0</v>
      </c>
      <c r="U81" s="56">
        <f>0*Deflactores!$R$5</f>
        <v>0</v>
      </c>
      <c r="V81" s="56">
        <f>0*Deflactores!$S$5</f>
        <v>0</v>
      </c>
    </row>
    <row r="82" spans="3:22" x14ac:dyDescent="0.2">
      <c r="C82" s="79" t="s">
        <v>202</v>
      </c>
      <c r="D82" s="44">
        <f t="shared" ref="D82:V82" si="1">+SUM(D53:D81)</f>
        <v>6780.5205552470079</v>
      </c>
      <c r="E82" s="44">
        <f t="shared" si="1"/>
        <v>8474.2477948143132</v>
      </c>
      <c r="F82" s="44">
        <f t="shared" si="1"/>
        <v>8460.3555975423096</v>
      </c>
      <c r="G82" s="44">
        <f t="shared" si="1"/>
        <v>7890.8745740732656</v>
      </c>
      <c r="H82" s="44">
        <f t="shared" si="1"/>
        <v>8734.9271337953396</v>
      </c>
      <c r="I82" s="44">
        <f t="shared" si="1"/>
        <v>9030.155535504653</v>
      </c>
      <c r="J82" s="44">
        <f t="shared" si="1"/>
        <v>10523.069928376503</v>
      </c>
      <c r="K82" s="44">
        <f t="shared" si="1"/>
        <v>11406.529024125972</v>
      </c>
      <c r="L82" s="44">
        <f t="shared" si="1"/>
        <v>13112.283738411868</v>
      </c>
      <c r="M82" s="44">
        <f t="shared" si="1"/>
        <v>15843.547656750641</v>
      </c>
      <c r="N82" s="44">
        <f t="shared" si="1"/>
        <v>14885.611055749076</v>
      </c>
      <c r="O82" s="44">
        <f t="shared" si="1"/>
        <v>14348.096164750852</v>
      </c>
      <c r="P82" s="44">
        <f t="shared" si="1"/>
        <v>15748.07680821565</v>
      </c>
      <c r="Q82" s="44">
        <f t="shared" si="1"/>
        <v>17326.209618232861</v>
      </c>
      <c r="R82" s="44">
        <f t="shared" si="1"/>
        <v>11086.052913175939</v>
      </c>
      <c r="S82" s="44">
        <f t="shared" si="1"/>
        <v>11200.961204145606</v>
      </c>
      <c r="T82" s="44">
        <f t="shared" si="1"/>
        <v>13185.505463710049</v>
      </c>
      <c r="U82" s="44">
        <f t="shared" si="1"/>
        <v>14286.476727796651</v>
      </c>
      <c r="V82" s="44">
        <f t="shared" si="1"/>
        <v>11804.960245018738</v>
      </c>
    </row>
    <row r="83" spans="3:22" x14ac:dyDescent="0.2">
      <c r="C83" s="1" t="s">
        <v>52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3:22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3:22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3:22" x14ac:dyDescent="0.2"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3:22" ht="18" customHeight="1" x14ac:dyDescent="0.2">
      <c r="C87" s="9"/>
      <c r="D87" s="164" t="s">
        <v>220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</row>
    <row r="88" spans="3:22" ht="1.5" customHeight="1" x14ac:dyDescent="0.2">
      <c r="H88" s="27"/>
      <c r="I88" s="27"/>
      <c r="J88" s="27"/>
      <c r="L88" s="179"/>
      <c r="M88" s="160"/>
      <c r="N88" s="160"/>
      <c r="O88" s="160"/>
      <c r="P88" s="160"/>
      <c r="Q88" s="160"/>
      <c r="R88" s="28"/>
      <c r="S88" s="28"/>
      <c r="T88" s="28"/>
      <c r="U88" s="28"/>
      <c r="V88" s="28"/>
    </row>
    <row r="89" spans="3:22" x14ac:dyDescent="0.2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3:22" x14ac:dyDescent="0.2">
      <c r="C90" s="181" t="s">
        <v>120</v>
      </c>
      <c r="D90" s="155">
        <v>2000</v>
      </c>
      <c r="E90" s="155">
        <v>2001</v>
      </c>
      <c r="F90" s="155">
        <v>2002</v>
      </c>
      <c r="G90" s="155">
        <v>2003</v>
      </c>
      <c r="H90" s="155">
        <v>2004</v>
      </c>
      <c r="I90" s="155">
        <v>2005</v>
      </c>
      <c r="J90" s="155">
        <v>2006</v>
      </c>
      <c r="K90" s="155">
        <v>2007</v>
      </c>
      <c r="L90" s="155">
        <v>2008</v>
      </c>
      <c r="M90" s="155">
        <v>2009</v>
      </c>
      <c r="N90" s="155">
        <v>2010</v>
      </c>
      <c r="O90" s="155">
        <v>2011</v>
      </c>
      <c r="P90" s="155">
        <v>2012</v>
      </c>
      <c r="Q90" s="155">
        <v>2013</v>
      </c>
      <c r="R90" s="155">
        <v>2014</v>
      </c>
      <c r="S90" s="155">
        <v>2015</v>
      </c>
      <c r="T90" s="155">
        <v>2016</v>
      </c>
      <c r="U90" s="155">
        <v>2017</v>
      </c>
      <c r="V90" s="155">
        <v>2018</v>
      </c>
    </row>
    <row r="91" spans="3:22" ht="12" customHeight="1" thickBot="1" x14ac:dyDescent="0.25">
      <c r="C91" s="162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</row>
    <row r="92" spans="3:22" x14ac:dyDescent="0.2">
      <c r="C92" s="87" t="s">
        <v>123</v>
      </c>
      <c r="D92" s="60">
        <f t="shared" ref="D92:V92" si="2">+IFERROR(IF(D53&gt;0,+((D53/D13)*100)," "),"")</f>
        <v>69.631520697061347</v>
      </c>
      <c r="E92" s="60">
        <f t="shared" si="2"/>
        <v>85.701976599977627</v>
      </c>
      <c r="F92" s="60">
        <f t="shared" si="2"/>
        <v>94.524611214477559</v>
      </c>
      <c r="G92" s="60">
        <f t="shared" si="2"/>
        <v>96.262472931134937</v>
      </c>
      <c r="H92" s="60">
        <f t="shared" si="2"/>
        <v>96.319845726544827</v>
      </c>
      <c r="I92" s="60">
        <f t="shared" si="2"/>
        <v>95.233899324466179</v>
      </c>
      <c r="J92" s="60">
        <f t="shared" si="2"/>
        <v>93.617747343013136</v>
      </c>
      <c r="K92" s="60">
        <f t="shared" si="2"/>
        <v>93.633127208289878</v>
      </c>
      <c r="L92" s="60">
        <f t="shared" si="2"/>
        <v>95.795032429668254</v>
      </c>
      <c r="M92" s="60">
        <f t="shared" si="2"/>
        <v>77.039129969375281</v>
      </c>
      <c r="N92" s="60">
        <f t="shared" si="2"/>
        <v>82.429603184657026</v>
      </c>
      <c r="O92" s="60">
        <f t="shared" si="2"/>
        <v>87.413237439108727</v>
      </c>
      <c r="P92" s="60">
        <f t="shared" si="2"/>
        <v>90.822705254782392</v>
      </c>
      <c r="Q92" s="60">
        <f t="shared" si="2"/>
        <v>79.583381850986953</v>
      </c>
      <c r="R92" s="60">
        <f t="shared" si="2"/>
        <v>94.746954181628524</v>
      </c>
      <c r="S92" s="60">
        <f t="shared" si="2"/>
        <v>79.460596044579617</v>
      </c>
      <c r="T92" s="60">
        <f t="shared" si="2"/>
        <v>98.029021062400588</v>
      </c>
      <c r="U92" s="60">
        <f t="shared" si="2"/>
        <v>96.266662422101092</v>
      </c>
      <c r="V92" s="60">
        <f t="shared" si="2"/>
        <v>87.784339393608661</v>
      </c>
    </row>
    <row r="93" spans="3:22" x14ac:dyDescent="0.2">
      <c r="C93" s="88" t="s">
        <v>124</v>
      </c>
      <c r="D93" s="62">
        <f t="shared" ref="D93:V93" si="3">+IFERROR(IF(D54&gt;0,+((D54/D14)*100)," "),"")</f>
        <v>53.361684791619211</v>
      </c>
      <c r="E93" s="62">
        <f t="shared" si="3"/>
        <v>34.503811298701301</v>
      </c>
      <c r="F93" s="62">
        <f t="shared" si="3"/>
        <v>84.451773904057646</v>
      </c>
      <c r="G93" s="62">
        <f t="shared" si="3"/>
        <v>78.540960771617733</v>
      </c>
      <c r="H93" s="62">
        <f t="shared" si="3"/>
        <v>76.045622603116342</v>
      </c>
      <c r="I93" s="62">
        <f t="shared" si="3"/>
        <v>73.492735641343415</v>
      </c>
      <c r="J93" s="62">
        <f t="shared" si="3"/>
        <v>79.736118342793333</v>
      </c>
      <c r="K93" s="62">
        <f t="shared" si="3"/>
        <v>86.472704414794947</v>
      </c>
      <c r="L93" s="62">
        <f t="shared" si="3"/>
        <v>76.563498641025646</v>
      </c>
      <c r="M93" s="62">
        <f t="shared" si="3"/>
        <v>82.740355725125468</v>
      </c>
      <c r="N93" s="62">
        <f t="shared" si="3"/>
        <v>80.94125868101591</v>
      </c>
      <c r="O93" s="62">
        <f t="shared" si="3"/>
        <v>88.506703864656942</v>
      </c>
      <c r="P93" s="62">
        <f t="shared" si="3"/>
        <v>89.525870169050677</v>
      </c>
      <c r="Q93" s="62">
        <f t="shared" si="3"/>
        <v>75.554611097893371</v>
      </c>
      <c r="R93" s="62">
        <f t="shared" si="3"/>
        <v>93.611103885980285</v>
      </c>
      <c r="S93" s="62">
        <f t="shared" si="3"/>
        <v>85.24599710992571</v>
      </c>
      <c r="T93" s="62">
        <f t="shared" si="3"/>
        <v>89.057957188380499</v>
      </c>
      <c r="U93" s="62">
        <f t="shared" si="3"/>
        <v>96.799758147128827</v>
      </c>
      <c r="V93" s="62">
        <f t="shared" si="3"/>
        <v>97.499444342931284</v>
      </c>
    </row>
    <row r="94" spans="3:22" x14ac:dyDescent="0.2">
      <c r="C94" s="87" t="s">
        <v>125</v>
      </c>
      <c r="D94" s="60">
        <f t="shared" ref="D94:V94" si="4">+IFERROR(IF(D55&gt;0,+((D55/D15)*100)," "),"")</f>
        <v>99.9544638066115</v>
      </c>
      <c r="E94" s="60">
        <f t="shared" si="4"/>
        <v>99.32493650859675</v>
      </c>
      <c r="F94" s="60">
        <f t="shared" si="4"/>
        <v>99.23611747185231</v>
      </c>
      <c r="G94" s="60">
        <f t="shared" si="4"/>
        <v>99.614476273437475</v>
      </c>
      <c r="H94" s="60">
        <f t="shared" si="4"/>
        <v>99.996029607484331</v>
      </c>
      <c r="I94" s="60">
        <f t="shared" si="4"/>
        <v>99.880974061789374</v>
      </c>
      <c r="J94" s="60">
        <f t="shared" si="4"/>
        <v>99.030238115857045</v>
      </c>
      <c r="K94" s="60">
        <f t="shared" si="4"/>
        <v>95.944795188691543</v>
      </c>
      <c r="L94" s="60">
        <f t="shared" si="4"/>
        <v>96.877201675762819</v>
      </c>
      <c r="M94" s="60">
        <f t="shared" si="4"/>
        <v>98.310529827050701</v>
      </c>
      <c r="N94" s="60" t="str">
        <f t="shared" si="4"/>
        <v xml:space="preserve"> </v>
      </c>
      <c r="O94" s="60" t="str">
        <f t="shared" si="4"/>
        <v xml:space="preserve"> </v>
      </c>
      <c r="P94" s="60" t="str">
        <f t="shared" si="4"/>
        <v xml:space="preserve"> </v>
      </c>
      <c r="Q94" s="60" t="str">
        <f t="shared" si="4"/>
        <v xml:space="preserve"> </v>
      </c>
      <c r="R94" s="60" t="str">
        <f t="shared" si="4"/>
        <v xml:space="preserve"> </v>
      </c>
      <c r="S94" s="60" t="str">
        <f t="shared" si="4"/>
        <v xml:space="preserve"> </v>
      </c>
      <c r="T94" s="60" t="str">
        <f t="shared" si="4"/>
        <v xml:space="preserve"> </v>
      </c>
      <c r="U94" s="60" t="str">
        <f t="shared" si="4"/>
        <v xml:space="preserve"> </v>
      </c>
      <c r="V94" s="60" t="str">
        <f t="shared" si="4"/>
        <v xml:space="preserve"> </v>
      </c>
    </row>
    <row r="95" spans="3:22" x14ac:dyDescent="0.2">
      <c r="C95" s="88" t="s">
        <v>126</v>
      </c>
      <c r="D95" s="62">
        <f t="shared" ref="D95:V95" si="5">+IFERROR(IF(D56&gt;0,+((D56/D16)*100)," "),"")</f>
        <v>99.980068814032748</v>
      </c>
      <c r="E95" s="62">
        <f t="shared" si="5"/>
        <v>14.542851300000001</v>
      </c>
      <c r="F95" s="62">
        <f t="shared" si="5"/>
        <v>17.66110205522703</v>
      </c>
      <c r="G95" s="62">
        <f t="shared" si="5"/>
        <v>100</v>
      </c>
      <c r="H95" s="62">
        <f t="shared" si="5"/>
        <v>46.931751569599342</v>
      </c>
      <c r="I95" s="62">
        <f t="shared" si="5"/>
        <v>63.670279541265614</v>
      </c>
      <c r="J95" s="62">
        <f t="shared" si="5"/>
        <v>43.246169512216952</v>
      </c>
      <c r="K95" s="62">
        <f t="shared" si="5"/>
        <v>99.294663527298297</v>
      </c>
      <c r="L95" s="62">
        <f t="shared" si="5"/>
        <v>93.297010370570931</v>
      </c>
      <c r="M95" s="62">
        <f t="shared" si="5"/>
        <v>95.195299162954939</v>
      </c>
      <c r="N95" s="62">
        <f t="shared" si="5"/>
        <v>87.593248437972733</v>
      </c>
      <c r="O95" s="62">
        <f t="shared" si="5"/>
        <v>81.626176346132155</v>
      </c>
      <c r="P95" s="62">
        <f t="shared" si="5"/>
        <v>87.582849181034121</v>
      </c>
      <c r="Q95" s="62">
        <f t="shared" si="5"/>
        <v>94.635321276817564</v>
      </c>
      <c r="R95" s="62">
        <f t="shared" si="5"/>
        <v>98.188323482086062</v>
      </c>
      <c r="S95" s="62">
        <f t="shared" si="5"/>
        <v>95.49360525006098</v>
      </c>
      <c r="T95" s="62">
        <f t="shared" si="5"/>
        <v>97.532150468765622</v>
      </c>
      <c r="U95" s="62">
        <f t="shared" si="5"/>
        <v>99.21134844710906</v>
      </c>
      <c r="V95" s="62">
        <f t="shared" si="5"/>
        <v>97.842879471888295</v>
      </c>
    </row>
    <row r="96" spans="3:22" x14ac:dyDescent="0.2">
      <c r="C96" s="87" t="s">
        <v>127</v>
      </c>
      <c r="D96" s="60" t="str">
        <f t="shared" ref="D96:V96" si="6">+IFERROR(IF(D57&gt;0,+((D57/D17)*100)," "),"")</f>
        <v xml:space="preserve"> </v>
      </c>
      <c r="E96" s="60" t="str">
        <f t="shared" si="6"/>
        <v xml:space="preserve"> </v>
      </c>
      <c r="F96" s="60" t="str">
        <f t="shared" si="6"/>
        <v xml:space="preserve"> </v>
      </c>
      <c r="G96" s="60" t="str">
        <f t="shared" si="6"/>
        <v xml:space="preserve"> </v>
      </c>
      <c r="H96" s="60" t="str">
        <f t="shared" si="6"/>
        <v xml:space="preserve"> </v>
      </c>
      <c r="I96" s="60" t="str">
        <f t="shared" si="6"/>
        <v xml:space="preserve"> </v>
      </c>
      <c r="J96" s="60" t="str">
        <f t="shared" si="6"/>
        <v xml:space="preserve"> </v>
      </c>
      <c r="K96" s="60" t="str">
        <f t="shared" si="6"/>
        <v xml:space="preserve"> </v>
      </c>
      <c r="L96" s="60" t="str">
        <f t="shared" si="6"/>
        <v xml:space="preserve"> </v>
      </c>
      <c r="M96" s="60" t="str">
        <f t="shared" si="6"/>
        <v xml:space="preserve"> </v>
      </c>
      <c r="N96" s="60" t="str">
        <f t="shared" si="6"/>
        <v xml:space="preserve"> </v>
      </c>
      <c r="O96" s="60" t="str">
        <f t="shared" si="6"/>
        <v xml:space="preserve"> </v>
      </c>
      <c r="P96" s="60" t="str">
        <f t="shared" si="6"/>
        <v xml:space="preserve"> </v>
      </c>
      <c r="Q96" s="60" t="str">
        <f t="shared" si="6"/>
        <v xml:space="preserve"> </v>
      </c>
      <c r="R96" s="60" t="str">
        <f t="shared" si="6"/>
        <v xml:space="preserve"> </v>
      </c>
      <c r="S96" s="60" t="str">
        <f t="shared" si="6"/>
        <v xml:space="preserve"> </v>
      </c>
      <c r="T96" s="60" t="str">
        <f t="shared" si="6"/>
        <v xml:space="preserve"> </v>
      </c>
      <c r="U96" s="60" t="str">
        <f t="shared" si="6"/>
        <v xml:space="preserve"> </v>
      </c>
      <c r="V96" s="60" t="str">
        <f t="shared" si="6"/>
        <v xml:space="preserve"> </v>
      </c>
    </row>
    <row r="97" spans="3:22" x14ac:dyDescent="0.2">
      <c r="C97" s="88" t="s">
        <v>128</v>
      </c>
      <c r="D97" s="62">
        <f t="shared" ref="D97:V97" si="7">+IFERROR(IF(D58&gt;0,+((D58/D18)*100)," "),"")</f>
        <v>89.52262195121952</v>
      </c>
      <c r="E97" s="62">
        <f t="shared" si="7"/>
        <v>82.356693865030678</v>
      </c>
      <c r="F97" s="62">
        <f t="shared" si="7"/>
        <v>93.331311904761918</v>
      </c>
      <c r="G97" s="62">
        <f t="shared" si="7"/>
        <v>99.133292584304783</v>
      </c>
      <c r="H97" s="62">
        <f t="shared" si="7"/>
        <v>96.411262978890406</v>
      </c>
      <c r="I97" s="62">
        <f t="shared" si="7"/>
        <v>99.506116402344432</v>
      </c>
      <c r="J97" s="62">
        <f t="shared" si="7"/>
        <v>35.1221939700539</v>
      </c>
      <c r="K97" s="62">
        <f t="shared" si="7"/>
        <v>54.650121400713822</v>
      </c>
      <c r="L97" s="62">
        <f t="shared" si="7"/>
        <v>85.976172479953831</v>
      </c>
      <c r="M97" s="62">
        <f t="shared" si="7"/>
        <v>26.855028001041575</v>
      </c>
      <c r="N97" s="62">
        <f t="shared" si="7"/>
        <v>98.0527400027309</v>
      </c>
      <c r="O97" s="62">
        <f t="shared" si="7"/>
        <v>80.739261532852552</v>
      </c>
      <c r="P97" s="62">
        <f t="shared" si="7"/>
        <v>96.242370119322928</v>
      </c>
      <c r="Q97" s="62">
        <f t="shared" si="7"/>
        <v>91.555502064617684</v>
      </c>
      <c r="R97" s="62">
        <f t="shared" si="7"/>
        <v>97.881990724170791</v>
      </c>
      <c r="S97" s="62">
        <f t="shared" si="7"/>
        <v>95.946832799808931</v>
      </c>
      <c r="T97" s="62">
        <f t="shared" si="7"/>
        <v>98.295902641271752</v>
      </c>
      <c r="U97" s="62">
        <f t="shared" si="7"/>
        <v>98.603896274962793</v>
      </c>
      <c r="V97" s="62">
        <f t="shared" si="7"/>
        <v>98.97083095623924</v>
      </c>
    </row>
    <row r="98" spans="3:22" x14ac:dyDescent="0.2">
      <c r="C98" s="87" t="s">
        <v>129</v>
      </c>
      <c r="D98" s="60">
        <f t="shared" ref="D98:V98" si="8">+IFERROR(IF(D59&gt;0,+((D59/D19)*100)," "),"")</f>
        <v>96.502886717821781</v>
      </c>
      <c r="E98" s="60">
        <f t="shared" si="8"/>
        <v>91.253346718801609</v>
      </c>
      <c r="F98" s="60">
        <f t="shared" si="8"/>
        <v>98.81532066823938</v>
      </c>
      <c r="G98" s="60">
        <f t="shared" si="8"/>
        <v>97.568452069383511</v>
      </c>
      <c r="H98" s="60">
        <f t="shared" si="8"/>
        <v>99.279249549760223</v>
      </c>
      <c r="I98" s="60">
        <f t="shared" si="8"/>
        <v>98.313267396121873</v>
      </c>
      <c r="J98" s="60">
        <f t="shared" si="8"/>
        <v>97.538391505242203</v>
      </c>
      <c r="K98" s="60">
        <f t="shared" si="8"/>
        <v>98.639300235373227</v>
      </c>
      <c r="L98" s="60">
        <f t="shared" si="8"/>
        <v>97.900360328959252</v>
      </c>
      <c r="M98" s="60">
        <f t="shared" si="8"/>
        <v>99.612067589018167</v>
      </c>
      <c r="N98" s="60">
        <f t="shared" si="8"/>
        <v>95.410733719582367</v>
      </c>
      <c r="O98" s="60">
        <f t="shared" si="8"/>
        <v>65.744317717104153</v>
      </c>
      <c r="P98" s="60">
        <f t="shared" si="8"/>
        <v>87.431339869228438</v>
      </c>
      <c r="Q98" s="60">
        <f t="shared" si="8"/>
        <v>74.891027863973392</v>
      </c>
      <c r="R98" s="60">
        <f t="shared" si="8"/>
        <v>94.425229723895413</v>
      </c>
      <c r="S98" s="60">
        <f t="shared" si="8"/>
        <v>91.020228145027076</v>
      </c>
      <c r="T98" s="60">
        <f t="shared" si="8"/>
        <v>97.260868348836581</v>
      </c>
      <c r="U98" s="60">
        <f t="shared" si="8"/>
        <v>99.372255046528565</v>
      </c>
      <c r="V98" s="60">
        <f t="shared" si="8"/>
        <v>97.49009988231586</v>
      </c>
    </row>
    <row r="99" spans="3:22" x14ac:dyDescent="0.2">
      <c r="C99" s="88" t="s">
        <v>130</v>
      </c>
      <c r="D99" s="62">
        <f t="shared" ref="D99:V99" si="9">+IFERROR(IF(D60&gt;0,+((D60/D20)*100)," "),"")</f>
        <v>87.111387586258999</v>
      </c>
      <c r="E99" s="62">
        <f t="shared" si="9"/>
        <v>94.862391552844372</v>
      </c>
      <c r="F99" s="62">
        <f t="shared" si="9"/>
        <v>97.755521370075897</v>
      </c>
      <c r="G99" s="62">
        <f t="shared" si="9"/>
        <v>94.424780122452006</v>
      </c>
      <c r="H99" s="62">
        <f t="shared" si="9"/>
        <v>96.677416972887514</v>
      </c>
      <c r="I99" s="62">
        <f t="shared" si="9"/>
        <v>97.395254283163922</v>
      </c>
      <c r="J99" s="62">
        <f t="shared" si="9"/>
        <v>93.746165943648379</v>
      </c>
      <c r="K99" s="62">
        <f t="shared" si="9"/>
        <v>95.82062554547295</v>
      </c>
      <c r="L99" s="62">
        <f t="shared" si="9"/>
        <v>95.366170266725518</v>
      </c>
      <c r="M99" s="62">
        <f t="shared" si="9"/>
        <v>54.805321275651366</v>
      </c>
      <c r="N99" s="62" t="str">
        <f t="shared" si="9"/>
        <v xml:space="preserve"> </v>
      </c>
      <c r="O99" s="62">
        <f t="shared" si="9"/>
        <v>93.839237680629566</v>
      </c>
      <c r="P99" s="62" t="str">
        <f t="shared" si="9"/>
        <v xml:space="preserve"> </v>
      </c>
      <c r="Q99" s="62" t="str">
        <f t="shared" si="9"/>
        <v xml:space="preserve"> </v>
      </c>
      <c r="R99" s="62" t="str">
        <f t="shared" si="9"/>
        <v xml:space="preserve"> </v>
      </c>
      <c r="S99" s="62" t="str">
        <f t="shared" si="9"/>
        <v xml:space="preserve"> </v>
      </c>
      <c r="T99" s="62" t="str">
        <f t="shared" si="9"/>
        <v xml:space="preserve"> </v>
      </c>
      <c r="U99" s="62" t="str">
        <f t="shared" si="9"/>
        <v xml:space="preserve"> </v>
      </c>
      <c r="V99" s="62" t="str">
        <f t="shared" si="9"/>
        <v xml:space="preserve"> </v>
      </c>
    </row>
    <row r="100" spans="3:22" x14ac:dyDescent="0.2">
      <c r="C100" s="87" t="s">
        <v>131</v>
      </c>
      <c r="D100" s="60">
        <f t="shared" ref="D100:V100" si="10">+IFERROR(IF(D61&gt;0,+((D61/D21)*100)," "),"")</f>
        <v>97.413106000569471</v>
      </c>
      <c r="E100" s="60">
        <f t="shared" si="10"/>
        <v>96.444062775466961</v>
      </c>
      <c r="F100" s="60">
        <f t="shared" si="10"/>
        <v>90.845302261080747</v>
      </c>
      <c r="G100" s="60">
        <f t="shared" si="10"/>
        <v>97.473388605029797</v>
      </c>
      <c r="H100" s="60">
        <f t="shared" si="10"/>
        <v>94.072704497583601</v>
      </c>
      <c r="I100" s="60">
        <f t="shared" si="10"/>
        <v>98.676035526238195</v>
      </c>
      <c r="J100" s="60">
        <f t="shared" si="10"/>
        <v>39.552397868903434</v>
      </c>
      <c r="K100" s="60">
        <f t="shared" si="10"/>
        <v>89.960159694515653</v>
      </c>
      <c r="L100" s="60">
        <f t="shared" si="10"/>
        <v>94.289080278435591</v>
      </c>
      <c r="M100" s="60">
        <f t="shared" si="10"/>
        <v>90.674560959431886</v>
      </c>
      <c r="N100" s="60">
        <f t="shared" si="10"/>
        <v>88.376043090167656</v>
      </c>
      <c r="O100" s="60">
        <f t="shared" si="10"/>
        <v>96.739224036301437</v>
      </c>
      <c r="P100" s="60">
        <f t="shared" si="10"/>
        <v>91.076372698216318</v>
      </c>
      <c r="Q100" s="60">
        <f t="shared" si="10"/>
        <v>97.465633232508011</v>
      </c>
      <c r="R100" s="60">
        <f t="shared" si="10"/>
        <v>87.83853223181255</v>
      </c>
      <c r="S100" s="60">
        <f t="shared" si="10"/>
        <v>88.078841476262554</v>
      </c>
      <c r="T100" s="60">
        <f t="shared" si="10"/>
        <v>86.177565892792856</v>
      </c>
      <c r="U100" s="60">
        <f t="shared" si="10"/>
        <v>93.017951493207221</v>
      </c>
      <c r="V100" s="60">
        <f t="shared" si="10"/>
        <v>97.706796831284521</v>
      </c>
    </row>
    <row r="101" spans="3:22" x14ac:dyDescent="0.2">
      <c r="C101" s="88" t="s">
        <v>132</v>
      </c>
      <c r="D101" s="62">
        <f t="shared" ref="D101:V101" si="11">+IFERROR(IF(D62&gt;0,+((D62/D22)*100)," "),"")</f>
        <v>94.126181160700867</v>
      </c>
      <c r="E101" s="62">
        <f t="shared" si="11"/>
        <v>67.44072604839053</v>
      </c>
      <c r="F101" s="62">
        <f t="shared" si="11"/>
        <v>72.044725899927869</v>
      </c>
      <c r="G101" s="62">
        <f t="shared" si="11"/>
        <v>97.794902315915635</v>
      </c>
      <c r="H101" s="62">
        <f t="shared" si="11"/>
        <v>86.56367824614415</v>
      </c>
      <c r="I101" s="62">
        <f t="shared" si="11"/>
        <v>93.232439587524738</v>
      </c>
      <c r="J101" s="62">
        <f t="shared" si="11"/>
        <v>92.867719134236793</v>
      </c>
      <c r="K101" s="62">
        <f t="shared" si="11"/>
        <v>38.089613486078122</v>
      </c>
      <c r="L101" s="62">
        <f t="shared" si="11"/>
        <v>62.123364769031738</v>
      </c>
      <c r="M101" s="62">
        <f t="shared" si="11"/>
        <v>91.978048901449668</v>
      </c>
      <c r="N101" s="62">
        <f t="shared" si="11"/>
        <v>75.502231470917138</v>
      </c>
      <c r="O101" s="62">
        <f t="shared" si="11"/>
        <v>72.80508455366035</v>
      </c>
      <c r="P101" s="62">
        <f t="shared" si="11"/>
        <v>74.35002629371678</v>
      </c>
      <c r="Q101" s="62">
        <f t="shared" si="11"/>
        <v>86.723853681958801</v>
      </c>
      <c r="R101" s="62">
        <f t="shared" si="11"/>
        <v>80.283535983664692</v>
      </c>
      <c r="S101" s="62">
        <f t="shared" si="11"/>
        <v>84.292507130059974</v>
      </c>
      <c r="T101" s="62">
        <f t="shared" si="11"/>
        <v>96.007659300576648</v>
      </c>
      <c r="U101" s="62">
        <f t="shared" si="11"/>
        <v>96.644445402310581</v>
      </c>
      <c r="V101" s="62">
        <f t="shared" si="11"/>
        <v>95.362802864153934</v>
      </c>
    </row>
    <row r="102" spans="3:22" x14ac:dyDescent="0.2">
      <c r="C102" s="87" t="s">
        <v>133</v>
      </c>
      <c r="D102" s="60" t="str">
        <f t="shared" ref="D102:V102" si="12">+IFERROR(IF(D63&gt;0,+((D63/D23)*100)," "),"")</f>
        <v xml:space="preserve"> </v>
      </c>
      <c r="E102" s="60" t="str">
        <f t="shared" si="12"/>
        <v xml:space="preserve"> </v>
      </c>
      <c r="F102" s="60" t="str">
        <f t="shared" si="12"/>
        <v xml:space="preserve"> </v>
      </c>
      <c r="G102" s="60" t="str">
        <f t="shared" si="12"/>
        <v xml:space="preserve"> </v>
      </c>
      <c r="H102" s="60">
        <f t="shared" si="12"/>
        <v>89.788982390921532</v>
      </c>
      <c r="I102" s="60">
        <f t="shared" si="12"/>
        <v>99.995001081064487</v>
      </c>
      <c r="J102" s="60">
        <f t="shared" si="12"/>
        <v>100</v>
      </c>
      <c r="K102" s="60">
        <f t="shared" si="12"/>
        <v>99.774378278181814</v>
      </c>
      <c r="L102" s="60">
        <f t="shared" si="12"/>
        <v>98.921981200000005</v>
      </c>
      <c r="M102" s="60">
        <f t="shared" si="12"/>
        <v>100</v>
      </c>
      <c r="N102" s="60">
        <f t="shared" si="12"/>
        <v>98.351332912988667</v>
      </c>
      <c r="O102" s="60">
        <f t="shared" si="12"/>
        <v>98.847038147391871</v>
      </c>
      <c r="P102" s="60">
        <f t="shared" si="12"/>
        <v>98.102413058888672</v>
      </c>
      <c r="Q102" s="60">
        <f t="shared" si="12"/>
        <v>64.284433327090909</v>
      </c>
      <c r="R102" s="60">
        <f t="shared" si="12"/>
        <v>99.703422872749741</v>
      </c>
      <c r="S102" s="60">
        <f t="shared" si="12"/>
        <v>49.4420675</v>
      </c>
      <c r="T102" s="60">
        <f t="shared" si="12"/>
        <v>33.504771065229527</v>
      </c>
      <c r="U102" s="60">
        <f t="shared" si="12"/>
        <v>99.847535298846168</v>
      </c>
      <c r="V102" s="60">
        <f t="shared" si="12"/>
        <v>98.414743106984005</v>
      </c>
    </row>
    <row r="103" spans="3:22" x14ac:dyDescent="0.2">
      <c r="C103" s="88" t="s">
        <v>134</v>
      </c>
      <c r="D103" s="62">
        <f t="shared" ref="D103:V103" si="13">+IFERROR(IF(D64&gt;0,+((D64/D24)*100)," "),"")</f>
        <v>88.304200382221126</v>
      </c>
      <c r="E103" s="62">
        <f t="shared" si="13"/>
        <v>83.835201169595706</v>
      </c>
      <c r="F103" s="62">
        <f t="shared" si="13"/>
        <v>79.395133915593718</v>
      </c>
      <c r="G103" s="62">
        <f t="shared" si="13"/>
        <v>99.106570979137999</v>
      </c>
      <c r="H103" s="62">
        <f t="shared" si="13"/>
        <v>73.230074125735896</v>
      </c>
      <c r="I103" s="62">
        <f t="shared" si="13"/>
        <v>80.539643911000866</v>
      </c>
      <c r="J103" s="62">
        <f t="shared" si="13"/>
        <v>96.571435507418002</v>
      </c>
      <c r="K103" s="62">
        <f t="shared" si="13"/>
        <v>91.369789084599688</v>
      </c>
      <c r="L103" s="62">
        <f t="shared" si="13"/>
        <v>95.324670894800974</v>
      </c>
      <c r="M103" s="62">
        <f t="shared" si="13"/>
        <v>81.958249902185059</v>
      </c>
      <c r="N103" s="62">
        <f t="shared" si="13"/>
        <v>85.0079560499031</v>
      </c>
      <c r="O103" s="62">
        <f t="shared" si="13"/>
        <v>83.138986785480398</v>
      </c>
      <c r="P103" s="62">
        <f t="shared" si="13"/>
        <v>85.956913018405871</v>
      </c>
      <c r="Q103" s="62">
        <f t="shared" si="13"/>
        <v>95.384896696804631</v>
      </c>
      <c r="R103" s="62">
        <f t="shared" si="13"/>
        <v>96.492567410302684</v>
      </c>
      <c r="S103" s="62">
        <f t="shared" si="13"/>
        <v>73.567340582723432</v>
      </c>
      <c r="T103" s="62">
        <f t="shared" si="13"/>
        <v>91.050375965390501</v>
      </c>
      <c r="U103" s="62">
        <f t="shared" si="13"/>
        <v>97.778242545976951</v>
      </c>
      <c r="V103" s="62">
        <f t="shared" si="13"/>
        <v>83.400859340759766</v>
      </c>
    </row>
    <row r="104" spans="3:22" x14ac:dyDescent="0.2">
      <c r="C104" s="87" t="s">
        <v>135</v>
      </c>
      <c r="D104" s="60" t="str">
        <f t="shared" ref="D104:V104" si="14">+IFERROR(IF(D65&gt;0,+((D65/D25)*100)," "),"")</f>
        <v xml:space="preserve"> </v>
      </c>
      <c r="E104" s="60" t="str">
        <f t="shared" si="14"/>
        <v xml:space="preserve"> </v>
      </c>
      <c r="F104" s="60" t="str">
        <f t="shared" si="14"/>
        <v xml:space="preserve"> </v>
      </c>
      <c r="G104" s="60" t="str">
        <f t="shared" si="14"/>
        <v xml:space="preserve"> </v>
      </c>
      <c r="H104" s="60" t="str">
        <f t="shared" si="14"/>
        <v xml:space="preserve"> </v>
      </c>
      <c r="I104" s="60" t="str">
        <f t="shared" si="14"/>
        <v xml:space="preserve"> </v>
      </c>
      <c r="J104" s="60" t="str">
        <f t="shared" si="14"/>
        <v xml:space="preserve"> </v>
      </c>
      <c r="K104" s="60" t="str">
        <f t="shared" si="14"/>
        <v xml:space="preserve"> </v>
      </c>
      <c r="L104" s="60" t="str">
        <f t="shared" si="14"/>
        <v xml:space="preserve"> </v>
      </c>
      <c r="M104" s="60" t="str">
        <f t="shared" si="14"/>
        <v xml:space="preserve"> </v>
      </c>
      <c r="N104" s="60" t="str">
        <f t="shared" si="14"/>
        <v xml:space="preserve"> </v>
      </c>
      <c r="O104" s="60" t="str">
        <f t="shared" si="14"/>
        <v xml:space="preserve"> </v>
      </c>
      <c r="P104" s="60" t="str">
        <f t="shared" si="14"/>
        <v xml:space="preserve"> </v>
      </c>
      <c r="Q104" s="60" t="str">
        <f t="shared" si="14"/>
        <v xml:space="preserve"> </v>
      </c>
      <c r="R104" s="60" t="str">
        <f t="shared" si="14"/>
        <v xml:space="preserve"> </v>
      </c>
      <c r="S104" s="60" t="str">
        <f t="shared" si="14"/>
        <v xml:space="preserve"> </v>
      </c>
      <c r="T104" s="60" t="str">
        <f t="shared" si="14"/>
        <v xml:space="preserve"> </v>
      </c>
      <c r="U104" s="60" t="str">
        <f t="shared" si="14"/>
        <v xml:space="preserve"> </v>
      </c>
      <c r="V104" s="60" t="str">
        <f t="shared" si="14"/>
        <v xml:space="preserve"> </v>
      </c>
    </row>
    <row r="105" spans="3:22" x14ac:dyDescent="0.2">
      <c r="C105" s="88" t="s">
        <v>136</v>
      </c>
      <c r="D105" s="62">
        <f t="shared" ref="D105:V105" si="15">+IFERROR(IF(D66&gt;0,+((D66/D26)*100)," "),"")</f>
        <v>79.279901526071669</v>
      </c>
      <c r="E105" s="62">
        <f t="shared" si="15"/>
        <v>78.492203279481444</v>
      </c>
      <c r="F105" s="62">
        <f t="shared" si="15"/>
        <v>90.369644177012518</v>
      </c>
      <c r="G105" s="62">
        <f t="shared" si="15"/>
        <v>96.290933480338666</v>
      </c>
      <c r="H105" s="62">
        <f t="shared" si="15"/>
        <v>99.25364149777981</v>
      </c>
      <c r="I105" s="62">
        <f t="shared" si="15"/>
        <v>98.116356613646403</v>
      </c>
      <c r="J105" s="62">
        <f t="shared" si="15"/>
        <v>99.277391654413762</v>
      </c>
      <c r="K105" s="62">
        <f t="shared" si="15"/>
        <v>96.635058169698439</v>
      </c>
      <c r="L105" s="62">
        <f t="shared" si="15"/>
        <v>97.932738404526418</v>
      </c>
      <c r="M105" s="62">
        <f t="shared" si="15"/>
        <v>99.16339519031844</v>
      </c>
      <c r="N105" s="62">
        <f t="shared" si="15"/>
        <v>95.38475991439195</v>
      </c>
      <c r="O105" s="62">
        <f t="shared" si="15"/>
        <v>88.49736920955506</v>
      </c>
      <c r="P105" s="62">
        <f t="shared" si="15"/>
        <v>96.967160997115514</v>
      </c>
      <c r="Q105" s="62">
        <f t="shared" si="15"/>
        <v>97.18366061772268</v>
      </c>
      <c r="R105" s="62">
        <f t="shared" si="15"/>
        <v>96.614146878178843</v>
      </c>
      <c r="S105" s="62">
        <f t="shared" si="15"/>
        <v>96.975014618351068</v>
      </c>
      <c r="T105" s="62">
        <f t="shared" si="15"/>
        <v>99.320986446124465</v>
      </c>
      <c r="U105" s="62">
        <f t="shared" si="15"/>
        <v>99.497844827657971</v>
      </c>
      <c r="V105" s="62">
        <f t="shared" si="15"/>
        <v>98.763933675064663</v>
      </c>
    </row>
    <row r="106" spans="3:22" x14ac:dyDescent="0.2">
      <c r="C106" s="87" t="s">
        <v>137</v>
      </c>
      <c r="D106" s="60">
        <f t="shared" ref="D106:V106" si="16">+IFERROR(IF(D67&gt;0,+((D67/D27)*100)," "),"")</f>
        <v>73.186978733468592</v>
      </c>
      <c r="E106" s="60">
        <f t="shared" si="16"/>
        <v>68.283498718064422</v>
      </c>
      <c r="F106" s="60">
        <f t="shared" si="16"/>
        <v>89.487260757903186</v>
      </c>
      <c r="G106" s="60">
        <f t="shared" si="16"/>
        <v>94.077595990765531</v>
      </c>
      <c r="H106" s="60">
        <f t="shared" si="16"/>
        <v>74.892527067845748</v>
      </c>
      <c r="I106" s="60">
        <f t="shared" si="16"/>
        <v>57.698066102375414</v>
      </c>
      <c r="J106" s="60">
        <f t="shared" si="16"/>
        <v>91.494424510676325</v>
      </c>
      <c r="K106" s="60">
        <f t="shared" si="16"/>
        <v>92.009502904769747</v>
      </c>
      <c r="L106" s="60">
        <f t="shared" si="16"/>
        <v>82.687485030997109</v>
      </c>
      <c r="M106" s="60">
        <f t="shared" si="16"/>
        <v>79.128336185410902</v>
      </c>
      <c r="N106" s="60">
        <f t="shared" si="16"/>
        <v>55.195102382434037</v>
      </c>
      <c r="O106" s="60">
        <f t="shared" si="16"/>
        <v>68.744959241927688</v>
      </c>
      <c r="P106" s="60">
        <f t="shared" si="16"/>
        <v>85.118328761233215</v>
      </c>
      <c r="Q106" s="60">
        <f t="shared" si="16"/>
        <v>81.354342184102919</v>
      </c>
      <c r="R106" s="60">
        <f t="shared" si="16"/>
        <v>94.073978038301419</v>
      </c>
      <c r="S106" s="60">
        <f t="shared" si="16"/>
        <v>93.701941629614282</v>
      </c>
      <c r="T106" s="60">
        <f t="shared" si="16"/>
        <v>91.611705943871655</v>
      </c>
      <c r="U106" s="60">
        <f t="shared" si="16"/>
        <v>96.378546082597367</v>
      </c>
      <c r="V106" s="60">
        <f t="shared" si="16"/>
        <v>79.614656959943019</v>
      </c>
    </row>
    <row r="107" spans="3:22" x14ac:dyDescent="0.2">
      <c r="C107" s="88" t="s">
        <v>138</v>
      </c>
      <c r="D107" s="62">
        <f t="shared" ref="D107:V107" si="17">+IFERROR(IF(D68&gt;0,+((D68/D28)*100)," "),"")</f>
        <v>95.306931516788325</v>
      </c>
      <c r="E107" s="62">
        <f t="shared" si="17"/>
        <v>96.927807431242613</v>
      </c>
      <c r="F107" s="62">
        <f t="shared" si="17"/>
        <v>89.875193379312591</v>
      </c>
      <c r="G107" s="62">
        <f t="shared" si="17"/>
        <v>95.23737101682606</v>
      </c>
      <c r="H107" s="62">
        <f t="shared" si="17"/>
        <v>93.888221720851845</v>
      </c>
      <c r="I107" s="62">
        <f t="shared" si="17"/>
        <v>77.777313391136872</v>
      </c>
      <c r="J107" s="62">
        <f t="shared" si="17"/>
        <v>85.596088499434174</v>
      </c>
      <c r="K107" s="62">
        <f t="shared" si="17"/>
        <v>81.886762246235818</v>
      </c>
      <c r="L107" s="62">
        <f t="shared" si="17"/>
        <v>89.235061145944016</v>
      </c>
      <c r="M107" s="62">
        <f t="shared" si="17"/>
        <v>49.363642517553856</v>
      </c>
      <c r="N107" s="62">
        <f t="shared" si="17"/>
        <v>60.575240288318852</v>
      </c>
      <c r="O107" s="62">
        <f t="shared" si="17"/>
        <v>53.105294752370092</v>
      </c>
      <c r="P107" s="62">
        <f t="shared" si="17"/>
        <v>100</v>
      </c>
      <c r="Q107" s="62">
        <f t="shared" si="17"/>
        <v>100</v>
      </c>
      <c r="R107" s="62" t="str">
        <f t="shared" si="17"/>
        <v xml:space="preserve"> </v>
      </c>
      <c r="S107" s="62" t="str">
        <f t="shared" si="17"/>
        <v xml:space="preserve"> </v>
      </c>
      <c r="T107" s="62" t="str">
        <f t="shared" si="17"/>
        <v xml:space="preserve"> </v>
      </c>
      <c r="U107" s="62" t="str">
        <f t="shared" si="17"/>
        <v xml:space="preserve"> </v>
      </c>
      <c r="V107" s="62" t="str">
        <f t="shared" si="17"/>
        <v xml:space="preserve"> </v>
      </c>
    </row>
    <row r="108" spans="3:22" x14ac:dyDescent="0.2">
      <c r="C108" s="87" t="s">
        <v>139</v>
      </c>
      <c r="D108" s="60">
        <f t="shared" ref="D108:V108" si="18">+IFERROR(IF(D69&gt;0,+((D69/D29)*100)," "),"")</f>
        <v>66.195972710968817</v>
      </c>
      <c r="E108" s="60">
        <f t="shared" si="18"/>
        <v>99.614009911317183</v>
      </c>
      <c r="F108" s="60">
        <f t="shared" si="18"/>
        <v>99.917774492204117</v>
      </c>
      <c r="G108" s="60">
        <f t="shared" si="18"/>
        <v>99.034515206479497</v>
      </c>
      <c r="H108" s="60">
        <f t="shared" si="18"/>
        <v>66.981484709979398</v>
      </c>
      <c r="I108" s="60">
        <f t="shared" si="18"/>
        <v>99.063814767351104</v>
      </c>
      <c r="J108" s="60">
        <f t="shared" si="18"/>
        <v>98.970116118267597</v>
      </c>
      <c r="K108" s="60">
        <f t="shared" si="18"/>
        <v>70.540319867797635</v>
      </c>
      <c r="L108" s="60">
        <f t="shared" si="18"/>
        <v>93.634401374944304</v>
      </c>
      <c r="M108" s="60">
        <f t="shared" si="18"/>
        <v>86.237677634610137</v>
      </c>
      <c r="N108" s="60">
        <f t="shared" si="18"/>
        <v>81.594694312941513</v>
      </c>
      <c r="O108" s="60">
        <f t="shared" si="18"/>
        <v>80.259792288316135</v>
      </c>
      <c r="P108" s="60">
        <f t="shared" si="18"/>
        <v>95.071050669756815</v>
      </c>
      <c r="Q108" s="60">
        <f t="shared" si="18"/>
        <v>90.344921119236602</v>
      </c>
      <c r="R108" s="60">
        <f t="shared" si="18"/>
        <v>87.468745976716008</v>
      </c>
      <c r="S108" s="60">
        <f t="shared" si="18"/>
        <v>98.673569864479248</v>
      </c>
      <c r="T108" s="60">
        <f t="shared" si="18"/>
        <v>98.691109966865781</v>
      </c>
      <c r="U108" s="60">
        <f t="shared" si="18"/>
        <v>97.935143492123515</v>
      </c>
      <c r="V108" s="60">
        <f t="shared" si="18"/>
        <v>88.187313913202615</v>
      </c>
    </row>
    <row r="109" spans="3:22" x14ac:dyDescent="0.2">
      <c r="C109" s="88" t="s">
        <v>140</v>
      </c>
      <c r="D109" s="62">
        <f t="shared" ref="D109:V109" si="19">+IFERROR(IF(D70&gt;0,+((D70/D30)*100)," "),"")</f>
        <v>40.428586698809035</v>
      </c>
      <c r="E109" s="62">
        <f t="shared" si="19"/>
        <v>81.899233246810525</v>
      </c>
      <c r="F109" s="62">
        <f t="shared" si="19"/>
        <v>60.949687695489715</v>
      </c>
      <c r="G109" s="62">
        <f t="shared" si="19"/>
        <v>94.370523445701863</v>
      </c>
      <c r="H109" s="62">
        <f t="shared" si="19"/>
        <v>97.995374659007012</v>
      </c>
      <c r="I109" s="62">
        <f t="shared" si="19"/>
        <v>90.969701342427101</v>
      </c>
      <c r="J109" s="62">
        <f t="shared" si="19"/>
        <v>98.378860501735772</v>
      </c>
      <c r="K109" s="62">
        <f t="shared" si="19"/>
        <v>83.636658206653365</v>
      </c>
      <c r="L109" s="62">
        <f t="shared" si="19"/>
        <v>94.563512763651119</v>
      </c>
      <c r="M109" s="62">
        <f t="shared" si="19"/>
        <v>74.754595992221169</v>
      </c>
      <c r="N109" s="62">
        <f t="shared" si="19"/>
        <v>83.241188680271165</v>
      </c>
      <c r="O109" s="62">
        <f t="shared" si="19"/>
        <v>87.951170399434773</v>
      </c>
      <c r="P109" s="62">
        <f t="shared" si="19"/>
        <v>88.473505697444054</v>
      </c>
      <c r="Q109" s="62">
        <f t="shared" si="19"/>
        <v>94.638921146527778</v>
      </c>
      <c r="R109" s="62">
        <f t="shared" si="19"/>
        <v>99.049205088211693</v>
      </c>
      <c r="S109" s="62">
        <f t="shared" si="19"/>
        <v>93.421640107528731</v>
      </c>
      <c r="T109" s="62">
        <f t="shared" si="19"/>
        <v>96.003799898285209</v>
      </c>
      <c r="U109" s="62">
        <f t="shared" si="19"/>
        <v>96.623650603826476</v>
      </c>
      <c r="V109" s="62">
        <f t="shared" si="19"/>
        <v>93.690027367574061</v>
      </c>
    </row>
    <row r="110" spans="3:22" x14ac:dyDescent="0.2">
      <c r="C110" s="87" t="s">
        <v>141</v>
      </c>
      <c r="D110" s="60" t="str">
        <f t="shared" ref="D110:V110" si="20">+IFERROR(IF(D71&gt;0,+((D71/D31)*100)," "),"")</f>
        <v xml:space="preserve"> </v>
      </c>
      <c r="E110" s="60" t="str">
        <f t="shared" si="20"/>
        <v xml:space="preserve"> </v>
      </c>
      <c r="F110" s="60" t="str">
        <f t="shared" si="20"/>
        <v xml:space="preserve"> </v>
      </c>
      <c r="G110" s="60" t="str">
        <f t="shared" si="20"/>
        <v xml:space="preserve"> </v>
      </c>
      <c r="H110" s="60" t="str">
        <f t="shared" si="20"/>
        <v xml:space="preserve"> </v>
      </c>
      <c r="I110" s="60" t="str">
        <f t="shared" si="20"/>
        <v xml:space="preserve"> </v>
      </c>
      <c r="J110" s="60" t="str">
        <f t="shared" si="20"/>
        <v xml:space="preserve"> </v>
      </c>
      <c r="K110" s="60">
        <f t="shared" si="20"/>
        <v>71.499902749438007</v>
      </c>
      <c r="L110" s="60">
        <f t="shared" si="20"/>
        <v>24.119146946916231</v>
      </c>
      <c r="M110" s="60">
        <f t="shared" si="20"/>
        <v>5.3894375428571433</v>
      </c>
      <c r="N110" s="60">
        <f t="shared" si="20"/>
        <v>6.3888636325148171</v>
      </c>
      <c r="O110" s="60">
        <f t="shared" si="20"/>
        <v>99.6</v>
      </c>
      <c r="P110" s="60">
        <f t="shared" si="20"/>
        <v>3.2092781906703371</v>
      </c>
      <c r="Q110" s="60">
        <f t="shared" si="20"/>
        <v>5.2884495483870966</v>
      </c>
      <c r="R110" s="60">
        <f t="shared" si="20"/>
        <v>83.333641371295755</v>
      </c>
      <c r="S110" s="60" t="str">
        <f t="shared" si="20"/>
        <v xml:space="preserve"> </v>
      </c>
      <c r="T110" s="60">
        <f t="shared" si="20"/>
        <v>14.88130279498224</v>
      </c>
      <c r="U110" s="60" t="str">
        <f t="shared" si="20"/>
        <v xml:space="preserve"> </v>
      </c>
      <c r="V110" s="60" t="str">
        <f t="shared" si="20"/>
        <v xml:space="preserve"> </v>
      </c>
    </row>
    <row r="111" spans="3:22" x14ac:dyDescent="0.2">
      <c r="C111" s="88" t="s">
        <v>142</v>
      </c>
      <c r="D111" s="62">
        <f t="shared" ref="D111:V111" si="21">+IFERROR(IF(D72&gt;0,+((D72/D32)*100)," "),"")</f>
        <v>71.368197802656525</v>
      </c>
      <c r="E111" s="62">
        <f t="shared" si="21"/>
        <v>97.208009483168325</v>
      </c>
      <c r="F111" s="62">
        <f t="shared" si="21"/>
        <v>99.68527158872233</v>
      </c>
      <c r="G111" s="62">
        <f t="shared" si="21"/>
        <v>87.022687422613771</v>
      </c>
      <c r="H111" s="62">
        <f t="shared" si="21"/>
        <v>93.327811604425847</v>
      </c>
      <c r="I111" s="62">
        <f t="shared" si="21"/>
        <v>97.709455967659565</v>
      </c>
      <c r="J111" s="62">
        <f t="shared" si="21"/>
        <v>96.353747030916466</v>
      </c>
      <c r="K111" s="62">
        <f t="shared" si="21"/>
        <v>93.538098736082048</v>
      </c>
      <c r="L111" s="62">
        <f t="shared" si="21"/>
        <v>93.166235264388931</v>
      </c>
      <c r="M111" s="62">
        <f t="shared" si="21"/>
        <v>96.258341636910743</v>
      </c>
      <c r="N111" s="62">
        <f t="shared" si="21"/>
        <v>89.297228137066426</v>
      </c>
      <c r="O111" s="62">
        <f t="shared" si="21"/>
        <v>87.232615224388738</v>
      </c>
      <c r="P111" s="62">
        <f t="shared" si="21"/>
        <v>90.622007722767421</v>
      </c>
      <c r="Q111" s="62">
        <f t="shared" si="21"/>
        <v>92.360275935227136</v>
      </c>
      <c r="R111" s="62">
        <f t="shared" si="21"/>
        <v>89.909889055336194</v>
      </c>
      <c r="S111" s="62">
        <f t="shared" si="21"/>
        <v>98.447709444055775</v>
      </c>
      <c r="T111" s="62">
        <f t="shared" si="21"/>
        <v>90.671197874995386</v>
      </c>
      <c r="U111" s="62">
        <f t="shared" si="21"/>
        <v>95.092278767792109</v>
      </c>
      <c r="V111" s="62">
        <f t="shared" si="21"/>
        <v>97.493254222585833</v>
      </c>
    </row>
    <row r="112" spans="3:22" x14ac:dyDescent="0.2">
      <c r="C112" s="87" t="s">
        <v>143</v>
      </c>
      <c r="D112" s="60">
        <f t="shared" ref="D112:V112" si="22">+IFERROR(IF(D73&gt;0,+((D73/D33)*100)," "),"")</f>
        <v>100</v>
      </c>
      <c r="E112" s="60" t="str">
        <f t="shared" si="22"/>
        <v xml:space="preserve"> </v>
      </c>
      <c r="F112" s="60" t="str">
        <f t="shared" si="22"/>
        <v xml:space="preserve"> </v>
      </c>
      <c r="G112" s="60" t="str">
        <f t="shared" si="22"/>
        <v xml:space="preserve"> </v>
      </c>
      <c r="H112" s="60">
        <f t="shared" si="22"/>
        <v>77.524996628189314</v>
      </c>
      <c r="I112" s="60">
        <f t="shared" si="22"/>
        <v>94.852102111364019</v>
      </c>
      <c r="J112" s="60" t="str">
        <f t="shared" si="22"/>
        <v xml:space="preserve"> </v>
      </c>
      <c r="K112" s="60" t="str">
        <f t="shared" si="22"/>
        <v xml:space="preserve"> </v>
      </c>
      <c r="L112" s="60" t="str">
        <f t="shared" si="22"/>
        <v xml:space="preserve"> </v>
      </c>
      <c r="M112" s="60" t="str">
        <f t="shared" si="22"/>
        <v xml:space="preserve"> </v>
      </c>
      <c r="N112" s="60" t="str">
        <f t="shared" si="22"/>
        <v xml:space="preserve"> </v>
      </c>
      <c r="O112" s="60" t="str">
        <f t="shared" si="22"/>
        <v xml:space="preserve"> </v>
      </c>
      <c r="P112" s="60">
        <f t="shared" si="22"/>
        <v>3.8274200654969039</v>
      </c>
      <c r="Q112" s="60">
        <f t="shared" si="22"/>
        <v>51.996364033455656</v>
      </c>
      <c r="R112" s="60">
        <f t="shared" si="22"/>
        <v>86.584385409221255</v>
      </c>
      <c r="S112" s="60">
        <f t="shared" si="22"/>
        <v>7.8725314294348747</v>
      </c>
      <c r="T112" s="60">
        <f t="shared" si="22"/>
        <v>99.390022218662807</v>
      </c>
      <c r="U112" s="60">
        <f t="shared" si="22"/>
        <v>98.890843258294211</v>
      </c>
      <c r="V112" s="60">
        <f t="shared" si="22"/>
        <v>36.679400332138471</v>
      </c>
    </row>
    <row r="113" spans="3:22" x14ac:dyDescent="0.2">
      <c r="C113" s="88" t="s">
        <v>144</v>
      </c>
      <c r="D113" s="62" t="str">
        <f t="shared" ref="D113:V113" si="23">+IFERROR(IF(D74&gt;0,+((D74/D34)*100)," "),"")</f>
        <v xml:space="preserve"> </v>
      </c>
      <c r="E113" s="62" t="str">
        <f t="shared" si="23"/>
        <v xml:space="preserve"> </v>
      </c>
      <c r="F113" s="62" t="str">
        <f t="shared" si="23"/>
        <v xml:space="preserve"> </v>
      </c>
      <c r="G113" s="62" t="str">
        <f t="shared" si="23"/>
        <v xml:space="preserve"> </v>
      </c>
      <c r="H113" s="62" t="str">
        <f t="shared" si="23"/>
        <v xml:space="preserve"> </v>
      </c>
      <c r="I113" s="62" t="str">
        <f t="shared" si="23"/>
        <v xml:space="preserve"> </v>
      </c>
      <c r="J113" s="62" t="str">
        <f t="shared" si="23"/>
        <v xml:space="preserve"> </v>
      </c>
      <c r="K113" s="62" t="str">
        <f t="shared" si="23"/>
        <v xml:space="preserve"> </v>
      </c>
      <c r="L113" s="62" t="str">
        <f t="shared" si="23"/>
        <v xml:space="preserve"> </v>
      </c>
      <c r="M113" s="62" t="str">
        <f t="shared" si="23"/>
        <v xml:space="preserve"> </v>
      </c>
      <c r="N113" s="62" t="str">
        <f t="shared" si="23"/>
        <v xml:space="preserve"> </v>
      </c>
      <c r="O113" s="62" t="str">
        <f t="shared" si="23"/>
        <v xml:space="preserve"> </v>
      </c>
      <c r="P113" s="62" t="str">
        <f t="shared" si="23"/>
        <v xml:space="preserve"> </v>
      </c>
      <c r="Q113" s="62" t="str">
        <f t="shared" si="23"/>
        <v xml:space="preserve"> </v>
      </c>
      <c r="R113" s="62" t="str">
        <f t="shared" si="23"/>
        <v xml:space="preserve"> </v>
      </c>
      <c r="S113" s="62" t="str">
        <f t="shared" si="23"/>
        <v xml:space="preserve"> </v>
      </c>
      <c r="T113" s="62" t="str">
        <f t="shared" si="23"/>
        <v xml:space="preserve"> </v>
      </c>
      <c r="U113" s="62" t="str">
        <f t="shared" si="23"/>
        <v xml:space="preserve"> </v>
      </c>
      <c r="V113" s="62" t="str">
        <f t="shared" si="23"/>
        <v xml:space="preserve"> </v>
      </c>
    </row>
    <row r="114" spans="3:22" x14ac:dyDescent="0.2">
      <c r="C114" s="87" t="s">
        <v>145</v>
      </c>
      <c r="D114" s="60">
        <f t="shared" ref="D114:V114" si="24">+IFERROR(IF(D75&gt;0,+((D75/D35)*100)," "),"")</f>
        <v>35.158106185884691</v>
      </c>
      <c r="E114" s="60">
        <f t="shared" si="24"/>
        <v>6.5227734399999999</v>
      </c>
      <c r="F114" s="60">
        <f t="shared" si="24"/>
        <v>93.993358849999993</v>
      </c>
      <c r="G114" s="60">
        <f t="shared" si="24"/>
        <v>99.131485661177436</v>
      </c>
      <c r="H114" s="60">
        <f t="shared" si="24"/>
        <v>99.058948130557127</v>
      </c>
      <c r="I114" s="60">
        <f t="shared" si="24"/>
        <v>96.829556767991676</v>
      </c>
      <c r="J114" s="60">
        <f t="shared" si="24"/>
        <v>62.773957918832949</v>
      </c>
      <c r="K114" s="60">
        <f t="shared" si="24"/>
        <v>81.024363245567017</v>
      </c>
      <c r="L114" s="60">
        <f t="shared" si="24"/>
        <v>97.974235225829858</v>
      </c>
      <c r="M114" s="60">
        <f t="shared" si="24"/>
        <v>97.501964891941256</v>
      </c>
      <c r="N114" s="60">
        <f t="shared" si="24"/>
        <v>68.448040660976147</v>
      </c>
      <c r="O114" s="60">
        <f t="shared" si="24"/>
        <v>72.848601226598774</v>
      </c>
      <c r="P114" s="60">
        <f t="shared" si="24"/>
        <v>63.644161984050903</v>
      </c>
      <c r="Q114" s="60">
        <f t="shared" si="24"/>
        <v>51.538160122040551</v>
      </c>
      <c r="R114" s="60">
        <f t="shared" si="24"/>
        <v>78.011035407662462</v>
      </c>
      <c r="S114" s="60">
        <f t="shared" si="24"/>
        <v>76.432336302680312</v>
      </c>
      <c r="T114" s="60">
        <f t="shared" si="24"/>
        <v>95.487343720574174</v>
      </c>
      <c r="U114" s="60">
        <f t="shared" si="24"/>
        <v>94.312923676042161</v>
      </c>
      <c r="V114" s="60">
        <f t="shared" si="24"/>
        <v>94.631573797967008</v>
      </c>
    </row>
    <row r="115" spans="3:22" x14ac:dyDescent="0.2">
      <c r="C115" s="88" t="s">
        <v>146</v>
      </c>
      <c r="D115" s="62">
        <f t="shared" ref="D115:V115" si="25">+IFERROR(IF(D76&gt;0,+((D76/D36)*100)," "),"")</f>
        <v>64.431812817599791</v>
      </c>
      <c r="E115" s="62">
        <f t="shared" si="25"/>
        <v>59.757328746428442</v>
      </c>
      <c r="F115" s="62">
        <f t="shared" si="25"/>
        <v>21.546440141223851</v>
      </c>
      <c r="G115" s="62">
        <f t="shared" si="25"/>
        <v>99.952722938897566</v>
      </c>
      <c r="H115" s="62">
        <f t="shared" si="25"/>
        <v>69.260314209705641</v>
      </c>
      <c r="I115" s="62">
        <f t="shared" si="25"/>
        <v>82.208267912545651</v>
      </c>
      <c r="J115" s="62">
        <f t="shared" si="25"/>
        <v>81.750923887197828</v>
      </c>
      <c r="K115" s="62">
        <f t="shared" si="25"/>
        <v>90.973238568180776</v>
      </c>
      <c r="L115" s="62">
        <f t="shared" si="25"/>
        <v>85.812918232282243</v>
      </c>
      <c r="M115" s="62">
        <f t="shared" si="25"/>
        <v>74.235145095540005</v>
      </c>
      <c r="N115" s="62">
        <f t="shared" si="25"/>
        <v>98.096127120259368</v>
      </c>
      <c r="O115" s="62">
        <f t="shared" si="25"/>
        <v>97.752472550142372</v>
      </c>
      <c r="P115" s="62">
        <f t="shared" si="25"/>
        <v>99.465077665562845</v>
      </c>
      <c r="Q115" s="62">
        <f t="shared" si="25"/>
        <v>97.449288171076347</v>
      </c>
      <c r="R115" s="62">
        <f t="shared" si="25"/>
        <v>95.618363997515914</v>
      </c>
      <c r="S115" s="62">
        <f t="shared" si="25"/>
        <v>98.759259378125094</v>
      </c>
      <c r="T115" s="62">
        <f t="shared" si="25"/>
        <v>98.645298752515572</v>
      </c>
      <c r="U115" s="62">
        <f t="shared" si="25"/>
        <v>99.747308026144736</v>
      </c>
      <c r="V115" s="62">
        <f t="shared" si="25"/>
        <v>99.778299375208931</v>
      </c>
    </row>
    <row r="116" spans="3:22" x14ac:dyDescent="0.2">
      <c r="C116" s="90" t="s">
        <v>147</v>
      </c>
      <c r="D116" s="61">
        <f t="shared" ref="D116:V116" si="26">+IFERROR(IF(D77&gt;0,+((D77/D37)*100)," "),"")</f>
        <v>71.453247121458844</v>
      </c>
      <c r="E116" s="61">
        <f t="shared" si="26"/>
        <v>96.854147294769604</v>
      </c>
      <c r="F116" s="61">
        <f t="shared" si="26"/>
        <v>93.179692631671401</v>
      </c>
      <c r="G116" s="61">
        <f t="shared" si="26"/>
        <v>94.282160152088352</v>
      </c>
      <c r="H116" s="61">
        <f t="shared" si="26"/>
        <v>96.049632341577478</v>
      </c>
      <c r="I116" s="61">
        <f t="shared" si="26"/>
        <v>94.725284232102311</v>
      </c>
      <c r="J116" s="61">
        <f t="shared" si="26"/>
        <v>96.723007304459443</v>
      </c>
      <c r="K116" s="61">
        <f t="shared" si="26"/>
        <v>97.469639139623908</v>
      </c>
      <c r="L116" s="61">
        <f t="shared" si="26"/>
        <v>97.674364607533064</v>
      </c>
      <c r="M116" s="61">
        <f t="shared" si="26"/>
        <v>98.387406408426656</v>
      </c>
      <c r="N116" s="61">
        <f t="shared" si="26"/>
        <v>98.131060457217274</v>
      </c>
      <c r="O116" s="61">
        <f t="shared" si="26"/>
        <v>85.059677863302269</v>
      </c>
      <c r="P116" s="61">
        <f t="shared" si="26"/>
        <v>91.1289348697197</v>
      </c>
      <c r="Q116" s="61">
        <f t="shared" si="26"/>
        <v>97.917314101992105</v>
      </c>
      <c r="R116" s="61">
        <f t="shared" si="26"/>
        <v>97.813144890225971</v>
      </c>
      <c r="S116" s="61">
        <f t="shared" si="26"/>
        <v>97.906750646694121</v>
      </c>
      <c r="T116" s="61">
        <f t="shared" si="26"/>
        <v>98.275333782763951</v>
      </c>
      <c r="U116" s="61">
        <f t="shared" si="26"/>
        <v>97.567780320214609</v>
      </c>
      <c r="V116" s="61">
        <f t="shared" si="26"/>
        <v>95.620419729461588</v>
      </c>
    </row>
    <row r="117" spans="3:22" ht="22.5" customHeight="1" x14ac:dyDescent="0.2">
      <c r="C117" s="89" t="s">
        <v>148</v>
      </c>
      <c r="D117" s="63" t="str">
        <f t="shared" ref="D117:V117" si="27">+IFERROR(IF(D78&gt;0,+((D78/D38)*100)," "),"")</f>
        <v xml:space="preserve"> </v>
      </c>
      <c r="E117" s="63" t="str">
        <f t="shared" si="27"/>
        <v xml:space="preserve"> </v>
      </c>
      <c r="F117" s="63" t="str">
        <f t="shared" si="27"/>
        <v xml:space="preserve"> </v>
      </c>
      <c r="G117" s="63" t="str">
        <f t="shared" si="27"/>
        <v xml:space="preserve"> </v>
      </c>
      <c r="H117" s="63" t="str">
        <f t="shared" si="27"/>
        <v xml:space="preserve"> </v>
      </c>
      <c r="I117" s="63" t="str">
        <f t="shared" si="27"/>
        <v xml:space="preserve"> </v>
      </c>
      <c r="J117" s="63" t="str">
        <f t="shared" si="27"/>
        <v xml:space="preserve"> </v>
      </c>
      <c r="K117" s="63" t="str">
        <f t="shared" si="27"/>
        <v xml:space="preserve"> </v>
      </c>
      <c r="L117" s="63" t="str">
        <f t="shared" si="27"/>
        <v xml:space="preserve"> </v>
      </c>
      <c r="M117" s="63" t="str">
        <f t="shared" si="27"/>
        <v xml:space="preserve"> </v>
      </c>
      <c r="N117" s="63" t="str">
        <f t="shared" si="27"/>
        <v xml:space="preserve"> </v>
      </c>
      <c r="O117" s="63" t="str">
        <f t="shared" si="27"/>
        <v xml:space="preserve"> </v>
      </c>
      <c r="P117" s="63" t="str">
        <f t="shared" si="27"/>
        <v xml:space="preserve"> </v>
      </c>
      <c r="Q117" s="63" t="str">
        <f t="shared" si="27"/>
        <v xml:space="preserve"> </v>
      </c>
      <c r="R117" s="63" t="str">
        <f t="shared" si="27"/>
        <v xml:space="preserve"> </v>
      </c>
      <c r="S117" s="63" t="str">
        <f t="shared" si="27"/>
        <v xml:space="preserve"> </v>
      </c>
      <c r="T117" s="63" t="str">
        <f t="shared" si="27"/>
        <v xml:space="preserve"> </v>
      </c>
      <c r="U117" s="63" t="str">
        <f t="shared" si="27"/>
        <v xml:space="preserve"> </v>
      </c>
      <c r="V117" s="63" t="str">
        <f t="shared" si="27"/>
        <v xml:space="preserve"> </v>
      </c>
    </row>
    <row r="118" spans="3:22" x14ac:dyDescent="0.2">
      <c r="C118" s="87" t="s">
        <v>149</v>
      </c>
      <c r="D118" s="60">
        <f t="shared" ref="D118:V118" si="28">+IFERROR(IF(D79&gt;0,+((D79/D39)*100)," "),"")</f>
        <v>94.567487583828353</v>
      </c>
      <c r="E118" s="60">
        <f t="shared" si="28"/>
        <v>99.323410248307027</v>
      </c>
      <c r="F118" s="60">
        <f t="shared" si="28"/>
        <v>99.381389096391757</v>
      </c>
      <c r="G118" s="60">
        <f t="shared" si="28"/>
        <v>98.735030753138346</v>
      </c>
      <c r="H118" s="60">
        <f t="shared" si="28"/>
        <v>99.846787260810089</v>
      </c>
      <c r="I118" s="60">
        <f t="shared" si="28"/>
        <v>98.589821311202527</v>
      </c>
      <c r="J118" s="60">
        <f t="shared" si="28"/>
        <v>91.748017169103179</v>
      </c>
      <c r="K118" s="60">
        <f t="shared" si="28"/>
        <v>98.821837417844407</v>
      </c>
      <c r="L118" s="60">
        <f t="shared" si="28"/>
        <v>95.512875347289139</v>
      </c>
      <c r="M118" s="60">
        <f t="shared" si="28"/>
        <v>84.262228454927055</v>
      </c>
      <c r="N118" s="60">
        <f t="shared" si="28"/>
        <v>92.108211384184813</v>
      </c>
      <c r="O118" s="60">
        <f t="shared" si="28"/>
        <v>95.028144729072636</v>
      </c>
      <c r="P118" s="60">
        <f t="shared" si="28"/>
        <v>98.098202625830808</v>
      </c>
      <c r="Q118" s="60">
        <f t="shared" si="28"/>
        <v>94.778279152073509</v>
      </c>
      <c r="R118" s="60">
        <f t="shared" si="28"/>
        <v>96.766540843798211</v>
      </c>
      <c r="S118" s="60">
        <f t="shared" si="28"/>
        <v>96.20179430625781</v>
      </c>
      <c r="T118" s="60">
        <f t="shared" si="28"/>
        <v>98.282311229329181</v>
      </c>
      <c r="U118" s="60">
        <f t="shared" si="28"/>
        <v>98.427110830859291</v>
      </c>
      <c r="V118" s="60">
        <f t="shared" si="28"/>
        <v>93.732841795035199</v>
      </c>
    </row>
    <row r="119" spans="3:22" x14ac:dyDescent="0.2">
      <c r="C119" s="88" t="s">
        <v>150</v>
      </c>
      <c r="D119" s="62">
        <f t="shared" ref="D119:V119" si="29">+IFERROR(IF(D80&gt;0,+((D80/D40)*100)," "),"")</f>
        <v>79.761833950525101</v>
      </c>
      <c r="E119" s="62">
        <f t="shared" si="29"/>
        <v>94.585810901540739</v>
      </c>
      <c r="F119" s="62">
        <f t="shared" si="29"/>
        <v>82.926010126862607</v>
      </c>
      <c r="G119" s="62">
        <f t="shared" si="29"/>
        <v>98.101964639682748</v>
      </c>
      <c r="H119" s="62">
        <f t="shared" si="29"/>
        <v>94.842357786883497</v>
      </c>
      <c r="I119" s="62">
        <f t="shared" si="29"/>
        <v>98.791703342138334</v>
      </c>
      <c r="J119" s="62">
        <f t="shared" si="29"/>
        <v>98.540580055089393</v>
      </c>
      <c r="K119" s="62">
        <f t="shared" si="29"/>
        <v>93.354607786826207</v>
      </c>
      <c r="L119" s="62">
        <f t="shared" si="29"/>
        <v>96.676479166433609</v>
      </c>
      <c r="M119" s="62">
        <f t="shared" si="29"/>
        <v>84.714414872041644</v>
      </c>
      <c r="N119" s="62">
        <f t="shared" si="29"/>
        <v>72.116813658901549</v>
      </c>
      <c r="O119" s="62">
        <f t="shared" si="29"/>
        <v>81.598374199836414</v>
      </c>
      <c r="P119" s="62">
        <f t="shared" si="29"/>
        <v>86.641742469027676</v>
      </c>
      <c r="Q119" s="62">
        <f t="shared" si="29"/>
        <v>96.036961082923739</v>
      </c>
      <c r="R119" s="62">
        <f t="shared" si="29"/>
        <v>97.061242517330157</v>
      </c>
      <c r="S119" s="62">
        <f t="shared" si="29"/>
        <v>96.976527555362964</v>
      </c>
      <c r="T119" s="62">
        <f t="shared" si="29"/>
        <v>99.265300842321835</v>
      </c>
      <c r="U119" s="62">
        <f t="shared" si="29"/>
        <v>98.511749114220564</v>
      </c>
      <c r="V119" s="62">
        <f t="shared" si="29"/>
        <v>97.880125881998509</v>
      </c>
    </row>
    <row r="120" spans="3:22" x14ac:dyDescent="0.2">
      <c r="C120" s="87" t="s">
        <v>151</v>
      </c>
      <c r="D120" s="60">
        <f t="shared" ref="D120:V120" si="30">+IFERROR(IF(D81&gt;0,+((D81/D41)*100)," "),"")</f>
        <v>30.719354970000001</v>
      </c>
      <c r="E120" s="60">
        <f t="shared" si="30"/>
        <v>48.648319480986672</v>
      </c>
      <c r="F120" s="60">
        <f t="shared" si="30"/>
        <v>34.80634607567746</v>
      </c>
      <c r="G120" s="60" t="str">
        <f t="shared" si="30"/>
        <v xml:space="preserve"> </v>
      </c>
      <c r="H120" s="60" t="str">
        <f t="shared" si="30"/>
        <v xml:space="preserve"> </v>
      </c>
      <c r="I120" s="60">
        <f t="shared" si="30"/>
        <v>99.52782992198739</v>
      </c>
      <c r="J120" s="60">
        <f t="shared" si="30"/>
        <v>0.60263803090000001</v>
      </c>
      <c r="K120" s="60" t="str">
        <f t="shared" si="30"/>
        <v xml:space="preserve"> </v>
      </c>
      <c r="L120" s="60" t="str">
        <f t="shared" si="30"/>
        <v xml:space="preserve"> </v>
      </c>
      <c r="M120" s="60" t="str">
        <f t="shared" si="30"/>
        <v xml:space="preserve"> </v>
      </c>
      <c r="N120" s="60" t="str">
        <f t="shared" si="30"/>
        <v xml:space="preserve"> </v>
      </c>
      <c r="O120" s="60" t="str">
        <f t="shared" si="30"/>
        <v xml:space="preserve"> </v>
      </c>
      <c r="P120" s="60" t="str">
        <f t="shared" si="30"/>
        <v xml:space="preserve"> </v>
      </c>
      <c r="Q120" s="60" t="str">
        <f t="shared" si="30"/>
        <v xml:space="preserve"> </v>
      </c>
      <c r="R120" s="60" t="str">
        <f t="shared" si="30"/>
        <v xml:space="preserve"> </v>
      </c>
      <c r="S120" s="60" t="str">
        <f t="shared" si="30"/>
        <v xml:space="preserve"> </v>
      </c>
      <c r="T120" s="60" t="str">
        <f t="shared" si="30"/>
        <v xml:space="preserve"> </v>
      </c>
      <c r="U120" s="60" t="str">
        <f t="shared" si="30"/>
        <v xml:space="preserve"> </v>
      </c>
      <c r="V120" s="60" t="str">
        <f t="shared" si="30"/>
        <v xml:space="preserve"> </v>
      </c>
    </row>
    <row r="121" spans="3:22" x14ac:dyDescent="0.2">
      <c r="C121" s="91" t="s">
        <v>202</v>
      </c>
      <c r="D121" s="64">
        <f t="shared" ref="D121:V121" si="31">+IFERROR(IF(D82&gt;0,+((D82/D42)*100)," "),"")</f>
        <v>77.699430109181932</v>
      </c>
      <c r="E121" s="64">
        <f t="shared" si="31"/>
        <v>87.812201743531276</v>
      </c>
      <c r="F121" s="64">
        <f t="shared" si="31"/>
        <v>88.771170241202867</v>
      </c>
      <c r="G121" s="64">
        <f t="shared" si="31"/>
        <v>96.337083887254892</v>
      </c>
      <c r="H121" s="64">
        <f t="shared" si="31"/>
        <v>94.301464356164672</v>
      </c>
      <c r="I121" s="64">
        <f t="shared" si="31"/>
        <v>95.581804445653816</v>
      </c>
      <c r="J121" s="64">
        <f t="shared" si="31"/>
        <v>94.433071522126895</v>
      </c>
      <c r="K121" s="64">
        <f t="shared" si="31"/>
        <v>94.101014116931509</v>
      </c>
      <c r="L121" s="64">
        <f t="shared" si="31"/>
        <v>96.541921316615372</v>
      </c>
      <c r="M121" s="64">
        <f t="shared" si="31"/>
        <v>93.254327070541507</v>
      </c>
      <c r="N121" s="64">
        <f t="shared" si="31"/>
        <v>90.51008027792659</v>
      </c>
      <c r="O121" s="64">
        <f t="shared" si="31"/>
        <v>86.542604722992706</v>
      </c>
      <c r="P121" s="64">
        <f t="shared" si="31"/>
        <v>92.470643798575438</v>
      </c>
      <c r="Q121" s="64">
        <f t="shared" si="31"/>
        <v>95.693941682493957</v>
      </c>
      <c r="R121" s="64">
        <f t="shared" si="31"/>
        <v>95.881866723102576</v>
      </c>
      <c r="S121" s="64">
        <f t="shared" si="31"/>
        <v>96.049405862643937</v>
      </c>
      <c r="T121" s="64">
        <f t="shared" si="31"/>
        <v>98.337539681732736</v>
      </c>
      <c r="U121" s="64">
        <f t="shared" si="31"/>
        <v>98.394302616697075</v>
      </c>
      <c r="V121" s="64">
        <f t="shared" si="31"/>
        <v>95.325999679427667</v>
      </c>
    </row>
    <row r="122" spans="3:22" x14ac:dyDescent="0.2">
      <c r="C122" s="1" t="s">
        <v>52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3:22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7" spans="3:22" ht="18" customHeight="1" x14ac:dyDescent="0.2">
      <c r="C127" s="9"/>
      <c r="D127" s="164" t="s">
        <v>221</v>
      </c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</row>
    <row r="128" spans="3:22" ht="15.75" customHeight="1" x14ac:dyDescent="0.2"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</row>
    <row r="129" spans="3:22" x14ac:dyDescent="0.2">
      <c r="C129" s="181" t="s">
        <v>120</v>
      </c>
      <c r="D129" s="155">
        <v>2000</v>
      </c>
      <c r="E129" s="155">
        <v>2001</v>
      </c>
      <c r="F129" s="155">
        <v>2002</v>
      </c>
      <c r="G129" s="155">
        <v>2003</v>
      </c>
      <c r="H129" s="155">
        <v>2004</v>
      </c>
      <c r="I129" s="155">
        <v>2005</v>
      </c>
      <c r="J129" s="155">
        <v>2006</v>
      </c>
      <c r="K129" s="155">
        <v>2007</v>
      </c>
      <c r="L129" s="155">
        <v>2008</v>
      </c>
      <c r="M129" s="155">
        <v>2009</v>
      </c>
      <c r="N129" s="155">
        <v>2010</v>
      </c>
      <c r="O129" s="155">
        <v>2011</v>
      </c>
      <c r="P129" s="155">
        <v>2012</v>
      </c>
      <c r="Q129" s="155">
        <v>2013</v>
      </c>
      <c r="R129" s="155">
        <v>2014</v>
      </c>
      <c r="S129" s="155">
        <v>2015</v>
      </c>
      <c r="T129" s="155">
        <v>2016</v>
      </c>
      <c r="U129" s="155">
        <v>2017</v>
      </c>
      <c r="V129" s="155">
        <v>2018</v>
      </c>
    </row>
    <row r="130" spans="3:22" ht="12" customHeight="1" thickBot="1" x14ac:dyDescent="0.25">
      <c r="C130" s="162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</row>
    <row r="131" spans="3:22" x14ac:dyDescent="0.2">
      <c r="C131" s="87" t="s">
        <v>123</v>
      </c>
      <c r="D131" s="56">
        <f>23.077433615*Deflactores!$A$5</f>
        <v>86.123033888954197</v>
      </c>
      <c r="E131" s="56">
        <f>21.211299942*Deflactores!$B$5</f>
        <v>73.534628624071075</v>
      </c>
      <c r="F131" s="56">
        <f>21.84614698*Deflactores!$C$5</f>
        <v>70.786234648112853</v>
      </c>
      <c r="G131" s="56">
        <f>18.218041379*Deflactores!$D$5</f>
        <v>55.432091289352712</v>
      </c>
      <c r="H131" s="56">
        <f>22.711814285*Deflactores!$E$5</f>
        <v>65.504535074336189</v>
      </c>
      <c r="I131" s="56">
        <f>32.754526313*Deflactores!$F$5</f>
        <v>90.095071378045262</v>
      </c>
      <c r="J131" s="56">
        <f>35.029585976*Deflactores!$G$5</f>
        <v>92.22317698560812</v>
      </c>
      <c r="K131" s="56">
        <f>52.812576228*Deflactores!$H$5</f>
        <v>131.54980196602506</v>
      </c>
      <c r="L131" s="56">
        <f>50.934666912*Deflactores!$I$5</f>
        <v>117.82948268137712</v>
      </c>
      <c r="M131" s="56">
        <f>46.112564375*Deflactores!$J$5</f>
        <v>104.5807869005743</v>
      </c>
      <c r="N131" s="56">
        <f>61.763061784*Deflactores!$K$5</f>
        <v>135.76970440676601</v>
      </c>
      <c r="O131" s="56">
        <f>28.4481358138199*Deflactores!$L$5</f>
        <v>60.288901202550861</v>
      </c>
      <c r="P131" s="56">
        <f>33.98453249143*Deflactores!$M$5</f>
        <v>70.30646887675131</v>
      </c>
      <c r="Q131" s="56">
        <f>42.14022429821*Deflactores!$N$5</f>
        <v>85.519706134480401</v>
      </c>
      <c r="R131" s="56">
        <f>76.02419811565*Deflactores!$O$5</f>
        <v>148.83668909899964</v>
      </c>
      <c r="S131" s="56">
        <f>47.25711028033*Deflactores!$P$5</f>
        <v>86.651497241972308</v>
      </c>
      <c r="T131" s="56">
        <f>34.24698659465*Deflactores!$Q$5</f>
        <v>59.381463579935733</v>
      </c>
      <c r="U131" s="56">
        <f>40.49881218389*Deflactores!$R$5</f>
        <v>67.462403658865327</v>
      </c>
      <c r="V131" s="56">
        <f>49.21389213069*Deflactores!$S$5</f>
        <v>79.453258803568417</v>
      </c>
    </row>
    <row r="132" spans="3:22" x14ac:dyDescent="0.2">
      <c r="C132" s="88" t="s">
        <v>124</v>
      </c>
      <c r="D132" s="57">
        <f>3.01430505282999*Deflactores!$A$5</f>
        <v>11.249131967940583</v>
      </c>
      <c r="E132" s="57">
        <f>0.843573121*Deflactores!$B$5</f>
        <v>2.9244712176812784</v>
      </c>
      <c r="F132" s="57">
        <f>3.90794659439*Deflactores!$C$5</f>
        <v>12.662591022391082</v>
      </c>
      <c r="G132" s="57">
        <f>3.73701674104*Deflactores!$D$5</f>
        <v>11.370632486209628</v>
      </c>
      <c r="H132" s="57">
        <f>5.99710552096*Deflactores!$E$5</f>
        <v>17.296619460369083</v>
      </c>
      <c r="I132" s="57">
        <f>6.67297877471999*Deflactores!$F$5</f>
        <v>18.354791434549497</v>
      </c>
      <c r="J132" s="57">
        <f>9.79567275493*Deflactores!$G$5</f>
        <v>25.789287455180077</v>
      </c>
      <c r="K132" s="57">
        <f>20.15385024482*Deflactores!$H$5</f>
        <v>50.200827111959242</v>
      </c>
      <c r="L132" s="57">
        <f>15.57408557358*Deflactores!$I$5</f>
        <v>36.028240835282482</v>
      </c>
      <c r="M132" s="57">
        <f>19.37375549537*Deflactores!$J$5</f>
        <v>43.938623288180992</v>
      </c>
      <c r="N132" s="57">
        <f>21.96021879805*Deflactores!$K$5</f>
        <v>48.273714560108388</v>
      </c>
      <c r="O132" s="57">
        <f>33.69185588369*Deflactores!$L$5</f>
        <v>71.401689868044159</v>
      </c>
      <c r="P132" s="57">
        <f>32.25186436811*Deflactores!$M$5</f>
        <v>66.721962380548788</v>
      </c>
      <c r="Q132" s="57">
        <f>33.7536602504099*Deflactores!$N$5</f>
        <v>68.499946396838752</v>
      </c>
      <c r="R132" s="57">
        <f>38.35569803931*Deflactores!$O$5</f>
        <v>75.091026880252201</v>
      </c>
      <c r="S132" s="57">
        <f>34.64797980311*Deflactores!$P$5</f>
        <v>63.531166178791018</v>
      </c>
      <c r="T132" s="57">
        <f>50.38022728224*Deflactores!$Q$5</f>
        <v>87.355178629835109</v>
      </c>
      <c r="U132" s="57">
        <f>66.31394564284*Deflactores!$R$5</f>
        <v>110.46492299220853</v>
      </c>
      <c r="V132" s="57">
        <f>80.26238605529*Deflactores!$S$5</f>
        <v>129.57943083445099</v>
      </c>
    </row>
    <row r="133" spans="3:22" x14ac:dyDescent="0.2">
      <c r="C133" s="87" t="s">
        <v>125</v>
      </c>
      <c r="D133" s="56">
        <f>1.8305855906*Deflactores!$A$5</f>
        <v>6.831590872973031</v>
      </c>
      <c r="E133" s="56">
        <f>1.26807817502999*Deflactores!$B$5</f>
        <v>4.3961312094070486</v>
      </c>
      <c r="F133" s="56">
        <f>7.54485813121*Deflactores!$C$5</f>
        <v>24.44696991883707</v>
      </c>
      <c r="G133" s="56">
        <f>2.30098930175*Deflactores!$D$5</f>
        <v>7.0012273205974669</v>
      </c>
      <c r="H133" s="56">
        <f>1.68856175246*Deflactores!$E$5</f>
        <v>4.8700844041442313</v>
      </c>
      <c r="I133" s="56">
        <f>10.44788090142*Deflactores!$F$5</f>
        <v>28.738091540928668</v>
      </c>
      <c r="J133" s="56">
        <f>0.19184414*Deflactores!$G$5</f>
        <v>0.50507237193706822</v>
      </c>
      <c r="K133" s="56">
        <f>38.508649226*Deflactores!$H$5</f>
        <v>95.920433000457436</v>
      </c>
      <c r="L133" s="56">
        <f>48.2791127189*Deflactores!$I$5</f>
        <v>111.68626832903951</v>
      </c>
      <c r="M133" s="56">
        <f>43.2077947768*Deflactores!$J$5</f>
        <v>97.992927507759489</v>
      </c>
      <c r="N133" s="56">
        <f>0*Deflactores!$K$5</f>
        <v>0</v>
      </c>
      <c r="O133" s="56">
        <f>0*Deflactores!$L$5</f>
        <v>0</v>
      </c>
      <c r="P133" s="56">
        <f>0*Deflactores!$M$5</f>
        <v>0</v>
      </c>
      <c r="Q133" s="56">
        <f>0*Deflactores!$N$5</f>
        <v>0</v>
      </c>
      <c r="R133" s="56">
        <f>0*Deflactores!$O$5</f>
        <v>0</v>
      </c>
      <c r="S133" s="56">
        <f>0*Deflactores!$P$5</f>
        <v>0</v>
      </c>
      <c r="T133" s="56">
        <f>0*Deflactores!$Q$5</f>
        <v>0</v>
      </c>
      <c r="U133" s="56">
        <f>0*Deflactores!$R$5</f>
        <v>0</v>
      </c>
      <c r="V133" s="56">
        <f>0*Deflactores!$S$5</f>
        <v>0</v>
      </c>
    </row>
    <row r="134" spans="3:22" x14ac:dyDescent="0.2">
      <c r="C134" s="88" t="s">
        <v>126</v>
      </c>
      <c r="D134" s="57">
        <f>0.7674214138*Deflactores!$A$5</f>
        <v>2.8639519250895931</v>
      </c>
      <c r="E134" s="57">
        <f>0.145428513*Deflactores!$B$5</f>
        <v>0.50416672830272369</v>
      </c>
      <c r="F134" s="57">
        <f>0.095712293*Deflactores!$C$5</f>
        <v>0.31012850170831036</v>
      </c>
      <c r="G134" s="57">
        <f>0.042827433*Deflactores!$D$5</f>
        <v>0.13031116388181943</v>
      </c>
      <c r="H134" s="57">
        <f>0.842720955*Deflactores!$E$5</f>
        <v>2.4305431376802749</v>
      </c>
      <c r="I134" s="57">
        <f>1.145876573*Deflactores!$F$5</f>
        <v>3.1518645895938557</v>
      </c>
      <c r="J134" s="57">
        <f>1.83191089*Deflactores!$G$5</f>
        <v>4.8229129041400265</v>
      </c>
      <c r="K134" s="57">
        <f>4.178044641*Deflactores!$H$5</f>
        <v>10.407008791920399</v>
      </c>
      <c r="L134" s="57">
        <f>8.3675173791*Deflactores!$I$5</f>
        <v>19.356958705751389</v>
      </c>
      <c r="M134" s="57">
        <f>11.9876844816*Deflactores!$J$5</f>
        <v>27.187416123862686</v>
      </c>
      <c r="N134" s="57">
        <f>11.69091497652*Deflactores!$K$5</f>
        <v>25.699374751818798</v>
      </c>
      <c r="O134" s="57">
        <f>13.95271947394*Deflactores!$L$5</f>
        <v>29.56939362833856</v>
      </c>
      <c r="P134" s="57">
        <f>9.01579431634*Deflactores!$M$5</f>
        <v>18.65168110406681</v>
      </c>
      <c r="Q134" s="57">
        <f>36.81468615885*Deflactores!$N$5</f>
        <v>74.712016705419146</v>
      </c>
      <c r="R134" s="57">
        <f>48.55948925497*Deflactores!$O$5</f>
        <v>95.067541443233935</v>
      </c>
      <c r="S134" s="57">
        <f>77.79888412931*Deflactores!$P$5</f>
        <v>142.65344947182314</v>
      </c>
      <c r="T134" s="57">
        <f>77.63061166335*Deflactores!$Q$5</f>
        <v>134.60510828989226</v>
      </c>
      <c r="U134" s="57">
        <f>105.77233306416*Deflactores!$R$5</f>
        <v>176.19420038083973</v>
      </c>
      <c r="V134" s="57">
        <f>114.61259937304*Deflactores!$S$5</f>
        <v>185.03605640361647</v>
      </c>
    </row>
    <row r="135" spans="3:22" x14ac:dyDescent="0.2">
      <c r="C135" s="87" t="s">
        <v>127</v>
      </c>
      <c r="D135" s="56">
        <f>0*Deflactores!$A$5</f>
        <v>0</v>
      </c>
      <c r="E135" s="56">
        <f>0*Deflactores!$B$5</f>
        <v>0</v>
      </c>
      <c r="F135" s="56">
        <f>0*Deflactores!$C$5</f>
        <v>0</v>
      </c>
      <c r="G135" s="56">
        <f>0*Deflactores!$D$5</f>
        <v>0</v>
      </c>
      <c r="H135" s="56">
        <f>0*Deflactores!$E$5</f>
        <v>0</v>
      </c>
      <c r="I135" s="56">
        <f>0*Deflactores!$F$5</f>
        <v>0</v>
      </c>
      <c r="J135" s="56">
        <f>0*Deflactores!$G$5</f>
        <v>0</v>
      </c>
      <c r="K135" s="56">
        <f>0*Deflactores!$H$5</f>
        <v>0</v>
      </c>
      <c r="L135" s="56">
        <f>0*Deflactores!$I$5</f>
        <v>0</v>
      </c>
      <c r="M135" s="56">
        <f>0*Deflactores!$J$5</f>
        <v>0</v>
      </c>
      <c r="N135" s="56">
        <f>0*Deflactores!$K$5</f>
        <v>0</v>
      </c>
      <c r="O135" s="56">
        <f>0*Deflactores!$L$5</f>
        <v>0</v>
      </c>
      <c r="P135" s="56">
        <f>0*Deflactores!$M$5</f>
        <v>0</v>
      </c>
      <c r="Q135" s="56">
        <f>0*Deflactores!$N$5</f>
        <v>0</v>
      </c>
      <c r="R135" s="56">
        <f>0*Deflactores!$O$5</f>
        <v>0</v>
      </c>
      <c r="S135" s="56">
        <f>0*Deflactores!$P$5</f>
        <v>0</v>
      </c>
      <c r="T135" s="56">
        <f>0*Deflactores!$Q$5</f>
        <v>0</v>
      </c>
      <c r="U135" s="56">
        <f>0*Deflactores!$R$5</f>
        <v>0</v>
      </c>
      <c r="V135" s="56">
        <f>0*Deflactores!$S$5</f>
        <v>0</v>
      </c>
    </row>
    <row r="136" spans="3:22" x14ac:dyDescent="0.2">
      <c r="C136" s="88" t="s">
        <v>128</v>
      </c>
      <c r="D136" s="57">
        <f>0.110112825*Deflactores!$A$5</f>
        <v>0.4109317663866881</v>
      </c>
      <c r="E136" s="57">
        <f>0.112299592*Deflactores!$B$5</f>
        <v>0.38931648767096122</v>
      </c>
      <c r="F136" s="57">
        <f>0.20857598*Deflactores!$C$5</f>
        <v>0.67583122441484611</v>
      </c>
      <c r="G136" s="57">
        <f>0.282376425*Deflactores!$D$5</f>
        <v>0.8591876285122505</v>
      </c>
      <c r="H136" s="57">
        <f>0.271896842*Deflactores!$E$5</f>
        <v>0.78419434043863079</v>
      </c>
      <c r="I136" s="57">
        <f>0.216968825*Deflactores!$F$5</f>
        <v>0.59679757198708883</v>
      </c>
      <c r="J136" s="57">
        <f>0.63145317*Deflactores!$G$5</f>
        <v>1.662440929074408</v>
      </c>
      <c r="K136" s="57">
        <f>2.812024066*Deflactores!$H$5</f>
        <v>7.0044151493195477</v>
      </c>
      <c r="L136" s="57">
        <f>2.254341037*Deflactores!$I$5</f>
        <v>5.2150697016638077</v>
      </c>
      <c r="M136" s="57">
        <f>2.768815025*Deflactores!$J$5</f>
        <v>6.2795218184313626</v>
      </c>
      <c r="N136" s="57">
        <f>4.996665641*Deflactores!$K$5</f>
        <v>10.983843700471395</v>
      </c>
      <c r="O136" s="57">
        <f>6.407821921*Deflactores!$L$5</f>
        <v>13.579819262921156</v>
      </c>
      <c r="P136" s="57">
        <f>8.00298096331*Deflactores!$M$5</f>
        <v>16.556394652775523</v>
      </c>
      <c r="Q136" s="57">
        <f>7.01764075052*Deflactores!$N$5</f>
        <v>14.241655917510563</v>
      </c>
      <c r="R136" s="57">
        <f>7.84716867105999*Deflactores!$O$5</f>
        <v>15.362827004439493</v>
      </c>
      <c r="S136" s="57">
        <f>13.49062755888*Deflactores!$P$5</f>
        <v>24.73666015074426</v>
      </c>
      <c r="T136" s="57">
        <f>15.16370095109*Deflactores!$Q$5</f>
        <v>26.292612731797348</v>
      </c>
      <c r="U136" s="57">
        <f>8.5372264518*Deflactores!$R$5</f>
        <v>14.221202696102226</v>
      </c>
      <c r="V136" s="57">
        <f>10.2725811806*Deflactores!$S$5</f>
        <v>16.584545862689421</v>
      </c>
    </row>
    <row r="137" spans="3:22" x14ac:dyDescent="0.2">
      <c r="C137" s="87" t="s">
        <v>129</v>
      </c>
      <c r="D137" s="56">
        <f>7.15548707555999*Deflactores!$A$5</f>
        <v>26.703673648523537</v>
      </c>
      <c r="E137" s="56">
        <f>7.73004184953*Deflactores!$B$5</f>
        <v>26.798251790697158</v>
      </c>
      <c r="F137" s="56">
        <f>7.21785278938*Deflactores!$C$5</f>
        <v>23.387401983166029</v>
      </c>
      <c r="G137" s="56">
        <f>5.48322530870999*Deflactores!$D$5</f>
        <v>16.683826737975341</v>
      </c>
      <c r="H137" s="56">
        <f>9.28423986664*Deflactores!$E$5</f>
        <v>26.777245021087062</v>
      </c>
      <c r="I137" s="56">
        <f>11.30400797711*Deflactores!$F$5</f>
        <v>31.092966994045952</v>
      </c>
      <c r="J137" s="56">
        <f>9.31360981072*Deflactores!$G$5</f>
        <v>24.520149525529938</v>
      </c>
      <c r="K137" s="56">
        <f>13.84112511384*Deflactores!$H$5</f>
        <v>34.476584892431056</v>
      </c>
      <c r="L137" s="56">
        <f>20.90903245712*Deflactores!$I$5</f>
        <v>48.369816220593272</v>
      </c>
      <c r="M137" s="56">
        <f>21.1710602664799*Deflactores!$J$5</f>
        <v>48.014812713133786</v>
      </c>
      <c r="N137" s="56">
        <f>32.25544068305*Deflactores!$K$5</f>
        <v>70.905028354377222</v>
      </c>
      <c r="O137" s="56">
        <f>29.60550699609*Deflactores!$L$5</f>
        <v>62.741667785191559</v>
      </c>
      <c r="P137" s="56">
        <f>25.48942596043*Deflactores!$M$5</f>
        <v>52.731975448688068</v>
      </c>
      <c r="Q137" s="56">
        <f>30.88608674264*Deflactores!$N$5</f>
        <v>62.680469927798697</v>
      </c>
      <c r="R137" s="56">
        <f>41.62694584702*Deflactores!$O$5</f>
        <v>81.495325840186766</v>
      </c>
      <c r="S137" s="56">
        <f>81.0754027053299*Deflactores!$P$5</f>
        <v>148.66133354829481</v>
      </c>
      <c r="T137" s="56">
        <f>52.50188619007*Deflactores!$Q$5</f>
        <v>91.033961018941284</v>
      </c>
      <c r="U137" s="56">
        <f>59.7548282930399*Deflactores!$R$5</f>
        <v>99.538829152989692</v>
      </c>
      <c r="V137" s="56">
        <f>53.69109714624*Deflactores!$S$5</f>
        <v>86.681472493159831</v>
      </c>
    </row>
    <row r="138" spans="3:22" x14ac:dyDescent="0.2">
      <c r="C138" s="88" t="s">
        <v>130</v>
      </c>
      <c r="D138" s="57">
        <f>6.917689511*Deflactores!$A$5</f>
        <v>25.816233214159155</v>
      </c>
      <c r="E138" s="57">
        <f>10.58805800255*Deflactores!$B$5</f>
        <v>36.706327061359033</v>
      </c>
      <c r="F138" s="57">
        <f>6.78868973347*Deflactores!$C$5</f>
        <v>21.996820989375315</v>
      </c>
      <c r="G138" s="57">
        <f>9.05216657376*Deflactores!$D$5</f>
        <v>27.543055449500493</v>
      </c>
      <c r="H138" s="57">
        <f>7.65447220906*Deflactores!$E$5</f>
        <v>22.076732268150561</v>
      </c>
      <c r="I138" s="57">
        <f>9.25941486977*Deflactores!$F$5</f>
        <v>25.469079773556786</v>
      </c>
      <c r="J138" s="57">
        <f>17.14984114313*Deflactores!$G$5</f>
        <v>45.150771582100923</v>
      </c>
      <c r="K138" s="57">
        <f>13.19055836036*Deflactores!$H$5</f>
        <v>32.85610102857818</v>
      </c>
      <c r="L138" s="57">
        <f>13.07906712923*Deflactores!$I$5</f>
        <v>30.256401135492617</v>
      </c>
      <c r="M138" s="57">
        <f>7.81069025136999*Deflactores!$J$5</f>
        <v>17.71422049058225</v>
      </c>
      <c r="N138" s="57">
        <f>0*Deflactores!$K$5</f>
        <v>0</v>
      </c>
      <c r="O138" s="57">
        <f>2.774702765*Deflactores!$L$5</f>
        <v>5.8803073059101623</v>
      </c>
      <c r="P138" s="57">
        <f>0*Deflactores!$M$5</f>
        <v>0</v>
      </c>
      <c r="Q138" s="57">
        <f>0*Deflactores!$N$5</f>
        <v>0</v>
      </c>
      <c r="R138" s="57">
        <f>0*Deflactores!$O$5</f>
        <v>0</v>
      </c>
      <c r="S138" s="57">
        <f>0*Deflactores!$P$5</f>
        <v>0</v>
      </c>
      <c r="T138" s="57">
        <f>0*Deflactores!$Q$5</f>
        <v>0</v>
      </c>
      <c r="U138" s="57">
        <f>0*Deflactores!$R$5</f>
        <v>0</v>
      </c>
      <c r="V138" s="57">
        <f>0*Deflactores!$S$5</f>
        <v>0</v>
      </c>
    </row>
    <row r="139" spans="3:22" x14ac:dyDescent="0.2">
      <c r="C139" s="87" t="s">
        <v>131</v>
      </c>
      <c r="D139" s="56">
        <f>82.83305206406*Deflactores!$A$5</f>
        <v>309.12595694356833</v>
      </c>
      <c r="E139" s="56">
        <f>90.7657380168*Deflactores!$B$5</f>
        <v>314.66363943301957</v>
      </c>
      <c r="F139" s="56">
        <f>122.92961895394*Deflactores!$C$5</f>
        <v>398.31851632432335</v>
      </c>
      <c r="G139" s="56">
        <f>115.55302604322*Deflactores!$D$5</f>
        <v>351.59355251943754</v>
      </c>
      <c r="H139" s="56">
        <f>98.51707497958*Deflactores!$E$5</f>
        <v>284.13913183866572</v>
      </c>
      <c r="I139" s="56">
        <f>87.0599500412*Deflactores!$F$5</f>
        <v>239.46835127998418</v>
      </c>
      <c r="J139" s="56">
        <f>59.52242052387*Deflactores!$G$5</f>
        <v>156.70601206493276</v>
      </c>
      <c r="K139" s="56">
        <f>12.70867973216*Deflactores!$H$5</f>
        <v>31.655799080843213</v>
      </c>
      <c r="L139" s="56">
        <f>13.20598286841*Deflactores!$I$5</f>
        <v>30.550001090068562</v>
      </c>
      <c r="M139" s="56">
        <f>25.49752187623*Deflactores!$J$5</f>
        <v>57.826992230265461</v>
      </c>
      <c r="N139" s="56">
        <f>2.435863173*Deflactores!$K$5</f>
        <v>5.3545989046030531</v>
      </c>
      <c r="O139" s="56">
        <f>1.962347763*Deflactores!$L$5</f>
        <v>4.158718560078043</v>
      </c>
      <c r="P139" s="56">
        <f>5.06584045391999*Deflactores!$M$5</f>
        <v>10.480101625582991</v>
      </c>
      <c r="Q139" s="56">
        <f>10.69443921111*Deflactores!$N$5</f>
        <v>21.703379937776948</v>
      </c>
      <c r="R139" s="56">
        <f>5.03658746848*Deflactores!$O$5</f>
        <v>9.8604000008749857</v>
      </c>
      <c r="S139" s="56">
        <f>8.35648120275*Deflactores!$P$5</f>
        <v>15.322595977564051</v>
      </c>
      <c r="T139" s="56">
        <f>9.02358539568999*Deflactores!$Q$5</f>
        <v>15.646156372143762</v>
      </c>
      <c r="U139" s="56">
        <f>10.3692412148399*Deflactores!$R$5</f>
        <v>17.272949470600512</v>
      </c>
      <c r="V139" s="56">
        <f>9.28239080907999*Deflactores!$S$5</f>
        <v>14.985935217462286</v>
      </c>
    </row>
    <row r="140" spans="3:22" x14ac:dyDescent="0.2">
      <c r="C140" s="88" t="s">
        <v>132</v>
      </c>
      <c r="D140" s="57">
        <f>10.71460767639*Deflactores!$A$5</f>
        <v>39.986011244369671</v>
      </c>
      <c r="E140" s="57">
        <f>13.4776209981599*Deflactores!$B$5</f>
        <v>46.72376787587978</v>
      </c>
      <c r="F140" s="57">
        <f>13.7587882372099*Deflactores!$C$5</f>
        <v>44.581445575939043</v>
      </c>
      <c r="G140" s="57">
        <f>4.77014016313*Deflactores!$D$5</f>
        <v>14.514120342839188</v>
      </c>
      <c r="H140" s="57">
        <f>6.95078813289*Deflactores!$E$5</f>
        <v>20.047193911139043</v>
      </c>
      <c r="I140" s="57">
        <f>6.72036937974*Deflactores!$F$5</f>
        <v>18.485144714616077</v>
      </c>
      <c r="J140" s="57">
        <f>13.73105068396*Deflactores!$G$5</f>
        <v>36.150045230132022</v>
      </c>
      <c r="K140" s="57">
        <f>15.81694141563*Deflactores!$H$5</f>
        <v>39.39810665458883</v>
      </c>
      <c r="L140" s="57">
        <f>23.70165187497*Deflactores!$I$5</f>
        <v>54.830109794314687</v>
      </c>
      <c r="M140" s="57">
        <f>54.33914941357*Deflactores!$J$5</f>
        <v>123.23823413863286</v>
      </c>
      <c r="N140" s="57">
        <f>53.07960727175*Deflactores!$K$5</f>
        <v>116.68143354867856</v>
      </c>
      <c r="O140" s="57">
        <f>53.39629742373*Deflactores!$L$5</f>
        <v>113.16045877415323</v>
      </c>
      <c r="P140" s="57">
        <f>70.9143642358499*Deflactores!$M$5</f>
        <v>146.70610941373576</v>
      </c>
      <c r="Q140" s="57">
        <f>95.90171423406*Deflactores!$N$5</f>
        <v>194.62370112344428</v>
      </c>
      <c r="R140" s="57">
        <f>95.89049975082*Deflactores!$O$5</f>
        <v>187.73002350185294</v>
      </c>
      <c r="S140" s="57">
        <f>120.97620626605*Deflactores!$P$5</f>
        <v>221.82417294292722</v>
      </c>
      <c r="T140" s="57">
        <f>179.99644331143*Deflactores!$Q$5</f>
        <v>312.09905763461762</v>
      </c>
      <c r="U140" s="57">
        <f>237.550072600159*Deflactores!$R$5</f>
        <v>395.70787444772378</v>
      </c>
      <c r="V140" s="57">
        <f>323.528602883189*Deflactores!$S$5</f>
        <v>522.32003408657306</v>
      </c>
    </row>
    <row r="141" spans="3:22" x14ac:dyDescent="0.2">
      <c r="C141" s="87" t="s">
        <v>133</v>
      </c>
      <c r="D141" s="56">
        <f>0*Deflactores!$A$5</f>
        <v>0</v>
      </c>
      <c r="E141" s="56">
        <f>0*Deflactores!$B$5</f>
        <v>0</v>
      </c>
      <c r="F141" s="56">
        <f>0*Deflactores!$C$5</f>
        <v>0</v>
      </c>
      <c r="G141" s="56">
        <f>0*Deflactores!$D$5</f>
        <v>0</v>
      </c>
      <c r="H141" s="56">
        <f>0.39934691372*Deflactores!$E$5</f>
        <v>1.1517809008273003</v>
      </c>
      <c r="I141" s="56">
        <f>2.2619094062*Deflactores!$F$5</f>
        <v>6.2216405590753316</v>
      </c>
      <c r="J141" s="56">
        <f>3.1442181175*Deflactores!$G$5</f>
        <v>8.2778535872569705</v>
      </c>
      <c r="K141" s="56">
        <f>1.014876764*Deflactores!$H$5</f>
        <v>2.5279364662642254</v>
      </c>
      <c r="L141" s="56">
        <f>4.688586616*Deflactores!$I$5</f>
        <v>10.846320766651617</v>
      </c>
      <c r="M141" s="56">
        <f>4.1183713014*Deflactores!$J$5</f>
        <v>9.3402420205166532</v>
      </c>
      <c r="N141" s="56">
        <f>3.030226824*Deflactores!$K$5</f>
        <v>6.6611496952457063</v>
      </c>
      <c r="O141" s="56">
        <f>3.82780008*Deflactores!$L$5</f>
        <v>8.1120908011880335</v>
      </c>
      <c r="P141" s="56">
        <f>3.95238698644999*Deflactores!$M$5</f>
        <v>8.1766130730736606</v>
      </c>
      <c r="Q141" s="56">
        <f>2.96411675128*Deflactores!$N$5</f>
        <v>6.0154020947753697</v>
      </c>
      <c r="R141" s="56">
        <f>3.61813979521*Deflactores!$O$5</f>
        <v>7.0834281868674305</v>
      </c>
      <c r="S141" s="56">
        <f>2.279883043*Deflactores!$P$5</f>
        <v>4.1804350295782493</v>
      </c>
      <c r="T141" s="56">
        <f>2.62501856131*Deflactores!$Q$5</f>
        <v>4.5515667097973509</v>
      </c>
      <c r="U141" s="56">
        <f>5.53860942267*Deflactores!$R$5</f>
        <v>9.2261447788730884</v>
      </c>
      <c r="V141" s="56">
        <f>18.98072321384*Deflactores!$S$5</f>
        <v>30.643386419902424</v>
      </c>
    </row>
    <row r="142" spans="3:22" x14ac:dyDescent="0.2">
      <c r="C142" s="88" t="s">
        <v>134</v>
      </c>
      <c r="D142" s="57">
        <f>7.4030269236*Deflactores!$A$5</f>
        <v>27.627471462322006</v>
      </c>
      <c r="E142" s="57">
        <f>10.81719799985*Deflactores!$B$5</f>
        <v>37.500701977109131</v>
      </c>
      <c r="F142" s="57">
        <f>10.59890916643*Deflactores!$C$5</f>
        <v>34.342754901164184</v>
      </c>
      <c r="G142" s="57">
        <f>11.75564385491*Deflactores!$D$5</f>
        <v>35.768934199569713</v>
      </c>
      <c r="H142" s="57">
        <f>11.91065443524*Deflactores!$E$5</f>
        <v>34.352248192112079</v>
      </c>
      <c r="I142" s="57">
        <f>15.30590497115*Deflactores!$F$5</f>
        <v>42.100642448736274</v>
      </c>
      <c r="J142" s="57">
        <f>3.97691450175999*Deflactores!$G$5</f>
        <v>10.470112041967203</v>
      </c>
      <c r="K142" s="57">
        <f>10.96155859256*Deflactores!$H$5</f>
        <v>27.303929576640087</v>
      </c>
      <c r="L142" s="57">
        <f>11.00383566231*Deflactores!$I$5</f>
        <v>25.455673752436141</v>
      </c>
      <c r="M142" s="57">
        <f>8.25987423778*Deflactores!$J$5</f>
        <v>18.732945330516845</v>
      </c>
      <c r="N142" s="57">
        <f>9.6642093191*Deflactores!$K$5</f>
        <v>21.244200087878859</v>
      </c>
      <c r="O142" s="57">
        <f>8.89976164533*Deflactores!$L$5</f>
        <v>18.860879112539124</v>
      </c>
      <c r="P142" s="57">
        <f>13.83601100183*Deflactores!$M$5</f>
        <v>28.623641567641229</v>
      </c>
      <c r="Q142" s="57">
        <f>17.65362940051*Deflactores!$N$5</f>
        <v>35.826415821967224</v>
      </c>
      <c r="R142" s="57">
        <f>21.02718956429*Deflactores!$O$5</f>
        <v>41.166067559767022</v>
      </c>
      <c r="S142" s="57">
        <f>21.57136759837*Deflactores!$P$5</f>
        <v>39.553652114309436</v>
      </c>
      <c r="T142" s="57">
        <f>17.92924386382*Deflactores!$Q$5</f>
        <v>31.087837131969252</v>
      </c>
      <c r="U142" s="57">
        <f>24.4363558451199*Deflactores!$R$5</f>
        <v>40.705769208483638</v>
      </c>
      <c r="V142" s="57">
        <f>25.7772064285599*Deflactores!$S$5</f>
        <v>41.615953645011217</v>
      </c>
    </row>
    <row r="143" spans="3:22" x14ac:dyDescent="0.2">
      <c r="C143" s="87" t="s">
        <v>135</v>
      </c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</row>
    <row r="144" spans="3:22" x14ac:dyDescent="0.2">
      <c r="C144" s="88" t="s">
        <v>136</v>
      </c>
      <c r="D144" s="57">
        <f>783.57713911999*Deflactores!$A$5</f>
        <v>2924.2437280017575</v>
      </c>
      <c r="E144" s="57">
        <f>765.299627317699*Deflactores!$B$5</f>
        <v>2653.1152751046693</v>
      </c>
      <c r="F144" s="57">
        <f>802.26269081743*Deflactores!$C$5</f>
        <v>2599.5043946934488</v>
      </c>
      <c r="G144" s="57">
        <f>849.844334792*Deflactores!$D$5</f>
        <v>2585.8240064286865</v>
      </c>
      <c r="H144" s="57">
        <f>961.11010692632*Deflactores!$E$5</f>
        <v>2771.9965441525333</v>
      </c>
      <c r="I144" s="57">
        <f>1045.64131396771*Deflactores!$F$5</f>
        <v>2876.1560438248148</v>
      </c>
      <c r="J144" s="57">
        <f>1291.18901372544*Deflactores!$G$5</f>
        <v>3399.3422878665551</v>
      </c>
      <c r="K144" s="57">
        <f>1926.98086368844*Deflactores!$H$5</f>
        <v>4799.8785349186892</v>
      </c>
      <c r="L144" s="57">
        <f>2523.48931120904*Deflactores!$I$5</f>
        <v>5837.7026516235728</v>
      </c>
      <c r="M144" s="57">
        <f>3276.30029751248*Deflactores!$J$5</f>
        <v>7430.4708029250833</v>
      </c>
      <c r="N144" s="57">
        <f>2646.49650130986*Deflactores!$K$5</f>
        <v>5817.6203918287938</v>
      </c>
      <c r="O144" s="57">
        <f>2566.30851570115*Deflactores!$L$5</f>
        <v>5438.6664058039878</v>
      </c>
      <c r="P144" s="57">
        <f>2740.68405474909*Deflactores!$M$5</f>
        <v>5669.8681450102713</v>
      </c>
      <c r="Q144" s="57">
        <f>3179.46702676732*Deflactores!$N$5</f>
        <v>6452.4356555207323</v>
      </c>
      <c r="R144" s="57">
        <f>1128.62573969638*Deflactores!$O$5</f>
        <v>2209.5717217928641</v>
      </c>
      <c r="S144" s="57">
        <f>1178.48363839798*Deflactores!$P$5</f>
        <v>2160.889041597974</v>
      </c>
      <c r="T144" s="57">
        <f>2223.4931578065*Deflactores!$Q$5</f>
        <v>3855.3546194674291</v>
      </c>
      <c r="U144" s="57">
        <f>2394.27542052389*Deflactores!$R$5</f>
        <v>3988.353390624492</v>
      </c>
      <c r="V144" s="57">
        <f>2245.42343386969*Deflactores!$S$5</f>
        <v>3625.1188737740763</v>
      </c>
    </row>
    <row r="145" spans="3:22" x14ac:dyDescent="0.2">
      <c r="C145" s="87" t="s">
        <v>137</v>
      </c>
      <c r="D145" s="56">
        <f>9.16418072909*Deflactores!$A$5</f>
        <v>34.199948775193093</v>
      </c>
      <c r="E145" s="56">
        <f>10.95336060758*Deflactores!$B$5</f>
        <v>37.972745973436048</v>
      </c>
      <c r="F145" s="56">
        <f>15.18240514421*Deflactores!$C$5</f>
        <v>49.19427183405157</v>
      </c>
      <c r="G145" s="56">
        <f>14.30574985081*Deflactores!$D$5</f>
        <v>43.528149661951865</v>
      </c>
      <c r="H145" s="56">
        <f>13.63181257458*Deflactores!$E$5</f>
        <v>39.31634583275445</v>
      </c>
      <c r="I145" s="56">
        <f>29.99969757104*Deflactores!$F$5</f>
        <v>82.517599801462893</v>
      </c>
      <c r="J145" s="56">
        <f>32.43173325501*Deflactores!$G$5</f>
        <v>85.3837518369766</v>
      </c>
      <c r="K145" s="56">
        <f>28.37038777911*Deflactores!$H$5</f>
        <v>70.667238006514353</v>
      </c>
      <c r="L145" s="56">
        <f>39.6327051051*Deflactores!$I$5</f>
        <v>91.684140152829741</v>
      </c>
      <c r="M145" s="56">
        <f>42.58676799936*Deflactores!$J$5</f>
        <v>96.584472568172259</v>
      </c>
      <c r="N145" s="56">
        <f>33.7121970916*Deflactores!$K$5</f>
        <v>74.107320813147979</v>
      </c>
      <c r="O145" s="56">
        <f>34.17164066622*Deflactores!$L$5</f>
        <v>72.418476962346006</v>
      </c>
      <c r="P145" s="56">
        <f>36.87147231978*Deflactores!$M$5</f>
        <v>76.278907816204921</v>
      </c>
      <c r="Q145" s="56">
        <f>39.31169253677*Deflactores!$N$5</f>
        <v>79.779461295758281</v>
      </c>
      <c r="R145" s="56">
        <f>49.8075054841999*Deflactores!$O$5</f>
        <v>97.510850390969594</v>
      </c>
      <c r="S145" s="56">
        <f>37.72090027423*Deflactores!$P$5</f>
        <v>69.165729065698784</v>
      </c>
      <c r="T145" s="56">
        <f>32.6215992903*Deflactores!$Q$5</f>
        <v>56.56317541464567</v>
      </c>
      <c r="U145" s="56">
        <f>54.26278081597*Deflactores!$R$5</f>
        <v>90.390246667918035</v>
      </c>
      <c r="V145" s="56">
        <f>38.68025192483*Deflactores!$S$5</f>
        <v>62.447246777586969</v>
      </c>
    </row>
    <row r="146" spans="3:22" x14ac:dyDescent="0.2">
      <c r="C146" s="88" t="s">
        <v>138</v>
      </c>
      <c r="D146" s="57">
        <f>3.68231003063*Deflactores!$A$5</f>
        <v>13.742070147325759</v>
      </c>
      <c r="E146" s="57">
        <f>3.0711489301*Deflactores!$B$5</f>
        <v>10.646956888151138</v>
      </c>
      <c r="F146" s="57">
        <f>4.33166902610999*Deflactores!$C$5</f>
        <v>14.035543218714729</v>
      </c>
      <c r="G146" s="57">
        <f>2.28970573560999*Deflactores!$D$5</f>
        <v>6.9668947787324855</v>
      </c>
      <c r="H146" s="57">
        <f>7.12534524595*Deflactores!$E$5</f>
        <v>20.550644775584754</v>
      </c>
      <c r="I146" s="57">
        <f>3.16276031088*Deflactores!$F$5</f>
        <v>8.699534019739076</v>
      </c>
      <c r="J146" s="57">
        <f>2.11638848706*Deflactores!$G$5</f>
        <v>5.5718634569692744</v>
      </c>
      <c r="K146" s="57">
        <f>30.79647868335*Deflactores!$H$5</f>
        <v>76.71033987351133</v>
      </c>
      <c r="L146" s="57">
        <f>37.47446724665*Deflactores!$I$5</f>
        <v>86.691390307152162</v>
      </c>
      <c r="M146" s="57">
        <f>24.1870316322599*Deflactores!$J$5</f>
        <v>54.854871664048986</v>
      </c>
      <c r="N146" s="57">
        <f>16.2385319855599*Deflactores!$K$5</f>
        <v>35.696104176143997</v>
      </c>
      <c r="O146" s="57">
        <f>20.1905176041299*Deflactores!$L$5</f>
        <v>42.788888840737798</v>
      </c>
      <c r="P146" s="57">
        <f>10*Deflactores!$M$5</f>
        <v>20.687784625102829</v>
      </c>
      <c r="Q146" s="57">
        <f>5*Deflactores!$N$5</f>
        <v>10.147039741565049</v>
      </c>
      <c r="R146" s="57">
        <f>0*Deflactores!$O$5</f>
        <v>0</v>
      </c>
      <c r="S146" s="57">
        <f>0*Deflactores!$P$5</f>
        <v>0</v>
      </c>
      <c r="T146" s="57">
        <f>0*Deflactores!$Q$5</f>
        <v>0</v>
      </c>
      <c r="U146" s="57">
        <f>0*Deflactores!$R$5</f>
        <v>0</v>
      </c>
      <c r="V146" s="57">
        <f>0*Deflactores!$S$5</f>
        <v>0</v>
      </c>
    </row>
    <row r="147" spans="3:22" x14ac:dyDescent="0.2">
      <c r="C147" s="87" t="s">
        <v>139</v>
      </c>
      <c r="D147" s="56">
        <f>63.9077749680699*Deflactores!$A$5</f>
        <v>238.49842062876812</v>
      </c>
      <c r="E147" s="56">
        <f>54.14149429303*Deflactores!$B$5</f>
        <v>187.69593032377026</v>
      </c>
      <c r="F147" s="56">
        <f>69.83713236948*Deflactores!$C$5</f>
        <v>226.28739262731671</v>
      </c>
      <c r="G147" s="56">
        <f>57.56628212041*Deflactores!$D$5</f>
        <v>175.15710604134972</v>
      </c>
      <c r="H147" s="56">
        <f>59.43427963425*Deflactores!$E$5</f>
        <v>171.41804727995265</v>
      </c>
      <c r="I147" s="56">
        <f>88.0172801606*Deflactores!$F$5</f>
        <v>242.10159728133036</v>
      </c>
      <c r="J147" s="56">
        <f>99.39031207139*Deflactores!$G$5</f>
        <v>261.66710468957962</v>
      </c>
      <c r="K147" s="56">
        <f>139.278881134549*Deflactores!$H$5</f>
        <v>346.92701132775852</v>
      </c>
      <c r="L147" s="56">
        <f>256.70903758893*Deflactores!$I$5</f>
        <v>593.85669785565119</v>
      </c>
      <c r="M147" s="56">
        <f>274.00880976259*Deflactores!$J$5</f>
        <v>621.43707102520955</v>
      </c>
      <c r="N147" s="56">
        <f>220.18298777737*Deflactores!$K$5</f>
        <v>484.01387985717241</v>
      </c>
      <c r="O147" s="56">
        <f>143.376217244439*Deflactores!$L$5</f>
        <v>303.85100285011509</v>
      </c>
      <c r="P147" s="56">
        <f>200.153835556249*Deflactores!$M$5</f>
        <v>414.07394418759282</v>
      </c>
      <c r="Q147" s="56">
        <f>323.97555142036*Deflactores!$N$5</f>
        <v>657.47855911156876</v>
      </c>
      <c r="R147" s="56">
        <f>319.662671733629*Deflactores!$O$5</f>
        <v>625.82092108354141</v>
      </c>
      <c r="S147" s="56">
        <f>427.982619584749*Deflactores!$P$5</f>
        <v>784.75671831326781</v>
      </c>
      <c r="T147" s="56">
        <f>505.91584962441*Deflactores!$Q$5</f>
        <v>877.21655497938775</v>
      </c>
      <c r="U147" s="56">
        <f>553.04364946498*Deflactores!$R$5</f>
        <v>921.25304198476931</v>
      </c>
      <c r="V147" s="56">
        <f>23.2640940378099*Deflactores!$S$5</f>
        <v>37.558664929571542</v>
      </c>
    </row>
    <row r="148" spans="3:22" x14ac:dyDescent="0.2">
      <c r="C148" s="88" t="s">
        <v>140</v>
      </c>
      <c r="D148" s="57">
        <f>7.76798867241*Deflactores!$A$5</f>
        <v>28.989477896196245</v>
      </c>
      <c r="E148" s="57">
        <f>18.52817191125*Deflactores!$B$5</f>
        <v>64.232849674570588</v>
      </c>
      <c r="F148" s="57">
        <f>5.69090687473*Deflactores!$C$5</f>
        <v>18.439767422785888</v>
      </c>
      <c r="G148" s="57">
        <f>4.3189656136*Deflactores!$D$5</f>
        <v>13.141330134677286</v>
      </c>
      <c r="H148" s="57">
        <f>21.12542631476*Deflactores!$E$5</f>
        <v>60.929136335419848</v>
      </c>
      <c r="I148" s="57">
        <f>34.69824243275*Deflactores!$F$5</f>
        <v>95.441484904960788</v>
      </c>
      <c r="J148" s="57">
        <f>161.73307623844*Deflactores!$G$5</f>
        <v>425.79829874619872</v>
      </c>
      <c r="K148" s="57">
        <f>98.5850045946*Deflactores!$H$5</f>
        <v>245.56343881523287</v>
      </c>
      <c r="L148" s="57">
        <f>191.438776452239*Deflactores!$I$5</f>
        <v>442.86403273226779</v>
      </c>
      <c r="M148" s="57">
        <f>232.42589610577*Deflactores!$J$5</f>
        <v>527.12928548364982</v>
      </c>
      <c r="N148" s="57">
        <f>180.413187679119*Deflactores!$K$5</f>
        <v>396.59052603220897</v>
      </c>
      <c r="O148" s="57">
        <f>409.43725454712*Deflactores!$L$5</f>
        <v>867.70262732095864</v>
      </c>
      <c r="P148" s="57">
        <f>422.998195091*Deflactores!$M$5</f>
        <v>875.08955568498368</v>
      </c>
      <c r="Q148" s="57">
        <f>421.675510847389*Deflactores!$N$5</f>
        <v>855.75163332264003</v>
      </c>
      <c r="R148" s="57">
        <f>257.7251694483*Deflactores!$O$5</f>
        <v>504.56251915753154</v>
      </c>
      <c r="S148" s="57">
        <f>148.93771625255*Deflactores!$P$5</f>
        <v>273.09490640724317</v>
      </c>
      <c r="T148" s="57">
        <f>219.20016764461*Deflactores!$Q$5</f>
        <v>380.07509757771265</v>
      </c>
      <c r="U148" s="57">
        <f>146.98689679214*Deflactores!$R$5</f>
        <v>244.84889381273854</v>
      </c>
      <c r="V148" s="57">
        <f>193.25650484972*Deflactores!$S$5</f>
        <v>312.00253486398248</v>
      </c>
    </row>
    <row r="149" spans="3:22" x14ac:dyDescent="0.2">
      <c r="C149" s="87" t="s">
        <v>141</v>
      </c>
      <c r="D149" s="56">
        <f>0*Deflactores!$A$5</f>
        <v>0</v>
      </c>
      <c r="E149" s="56">
        <f>0*Deflactores!$B$5</f>
        <v>0</v>
      </c>
      <c r="F149" s="56">
        <f>0*Deflactores!$C$5</f>
        <v>0</v>
      </c>
      <c r="G149" s="56">
        <f>0*Deflactores!$D$5</f>
        <v>0</v>
      </c>
      <c r="H149" s="56">
        <f>0*Deflactores!$E$5</f>
        <v>0</v>
      </c>
      <c r="I149" s="56">
        <f>0*Deflactores!$F$5</f>
        <v>0</v>
      </c>
      <c r="J149" s="56">
        <f>0*Deflactores!$G$5</f>
        <v>0</v>
      </c>
      <c r="K149" s="56">
        <f>0.680159538*Deflactores!$H$5</f>
        <v>1.6941959457331985</v>
      </c>
      <c r="L149" s="56">
        <f>0.45957962*Deflactores!$I$5</f>
        <v>1.0631664475015128</v>
      </c>
      <c r="M149" s="56">
        <f>0.089379995*Deflactores!$J$5</f>
        <v>0.20270896526711321</v>
      </c>
      <c r="N149" s="56">
        <f>0.124632853*Deflactores!$K$5</f>
        <v>0.27397225983323054</v>
      </c>
      <c r="O149" s="56">
        <f>0.007571296*Deflactores!$L$5</f>
        <v>1.6045519450083652E-2</v>
      </c>
      <c r="P149" s="56">
        <f>0.16075268*Deflactores!$M$5</f>
        <v>0.33256168217480753</v>
      </c>
      <c r="Q149" s="56">
        <f>0.205022981*Deflactores!$N$5</f>
        <v>0.41607526722822719</v>
      </c>
      <c r="R149" s="56">
        <f>0.8743483306*Deflactores!$O$5</f>
        <v>1.7117590697606124</v>
      </c>
      <c r="S149" s="56">
        <f>0*Deflactores!$P$5</f>
        <v>0</v>
      </c>
      <c r="T149" s="56">
        <f>0.08209607*Deflactores!$Q$5</f>
        <v>0.14234784649702334</v>
      </c>
      <c r="U149" s="56">
        <f>0*Deflactores!$R$5</f>
        <v>0</v>
      </c>
      <c r="V149" s="56">
        <f>0*Deflactores!$S$5</f>
        <v>0</v>
      </c>
    </row>
    <row r="150" spans="3:22" x14ac:dyDescent="0.2">
      <c r="C150" s="88" t="s">
        <v>142</v>
      </c>
      <c r="D150" s="57">
        <f>1.60707621494*Deflactores!$A$5</f>
        <v>5.9974727532721737</v>
      </c>
      <c r="E150" s="57">
        <f>2.95106539462*Deflactores!$B$5</f>
        <v>10.230655284311073</v>
      </c>
      <c r="F150" s="57">
        <f>2.3994715564*Deflactores!$C$5</f>
        <v>7.7748060918155995</v>
      </c>
      <c r="G150" s="57">
        <f>2.504603623*Deflactores!$D$5</f>
        <v>7.620765250528831</v>
      </c>
      <c r="H150" s="57">
        <f>2.73728262537*Deflactores!$E$5</f>
        <v>7.8947645261586041</v>
      </c>
      <c r="I150" s="57">
        <f>3.21155495529*Deflactores!$F$5</f>
        <v>8.833749270754339</v>
      </c>
      <c r="J150" s="57">
        <f>4.85229468775*Deflactores!$G$5</f>
        <v>12.774745099222359</v>
      </c>
      <c r="K150" s="57">
        <f>8.53518116377999*Deflactores!$H$5</f>
        <v>21.2601140113313</v>
      </c>
      <c r="L150" s="57">
        <f>12.47645200306*Deflactores!$I$5</f>
        <v>28.862344142928777</v>
      </c>
      <c r="M150" s="57">
        <f>15.18189883867*Deflactores!$J$5</f>
        <v>34.431720480369044</v>
      </c>
      <c r="N150" s="57">
        <f>21.95834823791*Deflactores!$K$5</f>
        <v>48.269602629936088</v>
      </c>
      <c r="O150" s="57">
        <f>22.88254939469*Deflactores!$L$5</f>
        <v>48.493995133725889</v>
      </c>
      <c r="P150" s="57">
        <f>27.02501037937*Deflactores!$M$5</f>
        <v>55.908759421957505</v>
      </c>
      <c r="Q150" s="57">
        <f>36.45826939688*Deflactores!$N$5</f>
        <v>73.988701695765229</v>
      </c>
      <c r="R150" s="57">
        <f>15.48325981718*Deflactores!$O$5</f>
        <v>30.31241610918438</v>
      </c>
      <c r="S150" s="57">
        <f>17.53536064046*Deflactores!$P$5</f>
        <v>32.153156322092386</v>
      </c>
      <c r="T150" s="57">
        <f>12.4091540874299*Deflactores!$Q$5</f>
        <v>21.516454578098337</v>
      </c>
      <c r="U150" s="57">
        <f>14.9189133337799*Deflactores!$R$5</f>
        <v>24.851735130035472</v>
      </c>
      <c r="V150" s="57">
        <f>16.25960023973*Deflactores!$S$5</f>
        <v>26.25027548032946</v>
      </c>
    </row>
    <row r="151" spans="3:22" x14ac:dyDescent="0.2">
      <c r="C151" s="87" t="s">
        <v>143</v>
      </c>
      <c r="D151" s="56">
        <f>0.0585*Deflactores!$A$5</f>
        <v>0.21831706101102441</v>
      </c>
      <c r="E151" s="56">
        <f>0*Deflactores!$B$5</f>
        <v>0</v>
      </c>
      <c r="F151" s="56">
        <f>0*Deflactores!$C$5</f>
        <v>0</v>
      </c>
      <c r="G151" s="56">
        <f>0*Deflactores!$D$5</f>
        <v>0</v>
      </c>
      <c r="H151" s="56">
        <f>30.49931686711*Deflactores!$E$5</f>
        <v>87.96494839183211</v>
      </c>
      <c r="I151" s="56">
        <f>4.23428594992999*Deflactores!$F$5</f>
        <v>11.646887860582099</v>
      </c>
      <c r="J151" s="56">
        <f>0*Deflactores!$G$5</f>
        <v>0</v>
      </c>
      <c r="K151" s="56">
        <f>0*Deflactores!$H$5</f>
        <v>0</v>
      </c>
      <c r="L151" s="56">
        <f>0*Deflactores!$I$5</f>
        <v>0</v>
      </c>
      <c r="M151" s="56">
        <f>0*Deflactores!$J$5</f>
        <v>0</v>
      </c>
      <c r="N151" s="56">
        <f>0*Deflactores!$K$5</f>
        <v>0</v>
      </c>
      <c r="O151" s="56">
        <f>0*Deflactores!$L$5</f>
        <v>0</v>
      </c>
      <c r="P151" s="56">
        <f>0.117682621*Deflactores!$M$5</f>
        <v>0.24345927173656035</v>
      </c>
      <c r="Q151" s="56">
        <f>3.523321884*Deflactores!$N$5</f>
        <v>7.1502574358547681</v>
      </c>
      <c r="R151" s="56">
        <f>11.10531429688*Deflactores!$O$5</f>
        <v>21.741475113450097</v>
      </c>
      <c r="S151" s="56">
        <f>0.221295048*Deflactores!$P$5</f>
        <v>0.40577062642392758</v>
      </c>
      <c r="T151" s="56">
        <f>11.68452236617*Deflactores!$Q$5</f>
        <v>20.260002655067453</v>
      </c>
      <c r="U151" s="56">
        <f>19.22252670155*Deflactores!$R$5</f>
        <v>32.020639267023626</v>
      </c>
      <c r="V151" s="56">
        <f>55.42405192524*Deflactores!$S$5</f>
        <v>89.479237485717789</v>
      </c>
    </row>
    <row r="152" spans="3:22" x14ac:dyDescent="0.2">
      <c r="C152" s="88" t="s">
        <v>144</v>
      </c>
      <c r="D152" s="57">
        <f>0*Deflactores!$A$5</f>
        <v>0</v>
      </c>
      <c r="E152" s="57">
        <f>0*Deflactores!$B$5</f>
        <v>0</v>
      </c>
      <c r="F152" s="57">
        <f>0*Deflactores!$C$5</f>
        <v>0</v>
      </c>
      <c r="G152" s="57">
        <f>0*Deflactores!$D$5</f>
        <v>0</v>
      </c>
      <c r="H152" s="57">
        <f>0*Deflactores!$E$5</f>
        <v>0</v>
      </c>
      <c r="I152" s="57">
        <f>0*Deflactores!$F$5</f>
        <v>0</v>
      </c>
      <c r="J152" s="57">
        <f>0*Deflactores!$G$5</f>
        <v>0</v>
      </c>
      <c r="K152" s="57">
        <f>0*Deflactores!$H$5</f>
        <v>0</v>
      </c>
      <c r="L152" s="57">
        <f>0*Deflactores!$I$5</f>
        <v>0</v>
      </c>
      <c r="M152" s="57">
        <f>0*Deflactores!$J$5</f>
        <v>0</v>
      </c>
      <c r="N152" s="57">
        <f>0*Deflactores!$K$5</f>
        <v>0</v>
      </c>
      <c r="O152" s="57">
        <f>0*Deflactores!$L$5</f>
        <v>0</v>
      </c>
      <c r="P152" s="57">
        <f>0*Deflactores!$M$5</f>
        <v>0</v>
      </c>
      <c r="Q152" s="57">
        <f>0*Deflactores!$N$5</f>
        <v>0</v>
      </c>
      <c r="R152" s="57">
        <f>0*Deflactores!$O$5</f>
        <v>0</v>
      </c>
      <c r="S152" s="57">
        <f>0*Deflactores!$P$5</f>
        <v>0</v>
      </c>
      <c r="T152" s="57">
        <f>0*Deflactores!$Q$5</f>
        <v>0</v>
      </c>
      <c r="U152" s="57">
        <f>0*Deflactores!$R$5</f>
        <v>0</v>
      </c>
      <c r="V152" s="57">
        <f>0*Deflactores!$S$5</f>
        <v>0</v>
      </c>
    </row>
    <row r="153" spans="3:22" x14ac:dyDescent="0.2">
      <c r="C153" s="87" t="s">
        <v>145</v>
      </c>
      <c r="D153" s="56">
        <f>1.68320523514999*Deflactores!$A$5</f>
        <v>6.2815798293387362</v>
      </c>
      <c r="E153" s="56">
        <f>0.179651677*Deflactores!$B$5</f>
        <v>0.62281045414517622</v>
      </c>
      <c r="F153" s="56">
        <f>0.061303668*Deflactores!$C$5</f>
        <v>0.19863712497268968</v>
      </c>
      <c r="G153" s="56">
        <f>4.176308547*Deflactores!$D$5</f>
        <v>12.707267033472686</v>
      </c>
      <c r="H153" s="56">
        <f>0.425352765*Deflactores!$E$5</f>
        <v>1.2267859698161661</v>
      </c>
      <c r="I153" s="56">
        <f>0.639262009*Deflactores!$F$5</f>
        <v>1.7583632802306437</v>
      </c>
      <c r="J153" s="56">
        <f>11.16276901632*Deflactores!$G$5</f>
        <v>29.38847245716422</v>
      </c>
      <c r="K153" s="56">
        <f>9.925781046*Deflactores!$H$5</f>
        <v>24.723931764327663</v>
      </c>
      <c r="L153" s="56">
        <f>7.700338755*Deflactores!$I$5</f>
        <v>17.81354403555051</v>
      </c>
      <c r="M153" s="56">
        <f>13.015468138*Deflactores!$J$5</f>
        <v>29.518373532254731</v>
      </c>
      <c r="N153" s="56">
        <f>4.587482364*Deflactores!$K$5</f>
        <v>10.084362830161409</v>
      </c>
      <c r="O153" s="56">
        <f>3.91799778920999*Deflactores!$L$5</f>
        <v>8.3032428968770535</v>
      </c>
      <c r="P153" s="56">
        <f>12.4952467939399*Deflactores!$M$5</f>
        <v>25.849897451053529</v>
      </c>
      <c r="Q153" s="56">
        <f>11.0759586039699*Deflactores!$N$5</f>
        <v>22.477638426082382</v>
      </c>
      <c r="R153" s="56">
        <f>19.01630828078*Deflactores!$O$5</f>
        <v>37.229256388756923</v>
      </c>
      <c r="S153" s="56">
        <f>26.0817852916*Deflactores!$P$5</f>
        <v>47.824036062600513</v>
      </c>
      <c r="T153" s="56">
        <f>42.2722330687599*Deflactores!$Q$5</f>
        <v>73.296582211039208</v>
      </c>
      <c r="U153" s="56">
        <f>42.1494323556*Deflactores!$R$5</f>
        <v>70.211985641807061</v>
      </c>
      <c r="V153" s="56">
        <f>35.8016582574*Deflactores!$S$5</f>
        <v>57.799907627062794</v>
      </c>
    </row>
    <row r="154" spans="3:22" x14ac:dyDescent="0.2">
      <c r="C154" s="88" t="s">
        <v>146</v>
      </c>
      <c r="D154" s="57">
        <f>3.22159064087999*Deflactores!$A$5</f>
        <v>12.022704282009265</v>
      </c>
      <c r="E154" s="57">
        <f>4.15648078777*Deflactores!$B$5</f>
        <v>14.409549247217623</v>
      </c>
      <c r="F154" s="57">
        <f>1.22104400305*Deflactores!$C$5</f>
        <v>3.9564462966717775</v>
      </c>
      <c r="G154" s="57">
        <f>2.72121537173*Deflactores!$D$5</f>
        <v>8.279850493566455</v>
      </c>
      <c r="H154" s="57">
        <f>0.87179643373*Deflactores!$E$5</f>
        <v>2.5144015072659349</v>
      </c>
      <c r="I154" s="57">
        <f>3.06013280566*Deflactores!$F$5</f>
        <v>8.4172453271843359</v>
      </c>
      <c r="J154" s="57">
        <f>2.33851196832999*Deflactores!$G$5</f>
        <v>6.1566529300694315</v>
      </c>
      <c r="K154" s="57">
        <f>3.19042705934*Deflactores!$H$5</f>
        <v>7.9469716840041125</v>
      </c>
      <c r="L154" s="57">
        <f>2.74858777098*Deflactores!$I$5</f>
        <v>6.3584331614158778</v>
      </c>
      <c r="M154" s="57">
        <f>2.86337556922*Deflactores!$J$5</f>
        <v>6.4939799874425752</v>
      </c>
      <c r="N154" s="57">
        <f>7.77171021288999*Deflactores!$K$5</f>
        <v>17.084042919200989</v>
      </c>
      <c r="O154" s="57">
        <f>8.6767875067292*Deflactores!$L$5</f>
        <v>18.38833968497153</v>
      </c>
      <c r="P154" s="57">
        <f>54.7842064012179*Deflactores!$M$5</f>
        <v>113.33638628855758</v>
      </c>
      <c r="Q154" s="57">
        <f>41.3121249558821*Deflactores!$N$5</f>
        <v>83.839154747167385</v>
      </c>
      <c r="R154" s="57">
        <f>11.3991915055155*Deflactores!$O$5</f>
        <v>22.316814437232583</v>
      </c>
      <c r="S154" s="57">
        <f>38.1164576621002*Deflactores!$P$5</f>
        <v>69.891030289170828</v>
      </c>
      <c r="T154" s="57">
        <f>23.42957702184*Deflactores!$Q$5</f>
        <v>40.624963331314959</v>
      </c>
      <c r="U154" s="57">
        <f>41.52071395877*Deflactores!$R$5</f>
        <v>69.164674572975969</v>
      </c>
      <c r="V154" s="57">
        <f>14.6717394157499*Deflactores!$S$5</f>
        <v>23.686757101073624</v>
      </c>
    </row>
    <row r="155" spans="3:22" x14ac:dyDescent="0.2">
      <c r="C155" s="90" t="s">
        <v>147</v>
      </c>
      <c r="D155" s="58">
        <f>392.31183163398*Deflactores!$A$5</f>
        <v>1464.0746338834588</v>
      </c>
      <c r="E155" s="58">
        <f>519.93021944916*Deflactores!$B$5</f>
        <v>1802.4767789890013</v>
      </c>
      <c r="F155" s="58">
        <f>442.54031696332*Deflactores!$C$5</f>
        <v>1433.926208886827</v>
      </c>
      <c r="G155" s="58">
        <f>445.01635123046*Deflactores!$D$5</f>
        <v>1354.0526390008431</v>
      </c>
      <c r="H155" s="58">
        <f>593.46437668379*Deflactores!$E$5</f>
        <v>1711.6469688433076</v>
      </c>
      <c r="I155" s="58">
        <f>637.823324630609*Deflactores!$F$5</f>
        <v>1754.4060143031156</v>
      </c>
      <c r="J155" s="58">
        <f>786.5515655935*Deflactores!$G$5</f>
        <v>2070.7719552190833</v>
      </c>
      <c r="K155" s="58">
        <f>969.511190601139*Deflactores!$H$5</f>
        <v>2414.9362564102071</v>
      </c>
      <c r="L155" s="58">
        <f>1183.45964614314*Deflactores!$I$5</f>
        <v>2737.7510511701962</v>
      </c>
      <c r="M155" s="58">
        <f>1310.63769115986*Deflactores!$J$5</f>
        <v>2972.4549684198737</v>
      </c>
      <c r="N155" s="58">
        <f>1709.18170755219*Deflactores!$K$5</f>
        <v>3757.1825053518851</v>
      </c>
      <c r="O155" s="58">
        <f>1618.06458182161*Deflactores!$L$5</f>
        <v>3429.0941364741407</v>
      </c>
      <c r="P155" s="58">
        <f>1983.5791342032*Deflactores!$M$5</f>
        <v>4103.5857915243741</v>
      </c>
      <c r="Q155" s="58">
        <f>2134.5248011267*Deflactores!$N$5</f>
        <v>4331.8215972777716</v>
      </c>
      <c r="R155" s="58">
        <f>852.72352442098*Deflactores!$O$5</f>
        <v>1669.4230157953109</v>
      </c>
      <c r="S155" s="58">
        <f>1348.8987262317*Deflactores!$P$5</f>
        <v>2473.3652473121538</v>
      </c>
      <c r="T155" s="58">
        <f>1577.50570542713*Deflactores!$Q$5</f>
        <v>2735.2654031346401</v>
      </c>
      <c r="U155" s="58">
        <f>1640.67546966594*Deflactores!$R$5</f>
        <v>2733.0162253951485</v>
      </c>
      <c r="V155" s="58">
        <f>1408.88149755143*Deflactores!$S$5</f>
        <v>2274.5656033717032</v>
      </c>
    </row>
    <row r="156" spans="3:22" ht="22.5" customHeight="1" x14ac:dyDescent="0.2">
      <c r="C156" s="89" t="s">
        <v>148</v>
      </c>
      <c r="D156" s="59">
        <f>0*Deflactores!$A$5</f>
        <v>0</v>
      </c>
      <c r="E156" s="59">
        <f>0*Deflactores!$B$5</f>
        <v>0</v>
      </c>
      <c r="F156" s="59">
        <f>0*Deflactores!$C$5</f>
        <v>0</v>
      </c>
      <c r="G156" s="59">
        <f>0*Deflactores!$D$5</f>
        <v>0</v>
      </c>
      <c r="H156" s="59">
        <f>0*Deflactores!$E$5</f>
        <v>0</v>
      </c>
      <c r="I156" s="59">
        <f>0*Deflactores!$F$5</f>
        <v>0</v>
      </c>
      <c r="J156" s="59">
        <f>0*Deflactores!$G$5</f>
        <v>0</v>
      </c>
      <c r="K156" s="59">
        <f>0*Deflactores!$H$5</f>
        <v>0</v>
      </c>
      <c r="L156" s="59">
        <f>0*Deflactores!$I$5</f>
        <v>0</v>
      </c>
      <c r="M156" s="59">
        <f>0*Deflactores!$J$5</f>
        <v>0</v>
      </c>
      <c r="N156" s="59">
        <f>0*Deflactores!$K$5</f>
        <v>0</v>
      </c>
      <c r="O156" s="59">
        <f>0*Deflactores!$L$5</f>
        <v>0</v>
      </c>
      <c r="P156" s="59">
        <f>0*Deflactores!$M$5</f>
        <v>0</v>
      </c>
      <c r="Q156" s="59">
        <f>0*Deflactores!$N$5</f>
        <v>0</v>
      </c>
      <c r="R156" s="59">
        <f>0*Deflactores!$O$5</f>
        <v>0</v>
      </c>
      <c r="S156" s="59">
        <f>0*Deflactores!$P$5</f>
        <v>0</v>
      </c>
      <c r="T156" s="59">
        <f>0*Deflactores!$Q$5</f>
        <v>0</v>
      </c>
      <c r="U156" s="59">
        <f>0*Deflactores!$R$5</f>
        <v>0</v>
      </c>
      <c r="V156" s="59">
        <f>0*Deflactores!$S$5</f>
        <v>0</v>
      </c>
    </row>
    <row r="157" spans="3:22" x14ac:dyDescent="0.2">
      <c r="C157" s="87" t="s">
        <v>149</v>
      </c>
      <c r="D157" s="56">
        <f>93.00266373272*Deflactores!$A$5</f>
        <v>347.07808909955588</v>
      </c>
      <c r="E157" s="56">
        <f>74.43017299833*Deflactores!$B$5</f>
        <v>258.03204635375562</v>
      </c>
      <c r="F157" s="56">
        <f>34.73744015984*Deflactores!$C$5</f>
        <v>112.55680887253708</v>
      </c>
      <c r="G157" s="56">
        <f>7.00895439508*Deflactores!$D$5</f>
        <v>21.326167384757067</v>
      </c>
      <c r="H157" s="56">
        <f>108.83351439529*Deflactores!$E$5</f>
        <v>313.89340681946084</v>
      </c>
      <c r="I157" s="56">
        <f>50.2270488783999*Deflactores!$F$5</f>
        <v>138.15524335676287</v>
      </c>
      <c r="J157" s="56">
        <f>163.20939076364*Deflactores!$G$5</f>
        <v>429.68502512193226</v>
      </c>
      <c r="K157" s="56">
        <f>289.82214956312*Deflactores!$H$5</f>
        <v>721.91226225738615</v>
      </c>
      <c r="L157" s="56">
        <f>378.34403677475*Deflactores!$I$5</f>
        <v>875.2404763100518</v>
      </c>
      <c r="M157" s="56">
        <f>552.06553022899*Deflactores!$J$5</f>
        <v>1252.0545832695423</v>
      </c>
      <c r="N157" s="56">
        <f>615.30212216*Deflactores!$K$5</f>
        <v>1352.5784641097614</v>
      </c>
      <c r="O157" s="56">
        <f>706.63294722487*Deflactores!$L$5</f>
        <v>1497.5365774586789</v>
      </c>
      <c r="P157" s="56">
        <f>777.95317929196*Deflactores!$M$5</f>
        <v>1609.4127821606075</v>
      </c>
      <c r="Q157" s="56">
        <f>976.38770757533*Deflactores!$N$5</f>
        <v>1981.4889743884935</v>
      </c>
      <c r="R157" s="56">
        <f>1438.16697649927*Deflactores!$O$5</f>
        <v>2815.5773616717229</v>
      </c>
      <c r="S157" s="56">
        <f>1021.46345015857*Deflactores!$P$5</f>
        <v>1872.9739674969558</v>
      </c>
      <c r="T157" s="56">
        <f>1037.94988225749*Deflactores!$Q$5</f>
        <v>1799.7198953761444</v>
      </c>
      <c r="U157" s="56">
        <f>1007.43122919489*Deflactores!$R$5</f>
        <v>1678.1660640784864</v>
      </c>
      <c r="V157" s="56">
        <f>930.72085981904*Deflactores!$S$5</f>
        <v>1502.6002241949711</v>
      </c>
    </row>
    <row r="158" spans="3:22" x14ac:dyDescent="0.2">
      <c r="C158" s="88" t="s">
        <v>150</v>
      </c>
      <c r="D158" s="57">
        <f>292.8164617506*Deflactores!$A$5</f>
        <v>1092.7663135903938</v>
      </c>
      <c r="E158" s="57">
        <f>494.652147767629*Deflactores!$B$5</f>
        <v>1714.8436014601959</v>
      </c>
      <c r="F158" s="57">
        <f>374.007472036319*Deflactores!$C$5</f>
        <v>1211.8649892792391</v>
      </c>
      <c r="G158" s="57">
        <f>372.09413135794*Deflactores!$D$5</f>
        <v>1132.1719732968299</v>
      </c>
      <c r="H158" s="57">
        <f>311.49194155419*Deflactores!$E$5</f>
        <v>898.39299295368994</v>
      </c>
      <c r="I158" s="57">
        <f>268.93529402455*Deflactores!$F$5</f>
        <v>739.73728942618959</v>
      </c>
      <c r="J158" s="57">
        <f>386.52316595608*Deflactores!$G$5</f>
        <v>1017.6082117392921</v>
      </c>
      <c r="K158" s="57">
        <f>517.84005242931*Deflactores!$H$5</f>
        <v>1289.8775483524926</v>
      </c>
      <c r="L158" s="57">
        <f>487.312881432099*Deflactores!$I$5</f>
        <v>1127.3230631373308</v>
      </c>
      <c r="M158" s="57">
        <f>516.13214902942*Deflactores!$J$5</f>
        <v>1170.5596299355934</v>
      </c>
      <c r="N158" s="57">
        <f>488.634066285829*Deflactores!$K$5</f>
        <v>1074.1323507360385</v>
      </c>
      <c r="O158" s="57">
        <f>365.129365993759*Deflactores!$L$5</f>
        <v>773.80283954683216</v>
      </c>
      <c r="P158" s="57">
        <f>598.243766708464*Deflactores!$M$5</f>
        <v>1237.6338198974966</v>
      </c>
      <c r="Q158" s="57">
        <f>669.34169612156*Deflactores!$N$5</f>
        <v>1358.367358246405</v>
      </c>
      <c r="R158" s="57">
        <f>842.941294787194*Deflactores!$O$5</f>
        <v>1650.2718151672691</v>
      </c>
      <c r="S158" s="57">
        <f>988.293936852869*Deflactores!$P$5</f>
        <v>1812.1537443881627</v>
      </c>
      <c r="T158" s="57">
        <f>981.23207153897*Deflactores!$Q$5</f>
        <v>1701.3758672904262</v>
      </c>
      <c r="U158" s="57">
        <f>1137.18257690063*Deflactores!$R$5</f>
        <v>1894.3042005369284</v>
      </c>
      <c r="V158" s="57">
        <f>995.60084016544*Deflactores!$S$5</f>
        <v>1607.3455643103957</v>
      </c>
    </row>
    <row r="159" spans="3:22" x14ac:dyDescent="0.2">
      <c r="C159" s="87" t="s">
        <v>151</v>
      </c>
      <c r="D159" s="56">
        <f>2.547212579*Deflactores!$A$5</f>
        <v>9.5059822908990057</v>
      </c>
      <c r="E159" s="56">
        <f>0.756774056*Deflactores!$B$5</f>
        <v>2.6235591082328003</v>
      </c>
      <c r="F159" s="56">
        <f>0.634796203*Deflactores!$C$5</f>
        <v>2.0568768039703573</v>
      </c>
      <c r="G159" s="56">
        <f>0*Deflactores!$D$5</f>
        <v>0</v>
      </c>
      <c r="H159" s="56">
        <f>0*Deflactores!$E$5</f>
        <v>0</v>
      </c>
      <c r="I159" s="56">
        <f>0*Deflactores!$F$5</f>
        <v>0</v>
      </c>
      <c r="J159" s="56">
        <f>0*Deflactores!$G$5</f>
        <v>0</v>
      </c>
      <c r="K159" s="56">
        <f>0*Deflactores!$H$5</f>
        <v>0</v>
      </c>
      <c r="L159" s="56">
        <f>0*Deflactores!$I$5</f>
        <v>0</v>
      </c>
      <c r="M159" s="56">
        <f>0*Deflactores!$J$5</f>
        <v>0</v>
      </c>
      <c r="N159" s="56">
        <f>0*Deflactores!$K$5</f>
        <v>0</v>
      </c>
      <c r="O159" s="56">
        <f>0*Deflactores!$L$5</f>
        <v>0</v>
      </c>
      <c r="P159" s="56">
        <f>0*Deflactores!$M$5</f>
        <v>0</v>
      </c>
      <c r="Q159" s="56">
        <f>0*Deflactores!$N$5</f>
        <v>0</v>
      </c>
      <c r="R159" s="56">
        <f>0*Deflactores!$O$5</f>
        <v>0</v>
      </c>
      <c r="S159" s="56">
        <f>0*Deflactores!$P$5</f>
        <v>0</v>
      </c>
      <c r="T159" s="56">
        <f>0*Deflactores!$Q$5</f>
        <v>0</v>
      </c>
      <c r="U159" s="56">
        <f>0*Deflactores!$R$5</f>
        <v>0</v>
      </c>
      <c r="V159" s="56">
        <f>0*Deflactores!$S$5</f>
        <v>0</v>
      </c>
    </row>
    <row r="160" spans="3:22" x14ac:dyDescent="0.2">
      <c r="C160" s="79" t="s">
        <v>202</v>
      </c>
      <c r="D160" s="44">
        <f t="shared" ref="D160:V160" si="32">+SUM(D131:D159)</f>
        <v>6714.3567251734657</v>
      </c>
      <c r="E160" s="44">
        <f t="shared" si="32"/>
        <v>7301.0441612666546</v>
      </c>
      <c r="F160" s="44">
        <f t="shared" si="32"/>
        <v>6311.3048382417828</v>
      </c>
      <c r="G160" s="44">
        <f t="shared" si="32"/>
        <v>5881.6730886432724</v>
      </c>
      <c r="H160" s="44">
        <f t="shared" si="32"/>
        <v>6567.1752959367268</v>
      </c>
      <c r="I160" s="44">
        <f t="shared" si="32"/>
        <v>6471.6454949422459</v>
      </c>
      <c r="J160" s="44">
        <f t="shared" si="32"/>
        <v>8150.4262038409033</v>
      </c>
      <c r="K160" s="44">
        <f t="shared" si="32"/>
        <v>10485.398787086218</v>
      </c>
      <c r="L160" s="44">
        <f t="shared" si="32"/>
        <v>12337.635334089118</v>
      </c>
      <c r="M160" s="44">
        <f t="shared" si="32"/>
        <v>14751.039190818963</v>
      </c>
      <c r="N160" s="44">
        <f t="shared" si="32"/>
        <v>13509.206571554234</v>
      </c>
      <c r="O160" s="44">
        <f t="shared" si="32"/>
        <v>12888.816504793736</v>
      </c>
      <c r="P160" s="44">
        <f t="shared" si="32"/>
        <v>14621.256743164977</v>
      </c>
      <c r="Q160" s="44">
        <f t="shared" si="32"/>
        <v>16478.964800537047</v>
      </c>
      <c r="R160" s="44">
        <f t="shared" si="32"/>
        <v>10347.743255694069</v>
      </c>
      <c r="S160" s="44">
        <f t="shared" si="32"/>
        <v>10343.788310537748</v>
      </c>
      <c r="T160" s="44">
        <f t="shared" si="32"/>
        <v>12323.463905961329</v>
      </c>
      <c r="U160" s="44">
        <f t="shared" si="32"/>
        <v>12677.375394499009</v>
      </c>
      <c r="V160" s="44">
        <f t="shared" si="32"/>
        <v>10725.754963682904</v>
      </c>
    </row>
    <row r="161" spans="2:22" x14ac:dyDescent="0.2">
      <c r="C161" s="1" t="s">
        <v>52</v>
      </c>
      <c r="D161" s="12"/>
      <c r="E161" s="12"/>
      <c r="F161" s="12"/>
      <c r="G161" s="12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2:22" x14ac:dyDescent="0.2">
      <c r="B162" s="9"/>
    </row>
    <row r="163" spans="2:22" x14ac:dyDescent="0.2"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2:22" x14ac:dyDescent="0.2"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2:22" ht="17.25" customHeight="1" x14ac:dyDescent="0.2">
      <c r="C165" s="9"/>
      <c r="D165" s="164" t="s">
        <v>222</v>
      </c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</row>
    <row r="166" spans="2:22" hidden="1" x14ac:dyDescent="0.2">
      <c r="H166" s="27"/>
      <c r="I166" s="27"/>
      <c r="J166" s="27"/>
      <c r="L166" s="179"/>
      <c r="M166" s="160"/>
      <c r="N166" s="160"/>
      <c r="O166" s="160"/>
      <c r="P166" s="160"/>
      <c r="Q166" s="160"/>
      <c r="R166" s="28"/>
      <c r="S166" s="28"/>
      <c r="T166" s="28"/>
      <c r="U166" s="28"/>
      <c r="V166" s="28"/>
    </row>
    <row r="167" spans="2:22" x14ac:dyDescent="0.2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2" thickBot="1" x14ac:dyDescent="0.25">
      <c r="C168" s="181" t="s">
        <v>120</v>
      </c>
      <c r="D168" s="155">
        <v>2000</v>
      </c>
      <c r="E168" s="155">
        <v>2001</v>
      </c>
      <c r="F168" s="155">
        <v>2002</v>
      </c>
      <c r="G168" s="155">
        <v>2003</v>
      </c>
      <c r="H168" s="155">
        <v>2004</v>
      </c>
      <c r="I168" s="155">
        <v>2005</v>
      </c>
      <c r="J168" s="155">
        <v>2006</v>
      </c>
      <c r="K168" s="155">
        <v>2007</v>
      </c>
      <c r="L168" s="155">
        <v>2008</v>
      </c>
      <c r="M168" s="155">
        <v>2009</v>
      </c>
      <c r="N168" s="155">
        <v>2010</v>
      </c>
      <c r="O168" s="155">
        <v>2011</v>
      </c>
      <c r="P168" s="155">
        <v>2012</v>
      </c>
      <c r="Q168" s="155">
        <v>2013</v>
      </c>
      <c r="R168" s="155">
        <v>2014</v>
      </c>
      <c r="S168" s="155">
        <v>2015</v>
      </c>
      <c r="T168" s="155">
        <v>2016</v>
      </c>
      <c r="U168" s="155">
        <v>2017</v>
      </c>
      <c r="V168" s="155">
        <v>2018</v>
      </c>
    </row>
    <row r="169" spans="2:22" ht="12" customHeight="1" thickBot="1" x14ac:dyDescent="0.25">
      <c r="C169" s="162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</row>
    <row r="170" spans="2:22" x14ac:dyDescent="0.2">
      <c r="C170" s="87" t="s">
        <v>123</v>
      </c>
      <c r="D170" s="60">
        <f t="shared" ref="D170:V170" si="33">+IFERROR(IF(D131&gt;0,+((D131/D13)*100)," "),"")</f>
        <v>69.236169069765936</v>
      </c>
      <c r="E170" s="60">
        <f t="shared" si="33"/>
        <v>61.279568228840688</v>
      </c>
      <c r="F170" s="60">
        <f t="shared" si="33"/>
        <v>78.457719307191084</v>
      </c>
      <c r="G170" s="60">
        <f t="shared" si="33"/>
        <v>77.815436903910424</v>
      </c>
      <c r="H170" s="60">
        <f t="shared" si="33"/>
        <v>47.45332397143526</v>
      </c>
      <c r="I170" s="60">
        <f t="shared" si="33"/>
        <v>80.902341059365455</v>
      </c>
      <c r="J170" s="60">
        <f t="shared" si="33"/>
        <v>64.628789016778782</v>
      </c>
      <c r="K170" s="60">
        <f t="shared" si="33"/>
        <v>91.930616272370102</v>
      </c>
      <c r="L170" s="60">
        <f t="shared" si="33"/>
        <v>89.063522303052437</v>
      </c>
      <c r="M170" s="60">
        <f t="shared" si="33"/>
        <v>73.170156574792529</v>
      </c>
      <c r="N170" s="60">
        <f t="shared" si="33"/>
        <v>78.712931225691761</v>
      </c>
      <c r="O170" s="60">
        <f t="shared" si="33"/>
        <v>53.980626826960545</v>
      </c>
      <c r="P170" s="60">
        <f t="shared" si="33"/>
        <v>79.711634571954477</v>
      </c>
      <c r="Q170" s="60">
        <f t="shared" si="33"/>
        <v>72.411476830928706</v>
      </c>
      <c r="R170" s="60">
        <f t="shared" si="33"/>
        <v>88.215593080218326</v>
      </c>
      <c r="S170" s="60">
        <f t="shared" si="33"/>
        <v>71.39431421209909</v>
      </c>
      <c r="T170" s="60">
        <f t="shared" si="33"/>
        <v>97.270468628294708</v>
      </c>
      <c r="U170" s="60">
        <f t="shared" si="33"/>
        <v>93.191838578660324</v>
      </c>
      <c r="V170" s="60">
        <f t="shared" si="33"/>
        <v>83.53499778608176</v>
      </c>
    </row>
    <row r="171" spans="2:22" x14ac:dyDescent="0.2">
      <c r="C171" s="88" t="s">
        <v>124</v>
      </c>
      <c r="D171" s="62">
        <f t="shared" ref="D171:V171" si="34">+IFERROR(IF(D132&gt;0,+((D132/D14)*100)," "),"")</f>
        <v>52.805652345356577</v>
      </c>
      <c r="E171" s="62">
        <f t="shared" si="34"/>
        <v>27.388737694805194</v>
      </c>
      <c r="F171" s="62">
        <f t="shared" si="34"/>
        <v>44.795352984754693</v>
      </c>
      <c r="G171" s="62">
        <f t="shared" si="34"/>
        <v>34.200627380197304</v>
      </c>
      <c r="H171" s="62">
        <f t="shared" si="34"/>
        <v>39.993768103980628</v>
      </c>
      <c r="I171" s="62">
        <f t="shared" si="34"/>
        <v>55.892275523243072</v>
      </c>
      <c r="J171" s="62">
        <f t="shared" si="34"/>
        <v>67.003467295810566</v>
      </c>
      <c r="K171" s="62">
        <f t="shared" si="34"/>
        <v>83.229462059282071</v>
      </c>
      <c r="L171" s="62">
        <f t="shared" si="34"/>
        <v>69.936169444429481</v>
      </c>
      <c r="M171" s="62">
        <f t="shared" si="34"/>
        <v>77.414510890154233</v>
      </c>
      <c r="N171" s="62">
        <f t="shared" si="34"/>
        <v>73.970017508926162</v>
      </c>
      <c r="O171" s="62">
        <f t="shared" si="34"/>
        <v>78.309445620328205</v>
      </c>
      <c r="P171" s="62">
        <f t="shared" si="34"/>
        <v>86.392007843431912</v>
      </c>
      <c r="Q171" s="62">
        <f t="shared" si="34"/>
        <v>72.557309222721187</v>
      </c>
      <c r="R171" s="62">
        <f t="shared" si="34"/>
        <v>91.883822568375166</v>
      </c>
      <c r="S171" s="62">
        <f t="shared" si="34"/>
        <v>79.575296283230728</v>
      </c>
      <c r="T171" s="62">
        <f t="shared" si="34"/>
        <v>85.017600186715541</v>
      </c>
      <c r="U171" s="62">
        <f t="shared" si="34"/>
        <v>93.152136511352225</v>
      </c>
      <c r="V171" s="62">
        <f t="shared" si="34"/>
        <v>96.05933273722809</v>
      </c>
    </row>
    <row r="172" spans="2:22" x14ac:dyDescent="0.2">
      <c r="C172" s="87" t="s">
        <v>125</v>
      </c>
      <c r="D172" s="60">
        <f t="shared" ref="D172:V172" si="35">+IFERROR(IF(D133&gt;0,+((D133/D15)*100)," "),"")</f>
        <v>36.586832765719308</v>
      </c>
      <c r="E172" s="60">
        <f t="shared" si="35"/>
        <v>21.188667352248068</v>
      </c>
      <c r="F172" s="60">
        <f t="shared" si="35"/>
        <v>36.112967326150738</v>
      </c>
      <c r="G172" s="60">
        <f t="shared" si="35"/>
        <v>8.7935714558383413</v>
      </c>
      <c r="H172" s="60">
        <f t="shared" si="35"/>
        <v>6.3700665147186921</v>
      </c>
      <c r="I172" s="60">
        <f t="shared" si="35"/>
        <v>26.089964911543817</v>
      </c>
      <c r="J172" s="60">
        <f t="shared" si="35"/>
        <v>0.42183069988243305</v>
      </c>
      <c r="K172" s="60">
        <f t="shared" si="35"/>
        <v>70.638828687174765</v>
      </c>
      <c r="L172" s="60">
        <f t="shared" si="35"/>
        <v>78.972075630936487</v>
      </c>
      <c r="M172" s="60">
        <f t="shared" si="35"/>
        <v>92.060759113771923</v>
      </c>
      <c r="N172" s="60" t="str">
        <f t="shared" si="35"/>
        <v xml:space="preserve"> </v>
      </c>
      <c r="O172" s="60" t="str">
        <f t="shared" si="35"/>
        <v xml:space="preserve"> </v>
      </c>
      <c r="P172" s="60" t="str">
        <f t="shared" si="35"/>
        <v xml:space="preserve"> </v>
      </c>
      <c r="Q172" s="60" t="str">
        <f t="shared" si="35"/>
        <v xml:space="preserve"> </v>
      </c>
      <c r="R172" s="60" t="str">
        <f t="shared" si="35"/>
        <v xml:space="preserve"> </v>
      </c>
      <c r="S172" s="60" t="str">
        <f t="shared" si="35"/>
        <v xml:space="preserve"> </v>
      </c>
      <c r="T172" s="60" t="str">
        <f t="shared" si="35"/>
        <v xml:space="preserve"> </v>
      </c>
      <c r="U172" s="60" t="str">
        <f t="shared" si="35"/>
        <v xml:space="preserve"> </v>
      </c>
      <c r="V172" s="60" t="str">
        <f t="shared" si="35"/>
        <v xml:space="preserve"> </v>
      </c>
    </row>
    <row r="173" spans="2:22" x14ac:dyDescent="0.2">
      <c r="C173" s="88" t="s">
        <v>126</v>
      </c>
      <c r="D173" s="62">
        <f t="shared" ref="D173:V173" si="36">+IFERROR(IF(D134&gt;0,+((D134/D16)*100)," "),"")</f>
        <v>99.97986046984272</v>
      </c>
      <c r="E173" s="62">
        <f t="shared" si="36"/>
        <v>7.2714256500000003</v>
      </c>
      <c r="F173" s="62">
        <f t="shared" si="36"/>
        <v>1.6427998054982615</v>
      </c>
      <c r="G173" s="62">
        <f t="shared" si="36"/>
        <v>33.480025493561733</v>
      </c>
      <c r="H173" s="62">
        <f t="shared" si="36"/>
        <v>17.40439807930607</v>
      </c>
      <c r="I173" s="62">
        <f t="shared" si="36"/>
        <v>23.466651095637925</v>
      </c>
      <c r="J173" s="62">
        <f t="shared" si="36"/>
        <v>36.42339263026669</v>
      </c>
      <c r="K173" s="62">
        <f t="shared" si="36"/>
        <v>84.306060175390343</v>
      </c>
      <c r="L173" s="62">
        <f t="shared" si="36"/>
        <v>74.431159932885095</v>
      </c>
      <c r="M173" s="62">
        <f t="shared" si="36"/>
        <v>83.741209969084707</v>
      </c>
      <c r="N173" s="62">
        <f t="shared" si="36"/>
        <v>71.291186376175816</v>
      </c>
      <c r="O173" s="62">
        <f t="shared" si="36"/>
        <v>63.012052537871043</v>
      </c>
      <c r="P173" s="62">
        <f t="shared" si="36"/>
        <v>47.104333077552077</v>
      </c>
      <c r="Q173" s="62">
        <f t="shared" si="36"/>
        <v>81.208375986485621</v>
      </c>
      <c r="R173" s="62">
        <f t="shared" si="36"/>
        <v>91.21256310092879</v>
      </c>
      <c r="S173" s="62">
        <f t="shared" si="36"/>
        <v>93.924258576984698</v>
      </c>
      <c r="T173" s="62">
        <f t="shared" si="36"/>
        <v>95.633115235399828</v>
      </c>
      <c r="U173" s="62">
        <f t="shared" si="36"/>
        <v>91.69186945765766</v>
      </c>
      <c r="V173" s="62">
        <f t="shared" si="36"/>
        <v>96.276884685415411</v>
      </c>
    </row>
    <row r="174" spans="2:22" x14ac:dyDescent="0.2">
      <c r="C174" s="87" t="s">
        <v>127</v>
      </c>
      <c r="D174" s="60" t="str">
        <f t="shared" ref="D174:V174" si="37">+IFERROR(IF(D135&gt;0,+((D135/D17)*100)," "),"")</f>
        <v xml:space="preserve"> </v>
      </c>
      <c r="E174" s="60" t="str">
        <f t="shared" si="37"/>
        <v xml:space="preserve"> </v>
      </c>
      <c r="F174" s="60" t="str">
        <f t="shared" si="37"/>
        <v xml:space="preserve"> </v>
      </c>
      <c r="G174" s="60" t="str">
        <f t="shared" si="37"/>
        <v xml:space="preserve"> </v>
      </c>
      <c r="H174" s="60" t="str">
        <f t="shared" si="37"/>
        <v xml:space="preserve"> </v>
      </c>
      <c r="I174" s="60" t="str">
        <f t="shared" si="37"/>
        <v xml:space="preserve"> </v>
      </c>
      <c r="J174" s="60" t="str">
        <f t="shared" si="37"/>
        <v xml:space="preserve"> </v>
      </c>
      <c r="K174" s="60" t="str">
        <f t="shared" si="37"/>
        <v xml:space="preserve"> </v>
      </c>
      <c r="L174" s="60" t="str">
        <f t="shared" si="37"/>
        <v xml:space="preserve"> </v>
      </c>
      <c r="M174" s="60" t="str">
        <f t="shared" si="37"/>
        <v xml:space="preserve"> </v>
      </c>
      <c r="N174" s="60" t="str">
        <f t="shared" si="37"/>
        <v xml:space="preserve"> </v>
      </c>
      <c r="O174" s="60" t="str">
        <f t="shared" si="37"/>
        <v xml:space="preserve"> </v>
      </c>
      <c r="P174" s="60" t="str">
        <f t="shared" si="37"/>
        <v xml:space="preserve"> </v>
      </c>
      <c r="Q174" s="60" t="str">
        <f t="shared" si="37"/>
        <v xml:space="preserve"> </v>
      </c>
      <c r="R174" s="60" t="str">
        <f t="shared" si="37"/>
        <v xml:space="preserve"> </v>
      </c>
      <c r="S174" s="60" t="str">
        <f t="shared" si="37"/>
        <v xml:space="preserve"> </v>
      </c>
      <c r="T174" s="60" t="str">
        <f t="shared" si="37"/>
        <v xml:space="preserve"> </v>
      </c>
      <c r="U174" s="60" t="str">
        <f t="shared" si="37"/>
        <v xml:space="preserve"> </v>
      </c>
      <c r="V174" s="60" t="str">
        <f t="shared" si="37"/>
        <v xml:space="preserve"> </v>
      </c>
    </row>
    <row r="175" spans="2:22" x14ac:dyDescent="0.2">
      <c r="C175" s="88" t="s">
        <v>128</v>
      </c>
      <c r="D175" s="62">
        <f t="shared" ref="D175:V175" si="38">+IFERROR(IF(D136&gt;0,+((D136/D18)*100)," "),"")</f>
        <v>89.52262195121952</v>
      </c>
      <c r="E175" s="62">
        <f t="shared" si="38"/>
        <v>68.895455214723938</v>
      </c>
      <c r="F175" s="62">
        <f t="shared" si="38"/>
        <v>82.768246031746031</v>
      </c>
      <c r="G175" s="62">
        <f t="shared" si="38"/>
        <v>71.06385717786786</v>
      </c>
      <c r="H175" s="62">
        <f t="shared" si="38"/>
        <v>44.458825972497024</v>
      </c>
      <c r="I175" s="62">
        <f t="shared" si="38"/>
        <v>46.752461860024134</v>
      </c>
      <c r="J175" s="62">
        <f t="shared" si="38"/>
        <v>9.6182982344289236</v>
      </c>
      <c r="K175" s="62">
        <f t="shared" si="38"/>
        <v>51.610632556207761</v>
      </c>
      <c r="L175" s="62">
        <f t="shared" si="38"/>
        <v>74.451052392556065</v>
      </c>
      <c r="M175" s="62">
        <f t="shared" si="38"/>
        <v>24.032766469924479</v>
      </c>
      <c r="N175" s="62">
        <f t="shared" si="38"/>
        <v>81.087350779634761</v>
      </c>
      <c r="O175" s="62">
        <f t="shared" si="38"/>
        <v>79.272665043215454</v>
      </c>
      <c r="P175" s="62">
        <f t="shared" si="38"/>
        <v>95.398509516152103</v>
      </c>
      <c r="Q175" s="62">
        <f t="shared" si="38"/>
        <v>89.419477668817976</v>
      </c>
      <c r="R175" s="62">
        <f t="shared" si="38"/>
        <v>96.049868503787508</v>
      </c>
      <c r="S175" s="62">
        <f t="shared" si="38"/>
        <v>91.798632123017072</v>
      </c>
      <c r="T175" s="62">
        <f t="shared" si="38"/>
        <v>93.593922714971129</v>
      </c>
      <c r="U175" s="62">
        <f t="shared" si="38"/>
        <v>97.885679102034231</v>
      </c>
      <c r="V175" s="62">
        <f t="shared" si="38"/>
        <v>95.639811339478456</v>
      </c>
    </row>
    <row r="176" spans="2:22" x14ac:dyDescent="0.2">
      <c r="C176" s="87" t="s">
        <v>129</v>
      </c>
      <c r="D176" s="60">
        <f t="shared" ref="D176:V176" si="39">+IFERROR(IF(D137&gt;0,+((D137/D19)*100)," "),"")</f>
        <v>95.73838741717941</v>
      </c>
      <c r="E176" s="60">
        <f t="shared" si="39"/>
        <v>80.536621559422272</v>
      </c>
      <c r="F176" s="60">
        <f t="shared" si="39"/>
        <v>74.911525062661056</v>
      </c>
      <c r="G176" s="60">
        <f t="shared" si="39"/>
        <v>58.281590264914009</v>
      </c>
      <c r="H176" s="60">
        <f t="shared" si="39"/>
        <v>54.828619910235524</v>
      </c>
      <c r="I176" s="60">
        <f t="shared" si="39"/>
        <v>69.584536639642963</v>
      </c>
      <c r="J176" s="60">
        <f t="shared" si="39"/>
        <v>42.759675646054419</v>
      </c>
      <c r="K176" s="60">
        <f t="shared" si="39"/>
        <v>93.080868284061879</v>
      </c>
      <c r="L176" s="60">
        <f t="shared" si="39"/>
        <v>89.958406647678856</v>
      </c>
      <c r="M176" s="60">
        <f t="shared" si="39"/>
        <v>90.890225675009233</v>
      </c>
      <c r="N176" s="60">
        <f t="shared" si="39"/>
        <v>85.913703076523547</v>
      </c>
      <c r="O176" s="60">
        <f t="shared" si="39"/>
        <v>44.549398524815373</v>
      </c>
      <c r="P176" s="60">
        <f t="shared" si="39"/>
        <v>54.120664750984126</v>
      </c>
      <c r="Q176" s="60">
        <f t="shared" si="39"/>
        <v>69.397579523300223</v>
      </c>
      <c r="R176" s="60">
        <f t="shared" si="39"/>
        <v>81.256018774374439</v>
      </c>
      <c r="S176" s="60">
        <f t="shared" si="39"/>
        <v>84.607468693259193</v>
      </c>
      <c r="T176" s="60">
        <f t="shared" si="39"/>
        <v>76.432023625803765</v>
      </c>
      <c r="U176" s="60">
        <f t="shared" si="39"/>
        <v>78.956593697925712</v>
      </c>
      <c r="V176" s="60">
        <f t="shared" si="39"/>
        <v>86.239658146535234</v>
      </c>
    </row>
    <row r="177" spans="3:22" x14ac:dyDescent="0.2">
      <c r="C177" s="88" t="s">
        <v>130</v>
      </c>
      <c r="D177" s="62">
        <f t="shared" ref="D177:V177" si="40">+IFERROR(IF(D138&gt;0,+((D138/D20)*100)," "),"")</f>
        <v>87.111387586258999</v>
      </c>
      <c r="E177" s="62">
        <f t="shared" si="40"/>
        <v>83.463488806352515</v>
      </c>
      <c r="F177" s="62">
        <f t="shared" si="40"/>
        <v>48.334589279397946</v>
      </c>
      <c r="G177" s="62">
        <f t="shared" si="40"/>
        <v>73.056751424093846</v>
      </c>
      <c r="H177" s="62">
        <f t="shared" si="40"/>
        <v>57.516724882186843</v>
      </c>
      <c r="I177" s="62">
        <f t="shared" si="40"/>
        <v>79.092977447424616</v>
      </c>
      <c r="J177" s="62">
        <f t="shared" si="40"/>
        <v>86.144566202235154</v>
      </c>
      <c r="K177" s="62">
        <f t="shared" si="40"/>
        <v>87.358425851335554</v>
      </c>
      <c r="L177" s="62">
        <f t="shared" si="40"/>
        <v>86.080477654558265</v>
      </c>
      <c r="M177" s="62">
        <f t="shared" si="40"/>
        <v>52.448900425530432</v>
      </c>
      <c r="N177" s="62" t="str">
        <f t="shared" si="40"/>
        <v xml:space="preserve"> </v>
      </c>
      <c r="O177" s="62">
        <f t="shared" si="40"/>
        <v>82.072032504597999</v>
      </c>
      <c r="P177" s="62" t="str">
        <f t="shared" si="40"/>
        <v xml:space="preserve"> </v>
      </c>
      <c r="Q177" s="62" t="str">
        <f t="shared" si="40"/>
        <v xml:space="preserve"> </v>
      </c>
      <c r="R177" s="62" t="str">
        <f t="shared" si="40"/>
        <v xml:space="preserve"> </v>
      </c>
      <c r="S177" s="62" t="str">
        <f t="shared" si="40"/>
        <v xml:space="preserve"> </v>
      </c>
      <c r="T177" s="62" t="str">
        <f t="shared" si="40"/>
        <v xml:space="preserve"> </v>
      </c>
      <c r="U177" s="62" t="str">
        <f t="shared" si="40"/>
        <v xml:space="preserve"> </v>
      </c>
      <c r="V177" s="62" t="str">
        <f t="shared" si="40"/>
        <v xml:space="preserve"> </v>
      </c>
    </row>
    <row r="178" spans="3:22" x14ac:dyDescent="0.2">
      <c r="C178" s="87" t="s">
        <v>131</v>
      </c>
      <c r="D178" s="60">
        <f t="shared" ref="D178:V178" si="41">+IFERROR(IF(D139&gt;0,+((D139/D21)*100)," "),"")</f>
        <v>90.809567283019348</v>
      </c>
      <c r="E178" s="60">
        <f t="shared" si="41"/>
        <v>88.262538356441254</v>
      </c>
      <c r="F178" s="60">
        <f t="shared" si="41"/>
        <v>85.488521200141165</v>
      </c>
      <c r="G178" s="60">
        <f t="shared" si="41"/>
        <v>83.712787181581987</v>
      </c>
      <c r="H178" s="60">
        <f t="shared" si="41"/>
        <v>66.953072627342166</v>
      </c>
      <c r="I178" s="60">
        <f t="shared" si="41"/>
        <v>57.500692635571369</v>
      </c>
      <c r="J178" s="60">
        <f t="shared" si="41"/>
        <v>34.564337421363881</v>
      </c>
      <c r="K178" s="60">
        <f t="shared" si="41"/>
        <v>71.29329892021488</v>
      </c>
      <c r="L178" s="60">
        <f t="shared" si="41"/>
        <v>72.662011286391589</v>
      </c>
      <c r="M178" s="60">
        <f t="shared" si="41"/>
        <v>83.778556541342297</v>
      </c>
      <c r="N178" s="60">
        <f t="shared" si="41"/>
        <v>55.184938219302225</v>
      </c>
      <c r="O178" s="60">
        <f t="shared" si="41"/>
        <v>42.760703283821321</v>
      </c>
      <c r="P178" s="60">
        <f t="shared" si="41"/>
        <v>84.458924137404239</v>
      </c>
      <c r="Q178" s="60">
        <f t="shared" si="41"/>
        <v>66.129019553456118</v>
      </c>
      <c r="R178" s="60">
        <f t="shared" si="41"/>
        <v>73.298136109493498</v>
      </c>
      <c r="S178" s="60">
        <f t="shared" si="41"/>
        <v>81.220786883727186</v>
      </c>
      <c r="T178" s="60">
        <f t="shared" si="41"/>
        <v>72.566193583569557</v>
      </c>
      <c r="U178" s="60">
        <f t="shared" si="41"/>
        <v>70.749004796716108</v>
      </c>
      <c r="V178" s="60">
        <f t="shared" si="41"/>
        <v>90.348553290094884</v>
      </c>
    </row>
    <row r="179" spans="3:22" x14ac:dyDescent="0.2">
      <c r="C179" s="88" t="s">
        <v>132</v>
      </c>
      <c r="D179" s="62">
        <f t="shared" ref="D179:V179" si="42">+IFERROR(IF(D140&gt;0,+((D140/D22)*100)," "),"")</f>
        <v>93.987786634999978</v>
      </c>
      <c r="E179" s="62">
        <f t="shared" si="42"/>
        <v>63.301276465225989</v>
      </c>
      <c r="F179" s="62">
        <f t="shared" si="42"/>
        <v>70.899661121353716</v>
      </c>
      <c r="G179" s="62">
        <f t="shared" si="42"/>
        <v>94.480074464676647</v>
      </c>
      <c r="H179" s="62">
        <f t="shared" si="42"/>
        <v>65.156654766910933</v>
      </c>
      <c r="I179" s="62">
        <f t="shared" si="42"/>
        <v>79.985525973742355</v>
      </c>
      <c r="J179" s="62">
        <f t="shared" si="42"/>
        <v>76.577160693547469</v>
      </c>
      <c r="K179" s="62">
        <f t="shared" si="42"/>
        <v>37.325694832890086</v>
      </c>
      <c r="L179" s="62">
        <f t="shared" si="42"/>
        <v>58.262305696080695</v>
      </c>
      <c r="M179" s="62">
        <f t="shared" si="42"/>
        <v>82.962086303432187</v>
      </c>
      <c r="N179" s="62">
        <f t="shared" si="42"/>
        <v>63.502707328254715</v>
      </c>
      <c r="O179" s="62">
        <f t="shared" si="42"/>
        <v>58.763199166836323</v>
      </c>
      <c r="P179" s="62">
        <f t="shared" si="42"/>
        <v>69.300094758553627</v>
      </c>
      <c r="Q179" s="62">
        <f t="shared" si="42"/>
        <v>84.269363439078276</v>
      </c>
      <c r="R179" s="62">
        <f t="shared" si="42"/>
        <v>75.408692992242351</v>
      </c>
      <c r="S179" s="62">
        <f t="shared" si="42"/>
        <v>78.800139816369466</v>
      </c>
      <c r="T179" s="62">
        <f t="shared" si="42"/>
        <v>91.050404939930715</v>
      </c>
      <c r="U179" s="62">
        <f t="shared" si="42"/>
        <v>89.669762357978612</v>
      </c>
      <c r="V179" s="62">
        <f t="shared" si="42"/>
        <v>92.373783935197324</v>
      </c>
    </row>
    <row r="180" spans="3:22" x14ac:dyDescent="0.2">
      <c r="C180" s="87" t="s">
        <v>133</v>
      </c>
      <c r="D180" s="60" t="str">
        <f t="shared" ref="D180:V180" si="43">+IFERROR(IF(D141&gt;0,+((D141/D23)*100)," "),"")</f>
        <v xml:space="preserve"> </v>
      </c>
      <c r="E180" s="60" t="str">
        <f t="shared" si="43"/>
        <v xml:space="preserve"> </v>
      </c>
      <c r="F180" s="60" t="str">
        <f t="shared" si="43"/>
        <v xml:space="preserve"> </v>
      </c>
      <c r="G180" s="60" t="str">
        <f t="shared" si="43"/>
        <v xml:space="preserve"> </v>
      </c>
      <c r="H180" s="60">
        <f t="shared" si="43"/>
        <v>39.067395198591271</v>
      </c>
      <c r="I180" s="60">
        <f t="shared" si="43"/>
        <v>86.711701035828455</v>
      </c>
      <c r="J180" s="60">
        <f t="shared" si="43"/>
        <v>53.291832499999991</v>
      </c>
      <c r="K180" s="60">
        <f t="shared" si="43"/>
        <v>92.261523999999994</v>
      </c>
      <c r="L180" s="60">
        <f t="shared" si="43"/>
        <v>93.771732320000012</v>
      </c>
      <c r="M180" s="60">
        <f t="shared" si="43"/>
        <v>91.473950518786907</v>
      </c>
      <c r="N180" s="60">
        <f t="shared" si="43"/>
        <v>86.845890863235127</v>
      </c>
      <c r="O180" s="60">
        <f t="shared" si="43"/>
        <v>71.056248004455171</v>
      </c>
      <c r="P180" s="60">
        <f t="shared" si="43"/>
        <v>87.830821921110882</v>
      </c>
      <c r="Q180" s="60">
        <f t="shared" si="43"/>
        <v>53.893031841454551</v>
      </c>
      <c r="R180" s="60">
        <f t="shared" si="43"/>
        <v>90.453494880249991</v>
      </c>
      <c r="S180" s="60">
        <f t="shared" si="43"/>
        <v>45.597660859999991</v>
      </c>
      <c r="T180" s="60">
        <f t="shared" si="43"/>
        <v>29.504785699949348</v>
      </c>
      <c r="U180" s="60">
        <f t="shared" si="43"/>
        <v>71.007813111153837</v>
      </c>
      <c r="V180" s="60">
        <f t="shared" si="43"/>
        <v>74.056664899882961</v>
      </c>
    </row>
    <row r="181" spans="3:22" x14ac:dyDescent="0.2">
      <c r="C181" s="88" t="s">
        <v>134</v>
      </c>
      <c r="D181" s="62">
        <f t="shared" ref="D181:V181" si="44">+IFERROR(IF(D142&gt;0,+((D142/D24)*100)," "),"")</f>
        <v>88.304200382221126</v>
      </c>
      <c r="E181" s="62">
        <f t="shared" si="44"/>
        <v>81.824167528335963</v>
      </c>
      <c r="F181" s="62">
        <f t="shared" si="44"/>
        <v>48.304693117207322</v>
      </c>
      <c r="G181" s="62">
        <f t="shared" si="44"/>
        <v>77.23959414473876</v>
      </c>
      <c r="H181" s="62">
        <f t="shared" si="44"/>
        <v>53.602870886329022</v>
      </c>
      <c r="I181" s="62">
        <f t="shared" si="44"/>
        <v>53.47784777037463</v>
      </c>
      <c r="J181" s="62">
        <f t="shared" si="44"/>
        <v>32.056124206690924</v>
      </c>
      <c r="K181" s="62">
        <f t="shared" si="44"/>
        <v>70.157452256142278</v>
      </c>
      <c r="L181" s="62">
        <f t="shared" si="44"/>
        <v>77.45634506958082</v>
      </c>
      <c r="M181" s="62">
        <f t="shared" si="44"/>
        <v>67.25819141744725</v>
      </c>
      <c r="N181" s="62">
        <f t="shared" si="44"/>
        <v>73.447504714906557</v>
      </c>
      <c r="O181" s="62">
        <f t="shared" si="44"/>
        <v>71.078680978595969</v>
      </c>
      <c r="P181" s="62">
        <f t="shared" si="44"/>
        <v>80.51206822822094</v>
      </c>
      <c r="Q181" s="62">
        <f t="shared" si="44"/>
        <v>93.216257018414311</v>
      </c>
      <c r="R181" s="62">
        <f t="shared" si="44"/>
        <v>92.882176438057868</v>
      </c>
      <c r="S181" s="62">
        <f t="shared" si="44"/>
        <v>73.031500837000323</v>
      </c>
      <c r="T181" s="62">
        <f t="shared" si="44"/>
        <v>90.668908271813322</v>
      </c>
      <c r="U181" s="62">
        <f t="shared" si="44"/>
        <v>92.195436271696678</v>
      </c>
      <c r="V181" s="62">
        <f t="shared" si="44"/>
        <v>80.35529020219127</v>
      </c>
    </row>
    <row r="182" spans="3:22" x14ac:dyDescent="0.2">
      <c r="C182" s="87" t="s">
        <v>135</v>
      </c>
      <c r="D182" s="60" t="str">
        <f t="shared" ref="D182:V182" si="45">+IFERROR(IF(D143&gt;0,+((D143/D25)*100)," "),"")</f>
        <v xml:space="preserve"> </v>
      </c>
      <c r="E182" s="60" t="str">
        <f t="shared" si="45"/>
        <v xml:space="preserve"> </v>
      </c>
      <c r="F182" s="60" t="str">
        <f t="shared" si="45"/>
        <v xml:space="preserve"> </v>
      </c>
      <c r="G182" s="60" t="str">
        <f t="shared" si="45"/>
        <v xml:space="preserve"> </v>
      </c>
      <c r="H182" s="60" t="str">
        <f t="shared" si="45"/>
        <v xml:space="preserve"> </v>
      </c>
      <c r="I182" s="60" t="str">
        <f t="shared" si="45"/>
        <v xml:space="preserve"> </v>
      </c>
      <c r="J182" s="60" t="str">
        <f t="shared" si="45"/>
        <v xml:space="preserve"> </v>
      </c>
      <c r="K182" s="60" t="str">
        <f t="shared" si="45"/>
        <v xml:space="preserve"> </v>
      </c>
      <c r="L182" s="60" t="str">
        <f t="shared" si="45"/>
        <v xml:space="preserve"> </v>
      </c>
      <c r="M182" s="60" t="str">
        <f t="shared" si="45"/>
        <v xml:space="preserve"> </v>
      </c>
      <c r="N182" s="60" t="str">
        <f t="shared" si="45"/>
        <v xml:space="preserve"> </v>
      </c>
      <c r="O182" s="60" t="str">
        <f t="shared" si="45"/>
        <v xml:space="preserve"> </v>
      </c>
      <c r="P182" s="60" t="str">
        <f t="shared" si="45"/>
        <v xml:space="preserve"> </v>
      </c>
      <c r="Q182" s="60" t="str">
        <f t="shared" si="45"/>
        <v xml:space="preserve"> </v>
      </c>
      <c r="R182" s="60" t="str">
        <f t="shared" si="45"/>
        <v xml:space="preserve"> </v>
      </c>
      <c r="S182" s="60" t="str">
        <f t="shared" si="45"/>
        <v xml:space="preserve"> </v>
      </c>
      <c r="T182" s="60" t="str">
        <f t="shared" si="45"/>
        <v xml:space="preserve"> </v>
      </c>
      <c r="U182" s="60" t="str">
        <f t="shared" si="45"/>
        <v xml:space="preserve"> </v>
      </c>
      <c r="V182" s="60" t="str">
        <f t="shared" si="45"/>
        <v xml:space="preserve"> </v>
      </c>
    </row>
    <row r="183" spans="3:22" x14ac:dyDescent="0.2">
      <c r="C183" s="88" t="s">
        <v>136</v>
      </c>
      <c r="D183" s="62">
        <f t="shared" ref="D183:V183" si="46">+IFERROR(IF(D144&gt;0,+((D144/D26)*100)," "),"")</f>
        <v>79.261773462324953</v>
      </c>
      <c r="E183" s="62">
        <f t="shared" si="46"/>
        <v>74.69624768460298</v>
      </c>
      <c r="F183" s="62">
        <f t="shared" si="46"/>
        <v>80.781668331580249</v>
      </c>
      <c r="G183" s="62">
        <f t="shared" si="46"/>
        <v>82.942638901310445</v>
      </c>
      <c r="H183" s="62">
        <f t="shared" si="46"/>
        <v>90.446127668448071</v>
      </c>
      <c r="I183" s="62">
        <f t="shared" si="46"/>
        <v>89.648121159727467</v>
      </c>
      <c r="J183" s="62">
        <f t="shared" si="46"/>
        <v>85.096600774436425</v>
      </c>
      <c r="K183" s="62">
        <f t="shared" si="46"/>
        <v>90.49557180161456</v>
      </c>
      <c r="L183" s="62">
        <f t="shared" si="46"/>
        <v>95.84353421621087</v>
      </c>
      <c r="M183" s="62">
        <f t="shared" si="46"/>
        <v>96.168085789333858</v>
      </c>
      <c r="N183" s="62">
        <f t="shared" si="46"/>
        <v>93.525123237884074</v>
      </c>
      <c r="O183" s="62">
        <f t="shared" si="46"/>
        <v>82.317135458923133</v>
      </c>
      <c r="P183" s="62">
        <f t="shared" si="46"/>
        <v>93.201520310898871</v>
      </c>
      <c r="Q183" s="62">
        <f t="shared" si="46"/>
        <v>93.719843193270989</v>
      </c>
      <c r="R183" s="62">
        <f t="shared" si="46"/>
        <v>94.537437152079008</v>
      </c>
      <c r="S183" s="62">
        <f t="shared" si="46"/>
        <v>91.035841271307021</v>
      </c>
      <c r="T183" s="62">
        <f t="shared" si="46"/>
        <v>97.080931658785403</v>
      </c>
      <c r="U183" s="62">
        <f t="shared" si="46"/>
        <v>96.464620461114706</v>
      </c>
      <c r="V183" s="62">
        <f t="shared" si="46"/>
        <v>95.701726555694947</v>
      </c>
    </row>
    <row r="184" spans="3:22" x14ac:dyDescent="0.2">
      <c r="C184" s="87" t="s">
        <v>137</v>
      </c>
      <c r="D184" s="60">
        <f t="shared" ref="D184:V184" si="47">+IFERROR(IF(D145&gt;0,+((D145/D27)*100)," "),"")</f>
        <v>73.186978733468592</v>
      </c>
      <c r="E184" s="60">
        <f t="shared" si="47"/>
        <v>63.955829525752151</v>
      </c>
      <c r="F184" s="60">
        <f t="shared" si="47"/>
        <v>75.228842510673573</v>
      </c>
      <c r="G184" s="60">
        <f t="shared" si="47"/>
        <v>60.261287276773587</v>
      </c>
      <c r="H184" s="60">
        <f t="shared" si="47"/>
        <v>47.202116582548449</v>
      </c>
      <c r="I184" s="60">
        <f t="shared" si="47"/>
        <v>38.869762256782217</v>
      </c>
      <c r="J184" s="60">
        <f t="shared" si="47"/>
        <v>64.313441216092428</v>
      </c>
      <c r="K184" s="60">
        <f t="shared" si="47"/>
        <v>91.608631201499207</v>
      </c>
      <c r="L184" s="60">
        <f t="shared" si="47"/>
        <v>73.058798291281477</v>
      </c>
      <c r="M184" s="60">
        <f t="shared" si="47"/>
        <v>76.261764663211167</v>
      </c>
      <c r="N184" s="60">
        <f t="shared" si="47"/>
        <v>52.817254326627797</v>
      </c>
      <c r="O184" s="60">
        <f t="shared" si="47"/>
        <v>63.48538005094192</v>
      </c>
      <c r="P184" s="60">
        <f t="shared" si="47"/>
        <v>73.975414556159421</v>
      </c>
      <c r="Q184" s="60">
        <f t="shared" si="47"/>
        <v>71.129211364207151</v>
      </c>
      <c r="R184" s="60">
        <f t="shared" si="47"/>
        <v>85.677860156892265</v>
      </c>
      <c r="S184" s="60">
        <f t="shared" si="47"/>
        <v>85.587321657772321</v>
      </c>
      <c r="T184" s="60">
        <f t="shared" si="47"/>
        <v>85.318418350969921</v>
      </c>
      <c r="U184" s="60">
        <f t="shared" si="47"/>
        <v>81.647925526116964</v>
      </c>
      <c r="V184" s="60">
        <f t="shared" si="47"/>
        <v>74.455259619314361</v>
      </c>
    </row>
    <row r="185" spans="3:22" x14ac:dyDescent="0.2">
      <c r="C185" s="88" t="s">
        <v>138</v>
      </c>
      <c r="D185" s="62">
        <f t="shared" ref="D185:V185" si="48">+IFERROR(IF(D146&gt;0,+((D146/D28)*100)," "),"")</f>
        <v>89.59391802019465</v>
      </c>
      <c r="E185" s="62">
        <f t="shared" si="48"/>
        <v>72.689915505325459</v>
      </c>
      <c r="F185" s="62">
        <f t="shared" si="48"/>
        <v>70.459993592888239</v>
      </c>
      <c r="G185" s="62">
        <f t="shared" si="48"/>
        <v>12.820162318341405</v>
      </c>
      <c r="H185" s="62">
        <f t="shared" si="48"/>
        <v>26.390167577592592</v>
      </c>
      <c r="I185" s="62">
        <f t="shared" si="48"/>
        <v>13.80816551355599</v>
      </c>
      <c r="J185" s="62">
        <f t="shared" si="48"/>
        <v>4.7015998212564822</v>
      </c>
      <c r="K185" s="62">
        <f t="shared" si="48"/>
        <v>69.833284996258499</v>
      </c>
      <c r="L185" s="62">
        <f t="shared" si="48"/>
        <v>64.917633022226156</v>
      </c>
      <c r="M185" s="62">
        <f t="shared" si="48"/>
        <v>36.700996989465473</v>
      </c>
      <c r="N185" s="62">
        <f t="shared" si="48"/>
        <v>26.130920474526182</v>
      </c>
      <c r="O185" s="62">
        <f t="shared" si="48"/>
        <v>39.712280406219072</v>
      </c>
      <c r="P185" s="62">
        <f t="shared" si="48"/>
        <v>100</v>
      </c>
      <c r="Q185" s="62">
        <f t="shared" si="48"/>
        <v>100</v>
      </c>
      <c r="R185" s="62" t="str">
        <f t="shared" si="48"/>
        <v xml:space="preserve"> </v>
      </c>
      <c r="S185" s="62" t="str">
        <f t="shared" si="48"/>
        <v xml:space="preserve"> </v>
      </c>
      <c r="T185" s="62" t="str">
        <f t="shared" si="48"/>
        <v xml:space="preserve"> </v>
      </c>
      <c r="U185" s="62" t="str">
        <f t="shared" si="48"/>
        <v xml:space="preserve"> </v>
      </c>
      <c r="V185" s="62" t="str">
        <f t="shared" si="48"/>
        <v xml:space="preserve"> </v>
      </c>
    </row>
    <row r="186" spans="3:22" x14ac:dyDescent="0.2">
      <c r="C186" s="87" t="s">
        <v>139</v>
      </c>
      <c r="D186" s="60">
        <f t="shared" ref="D186:V186" si="49">+IFERROR(IF(D147&gt;0,+((D147/D29)*100)," "),"")</f>
        <v>65.728143508354037</v>
      </c>
      <c r="E186" s="60">
        <f t="shared" si="49"/>
        <v>96.966869108563998</v>
      </c>
      <c r="F186" s="60">
        <f t="shared" si="49"/>
        <v>87.698427244800854</v>
      </c>
      <c r="G186" s="60">
        <f t="shared" si="49"/>
        <v>84.474012104152834</v>
      </c>
      <c r="H186" s="60">
        <f t="shared" si="49"/>
        <v>36.703430464512373</v>
      </c>
      <c r="I186" s="60">
        <f t="shared" si="49"/>
        <v>84.036801427848644</v>
      </c>
      <c r="J186" s="60">
        <f t="shared" si="49"/>
        <v>86.195003438501175</v>
      </c>
      <c r="K186" s="60">
        <f t="shared" si="49"/>
        <v>65.543002886846594</v>
      </c>
      <c r="L186" s="60">
        <f t="shared" si="49"/>
        <v>88.281181177253501</v>
      </c>
      <c r="M186" s="60">
        <f t="shared" si="49"/>
        <v>77.033561501877017</v>
      </c>
      <c r="N186" s="60">
        <f t="shared" si="49"/>
        <v>69.113336937885848</v>
      </c>
      <c r="O186" s="60">
        <f t="shared" si="49"/>
        <v>57.448408071258029</v>
      </c>
      <c r="P186" s="60">
        <f t="shared" si="49"/>
        <v>74.973703793938995</v>
      </c>
      <c r="Q186" s="60">
        <f t="shared" si="49"/>
        <v>86.078548954919015</v>
      </c>
      <c r="R186" s="60">
        <f t="shared" si="49"/>
        <v>84.202477154667648</v>
      </c>
      <c r="S186" s="60">
        <f t="shared" si="49"/>
        <v>93.259642288003832</v>
      </c>
      <c r="T186" s="60">
        <f t="shared" si="49"/>
        <v>92.699530674185596</v>
      </c>
      <c r="U186" s="60">
        <f t="shared" si="49"/>
        <v>94.25223731116678</v>
      </c>
      <c r="V186" s="60">
        <f t="shared" si="49"/>
        <v>61.170261510256772</v>
      </c>
    </row>
    <row r="187" spans="3:22" x14ac:dyDescent="0.2">
      <c r="C187" s="88" t="s">
        <v>140</v>
      </c>
      <c r="D187" s="62">
        <f t="shared" ref="D187:V187" si="50">+IFERROR(IF(D148&gt;0,+((D148/D30)*100)," "),"")</f>
        <v>40.428586697768132</v>
      </c>
      <c r="E187" s="62">
        <f t="shared" si="50"/>
        <v>46.123433876521212</v>
      </c>
      <c r="F187" s="62">
        <f t="shared" si="50"/>
        <v>35.39180408195822</v>
      </c>
      <c r="G187" s="62">
        <f t="shared" si="50"/>
        <v>56.736977118554513</v>
      </c>
      <c r="H187" s="62">
        <f t="shared" si="50"/>
        <v>59.088101706979614</v>
      </c>
      <c r="I187" s="62">
        <f t="shared" si="50"/>
        <v>14.614352289741344</v>
      </c>
      <c r="J187" s="62">
        <f t="shared" si="50"/>
        <v>69.798758396553666</v>
      </c>
      <c r="K187" s="62">
        <f t="shared" si="50"/>
        <v>71.536901962557138</v>
      </c>
      <c r="L187" s="62">
        <f t="shared" si="50"/>
        <v>76.903649960808821</v>
      </c>
      <c r="M187" s="62">
        <f t="shared" si="50"/>
        <v>68.517597847479507</v>
      </c>
      <c r="N187" s="62">
        <f t="shared" si="50"/>
        <v>54.202546036806119</v>
      </c>
      <c r="O187" s="62">
        <f t="shared" si="50"/>
        <v>76.793593616380946</v>
      </c>
      <c r="P187" s="62">
        <f t="shared" si="50"/>
        <v>78.39144426770774</v>
      </c>
      <c r="Q187" s="62">
        <f t="shared" si="50"/>
        <v>88.77361234120221</v>
      </c>
      <c r="R187" s="62">
        <f t="shared" si="50"/>
        <v>89.208474131760624</v>
      </c>
      <c r="S187" s="62">
        <f t="shared" si="50"/>
        <v>78.249071405975059</v>
      </c>
      <c r="T187" s="62">
        <f t="shared" si="50"/>
        <v>89.186186362106227</v>
      </c>
      <c r="U187" s="62">
        <f t="shared" si="50"/>
        <v>79.914410513406438</v>
      </c>
      <c r="V187" s="62">
        <f t="shared" si="50"/>
        <v>82.05242096649215</v>
      </c>
    </row>
    <row r="188" spans="3:22" x14ac:dyDescent="0.2">
      <c r="C188" s="87" t="s">
        <v>141</v>
      </c>
      <c r="D188" s="60" t="str">
        <f t="shared" ref="D188:V188" si="51">+IFERROR(IF(D149&gt;0,+((D149/D31)*100)," "),"")</f>
        <v xml:space="preserve"> </v>
      </c>
      <c r="E188" s="60" t="str">
        <f t="shared" si="51"/>
        <v xml:space="preserve"> </v>
      </c>
      <c r="F188" s="60" t="str">
        <f t="shared" si="51"/>
        <v xml:space="preserve"> </v>
      </c>
      <c r="G188" s="60" t="str">
        <f t="shared" si="51"/>
        <v xml:space="preserve"> </v>
      </c>
      <c r="H188" s="60" t="str">
        <f t="shared" si="51"/>
        <v xml:space="preserve"> </v>
      </c>
      <c r="I188" s="60" t="str">
        <f t="shared" si="51"/>
        <v xml:space="preserve"> </v>
      </c>
      <c r="J188" s="60" t="str">
        <f t="shared" si="51"/>
        <v xml:space="preserve"> </v>
      </c>
      <c r="K188" s="60">
        <f t="shared" si="51"/>
        <v>47.045446169808059</v>
      </c>
      <c r="L188" s="60">
        <f t="shared" si="51"/>
        <v>14.101860079779074</v>
      </c>
      <c r="M188" s="60">
        <f t="shared" si="51"/>
        <v>5.1074282857142865</v>
      </c>
      <c r="N188" s="60">
        <f t="shared" si="51"/>
        <v>2.638290707027942</v>
      </c>
      <c r="O188" s="60">
        <f t="shared" si="51"/>
        <v>0.13859227530660809</v>
      </c>
      <c r="P188" s="60">
        <f t="shared" si="51"/>
        <v>3.2092781906703371</v>
      </c>
      <c r="Q188" s="60">
        <f t="shared" si="51"/>
        <v>3.3068222741935478</v>
      </c>
      <c r="R188" s="60">
        <f t="shared" si="51"/>
        <v>25.402333834979657</v>
      </c>
      <c r="S188" s="60" t="str">
        <f t="shared" si="51"/>
        <v xml:space="preserve"> </v>
      </c>
      <c r="T188" s="60">
        <f t="shared" si="51"/>
        <v>2.5810692614833211</v>
      </c>
      <c r="U188" s="60" t="str">
        <f t="shared" si="51"/>
        <v xml:space="preserve"> </v>
      </c>
      <c r="V188" s="60" t="str">
        <f t="shared" si="51"/>
        <v xml:space="preserve"> </v>
      </c>
    </row>
    <row r="189" spans="3:22" x14ac:dyDescent="0.2">
      <c r="C189" s="88" t="s">
        <v>142</v>
      </c>
      <c r="D189" s="62">
        <f t="shared" ref="D189:V189" si="52">+IFERROR(IF(D150&gt;0,+((D150/D32)*100)," "),"")</f>
        <v>71.368197802656525</v>
      </c>
      <c r="E189" s="62">
        <f t="shared" si="52"/>
        <v>73.046173134158423</v>
      </c>
      <c r="F189" s="62">
        <f t="shared" si="52"/>
        <v>49.306141783089039</v>
      </c>
      <c r="G189" s="62">
        <f t="shared" si="52"/>
        <v>46.250121001293174</v>
      </c>
      <c r="H189" s="62">
        <f t="shared" si="52"/>
        <v>37.860063974688799</v>
      </c>
      <c r="I189" s="62">
        <f t="shared" si="52"/>
        <v>45.553970997021274</v>
      </c>
      <c r="J189" s="62">
        <f t="shared" si="52"/>
        <v>66.822208741306895</v>
      </c>
      <c r="K189" s="62">
        <f t="shared" si="52"/>
        <v>89.317509039137633</v>
      </c>
      <c r="L189" s="62">
        <f t="shared" si="52"/>
        <v>90.07319177301504</v>
      </c>
      <c r="M189" s="62">
        <f t="shared" si="52"/>
        <v>95.172384896376613</v>
      </c>
      <c r="N189" s="62">
        <f t="shared" si="52"/>
        <v>86.323423625581327</v>
      </c>
      <c r="O189" s="62">
        <f t="shared" si="52"/>
        <v>78.426669618843604</v>
      </c>
      <c r="P189" s="62">
        <f t="shared" si="52"/>
        <v>89.92656597569372</v>
      </c>
      <c r="Q189" s="62">
        <f t="shared" si="52"/>
        <v>88.037084054244616</v>
      </c>
      <c r="R189" s="62">
        <f t="shared" si="52"/>
        <v>82.621450465208113</v>
      </c>
      <c r="S189" s="62">
        <f t="shared" si="52"/>
        <v>90.207112713925625</v>
      </c>
      <c r="T189" s="62">
        <f t="shared" si="52"/>
        <v>70.191143362149276</v>
      </c>
      <c r="U189" s="62">
        <f t="shared" si="52"/>
        <v>86.33722059344737</v>
      </c>
      <c r="V189" s="62">
        <f t="shared" si="52"/>
        <v>90.139635825421053</v>
      </c>
    </row>
    <row r="190" spans="3:22" x14ac:dyDescent="0.2">
      <c r="C190" s="87" t="s">
        <v>143</v>
      </c>
      <c r="D190" s="60">
        <f t="shared" ref="D190:V190" si="53">+IFERROR(IF(D151&gt;0,+((D151/D33)*100)," "),"")</f>
        <v>100</v>
      </c>
      <c r="E190" s="60" t="str">
        <f t="shared" si="53"/>
        <v xml:space="preserve"> </v>
      </c>
      <c r="F190" s="60" t="str">
        <f t="shared" si="53"/>
        <v xml:space="preserve"> </v>
      </c>
      <c r="G190" s="60" t="str">
        <f t="shared" si="53"/>
        <v xml:space="preserve"> </v>
      </c>
      <c r="H190" s="60">
        <f t="shared" si="53"/>
        <v>45.800545401914924</v>
      </c>
      <c r="I190" s="60">
        <f t="shared" si="53"/>
        <v>47.748295316648296</v>
      </c>
      <c r="J190" s="60" t="str">
        <f t="shared" si="53"/>
        <v xml:space="preserve"> </v>
      </c>
      <c r="K190" s="60" t="str">
        <f t="shared" si="53"/>
        <v xml:space="preserve"> </v>
      </c>
      <c r="L190" s="60" t="str">
        <f t="shared" si="53"/>
        <v xml:space="preserve"> </v>
      </c>
      <c r="M190" s="60" t="str">
        <f t="shared" si="53"/>
        <v xml:space="preserve"> </v>
      </c>
      <c r="N190" s="60" t="str">
        <f t="shared" si="53"/>
        <v xml:space="preserve"> </v>
      </c>
      <c r="O190" s="60" t="str">
        <f t="shared" si="53"/>
        <v xml:space="preserve"> </v>
      </c>
      <c r="P190" s="60">
        <f t="shared" si="53"/>
        <v>0.24506109648653229</v>
      </c>
      <c r="Q190" s="60">
        <f t="shared" si="53"/>
        <v>51.38679410756307</v>
      </c>
      <c r="R190" s="60">
        <f t="shared" si="53"/>
        <v>86.584385409221255</v>
      </c>
      <c r="S190" s="60">
        <f t="shared" si="53"/>
        <v>6.6876714415231184</v>
      </c>
      <c r="T190" s="60">
        <f t="shared" si="53"/>
        <v>98.348445300374493</v>
      </c>
      <c r="U190" s="60">
        <f t="shared" si="53"/>
        <v>93.554999847112668</v>
      </c>
      <c r="V190" s="60">
        <f t="shared" si="53"/>
        <v>36.25714181415178</v>
      </c>
    </row>
    <row r="191" spans="3:22" x14ac:dyDescent="0.2">
      <c r="C191" s="88" t="s">
        <v>144</v>
      </c>
      <c r="D191" s="62" t="str">
        <f t="shared" ref="D191:V191" si="54">+IFERROR(IF(D152&gt;0,+((D152/D34)*100)," "),"")</f>
        <v xml:space="preserve"> </v>
      </c>
      <c r="E191" s="62" t="str">
        <f t="shared" si="54"/>
        <v xml:space="preserve"> </v>
      </c>
      <c r="F191" s="62" t="str">
        <f t="shared" si="54"/>
        <v xml:space="preserve"> </v>
      </c>
      <c r="G191" s="62" t="str">
        <f t="shared" si="54"/>
        <v xml:space="preserve"> </v>
      </c>
      <c r="H191" s="62" t="str">
        <f t="shared" si="54"/>
        <v xml:space="preserve"> </v>
      </c>
      <c r="I191" s="62" t="str">
        <f t="shared" si="54"/>
        <v xml:space="preserve"> </v>
      </c>
      <c r="J191" s="62" t="str">
        <f t="shared" si="54"/>
        <v xml:space="preserve"> </v>
      </c>
      <c r="K191" s="62" t="str">
        <f t="shared" si="54"/>
        <v xml:space="preserve"> </v>
      </c>
      <c r="L191" s="62" t="str">
        <f t="shared" si="54"/>
        <v xml:space="preserve"> </v>
      </c>
      <c r="M191" s="62" t="str">
        <f t="shared" si="54"/>
        <v xml:space="preserve"> </v>
      </c>
      <c r="N191" s="62" t="str">
        <f t="shared" si="54"/>
        <v xml:space="preserve"> </v>
      </c>
      <c r="O191" s="62" t="str">
        <f t="shared" si="54"/>
        <v xml:space="preserve"> </v>
      </c>
      <c r="P191" s="62" t="str">
        <f t="shared" si="54"/>
        <v xml:space="preserve"> </v>
      </c>
      <c r="Q191" s="62" t="str">
        <f t="shared" si="54"/>
        <v xml:space="preserve"> </v>
      </c>
      <c r="R191" s="62" t="str">
        <f t="shared" si="54"/>
        <v xml:space="preserve"> </v>
      </c>
      <c r="S191" s="62" t="str">
        <f t="shared" si="54"/>
        <v xml:space="preserve"> </v>
      </c>
      <c r="T191" s="62" t="str">
        <f t="shared" si="54"/>
        <v xml:space="preserve"> </v>
      </c>
      <c r="U191" s="62" t="str">
        <f t="shared" si="54"/>
        <v xml:space="preserve"> </v>
      </c>
      <c r="V191" s="62" t="str">
        <f t="shared" si="54"/>
        <v xml:space="preserve"> </v>
      </c>
    </row>
    <row r="192" spans="3:22" x14ac:dyDescent="0.2">
      <c r="C192" s="87" t="s">
        <v>145</v>
      </c>
      <c r="D192" s="60">
        <f t="shared" ref="D192:V192" si="55">+IFERROR(IF(D153&gt;0,+((D153/D35)*100)," "),"")</f>
        <v>33.463324754472964</v>
      </c>
      <c r="E192" s="60">
        <f t="shared" si="55"/>
        <v>3.59303354</v>
      </c>
      <c r="F192" s="60">
        <f t="shared" si="55"/>
        <v>1.5325917</v>
      </c>
      <c r="G192" s="60">
        <f t="shared" si="55"/>
        <v>42.309106472843766</v>
      </c>
      <c r="H192" s="60">
        <f t="shared" si="55"/>
        <v>3.2585170029624604</v>
      </c>
      <c r="I192" s="60">
        <f t="shared" si="55"/>
        <v>41.52130481943361</v>
      </c>
      <c r="J192" s="60">
        <f t="shared" si="55"/>
        <v>50.586975999520924</v>
      </c>
      <c r="K192" s="60">
        <f t="shared" si="55"/>
        <v>51.163819824742276</v>
      </c>
      <c r="L192" s="60">
        <f t="shared" si="55"/>
        <v>69.838007935788127</v>
      </c>
      <c r="M192" s="60">
        <f t="shared" si="55"/>
        <v>82.007864268162052</v>
      </c>
      <c r="N192" s="60">
        <f t="shared" si="55"/>
        <v>20.080903322390025</v>
      </c>
      <c r="O192" s="60">
        <f t="shared" si="55"/>
        <v>15.381496151007667</v>
      </c>
      <c r="P192" s="60">
        <f t="shared" si="55"/>
        <v>39.910407117169989</v>
      </c>
      <c r="Q192" s="60">
        <f t="shared" si="55"/>
        <v>40.424312792200631</v>
      </c>
      <c r="R192" s="60">
        <f t="shared" si="55"/>
        <v>70.308530686475322</v>
      </c>
      <c r="S192" s="60">
        <f t="shared" si="55"/>
        <v>66.378991195790789</v>
      </c>
      <c r="T192" s="60">
        <f t="shared" si="55"/>
        <v>85.48858447432309</v>
      </c>
      <c r="U192" s="60">
        <f t="shared" si="55"/>
        <v>91.320588856265971</v>
      </c>
      <c r="V192" s="60">
        <f t="shared" si="55"/>
        <v>70.681458744628785</v>
      </c>
    </row>
    <row r="193" spans="3:22" x14ac:dyDescent="0.2">
      <c r="C193" s="88" t="s">
        <v>146</v>
      </c>
      <c r="D193" s="62">
        <f t="shared" ref="D193:V193" si="56">+IFERROR(IF(D154&gt;0,+((D154/D36)*100)," "),"")</f>
        <v>64.431812817599791</v>
      </c>
      <c r="E193" s="62">
        <f t="shared" si="56"/>
        <v>54.979904600132279</v>
      </c>
      <c r="F193" s="62">
        <f t="shared" si="56"/>
        <v>16.711296991472757</v>
      </c>
      <c r="G193" s="62">
        <f t="shared" si="56"/>
        <v>99.468425807063056</v>
      </c>
      <c r="H193" s="62">
        <f t="shared" si="56"/>
        <v>63.059898217378063</v>
      </c>
      <c r="I193" s="62">
        <f t="shared" si="56"/>
        <v>74.546475168331298</v>
      </c>
      <c r="J193" s="62">
        <f t="shared" si="56"/>
        <v>48.922332785849306</v>
      </c>
      <c r="K193" s="62">
        <f t="shared" si="56"/>
        <v>71.16402451607064</v>
      </c>
      <c r="L193" s="62">
        <f t="shared" si="56"/>
        <v>85.812918232282243</v>
      </c>
      <c r="M193" s="62">
        <f t="shared" si="56"/>
        <v>61.7532688323844</v>
      </c>
      <c r="N193" s="62">
        <f t="shared" si="56"/>
        <v>95.07842198299474</v>
      </c>
      <c r="O193" s="62">
        <f t="shared" si="56"/>
        <v>93.018733991522311</v>
      </c>
      <c r="P193" s="62">
        <f t="shared" si="56"/>
        <v>97.257033908139988</v>
      </c>
      <c r="Q193" s="62">
        <f t="shared" si="56"/>
        <v>90.48762447898828</v>
      </c>
      <c r="R193" s="62">
        <f t="shared" si="56"/>
        <v>93.884902591547288</v>
      </c>
      <c r="S193" s="62">
        <f t="shared" si="56"/>
        <v>98.395522902834941</v>
      </c>
      <c r="T193" s="62">
        <f t="shared" si="56"/>
        <v>96.576793387719434</v>
      </c>
      <c r="U193" s="62">
        <f t="shared" si="56"/>
        <v>93.38458782207357</v>
      </c>
      <c r="V193" s="62">
        <f t="shared" si="56"/>
        <v>98.092795451961635</v>
      </c>
    </row>
    <row r="194" spans="3:22" x14ac:dyDescent="0.2">
      <c r="C194" s="90" t="s">
        <v>147</v>
      </c>
      <c r="D194" s="61">
        <f t="shared" ref="D194:V194" si="57">+IFERROR(IF(D155&gt;0,+((D155/D37)*100)," "),"")</f>
        <v>71.379631700222205</v>
      </c>
      <c r="E194" s="61">
        <f t="shared" si="57"/>
        <v>80.93923059806059</v>
      </c>
      <c r="F194" s="61">
        <f t="shared" si="57"/>
        <v>76.294006112660213</v>
      </c>
      <c r="G194" s="61">
        <f t="shared" si="57"/>
        <v>69.704056340220887</v>
      </c>
      <c r="H194" s="61">
        <f t="shared" si="57"/>
        <v>72.339285540024974</v>
      </c>
      <c r="I194" s="61">
        <f t="shared" si="57"/>
        <v>74.258249905705938</v>
      </c>
      <c r="J194" s="61">
        <f t="shared" si="57"/>
        <v>76.192392370903647</v>
      </c>
      <c r="K194" s="61">
        <f t="shared" si="57"/>
        <v>87.502141827390034</v>
      </c>
      <c r="L194" s="61">
        <f t="shared" si="57"/>
        <v>92.583474233853124</v>
      </c>
      <c r="M194" s="61">
        <f t="shared" si="57"/>
        <v>88.972093293320881</v>
      </c>
      <c r="N194" s="61">
        <f t="shared" si="57"/>
        <v>88.466455396724641</v>
      </c>
      <c r="O194" s="61">
        <f t="shared" si="57"/>
        <v>78.728304133658185</v>
      </c>
      <c r="P194" s="61">
        <f t="shared" si="57"/>
        <v>86.566734654814255</v>
      </c>
      <c r="Q194" s="61">
        <f t="shared" si="57"/>
        <v>93.292042219354983</v>
      </c>
      <c r="R194" s="61">
        <f t="shared" si="57"/>
        <v>90.693235315935823</v>
      </c>
      <c r="S194" s="61">
        <f t="shared" si="57"/>
        <v>91.948268935816529</v>
      </c>
      <c r="T194" s="61">
        <f t="shared" si="57"/>
        <v>90.634476196175598</v>
      </c>
      <c r="U194" s="61">
        <f t="shared" si="57"/>
        <v>91.025891735368575</v>
      </c>
      <c r="V194" s="61">
        <f t="shared" si="57"/>
        <v>86.857980171469833</v>
      </c>
    </row>
    <row r="195" spans="3:22" ht="22.5" customHeight="1" x14ac:dyDescent="0.2">
      <c r="C195" s="89" t="s">
        <v>148</v>
      </c>
      <c r="D195" s="63" t="str">
        <f t="shared" ref="D195:V195" si="58">+IFERROR(IF(D156&gt;0,+((D156/D38)*100)," "),"")</f>
        <v xml:space="preserve"> </v>
      </c>
      <c r="E195" s="63" t="str">
        <f t="shared" si="58"/>
        <v xml:space="preserve"> </v>
      </c>
      <c r="F195" s="63" t="str">
        <f t="shared" si="58"/>
        <v xml:space="preserve"> </v>
      </c>
      <c r="G195" s="63" t="str">
        <f t="shared" si="58"/>
        <v xml:space="preserve"> </v>
      </c>
      <c r="H195" s="63" t="str">
        <f t="shared" si="58"/>
        <v xml:space="preserve"> </v>
      </c>
      <c r="I195" s="63" t="str">
        <f t="shared" si="58"/>
        <v xml:space="preserve"> </v>
      </c>
      <c r="J195" s="63" t="str">
        <f t="shared" si="58"/>
        <v xml:space="preserve"> </v>
      </c>
      <c r="K195" s="63" t="str">
        <f t="shared" si="58"/>
        <v xml:space="preserve"> </v>
      </c>
      <c r="L195" s="63" t="str">
        <f t="shared" si="58"/>
        <v xml:space="preserve"> </v>
      </c>
      <c r="M195" s="63" t="str">
        <f t="shared" si="58"/>
        <v xml:space="preserve"> </v>
      </c>
      <c r="N195" s="63" t="str">
        <f t="shared" si="58"/>
        <v xml:space="preserve"> </v>
      </c>
      <c r="O195" s="63" t="str">
        <f t="shared" si="58"/>
        <v xml:space="preserve"> </v>
      </c>
      <c r="P195" s="63" t="str">
        <f t="shared" si="58"/>
        <v xml:space="preserve"> </v>
      </c>
      <c r="Q195" s="63" t="str">
        <f t="shared" si="58"/>
        <v xml:space="preserve"> </v>
      </c>
      <c r="R195" s="63" t="str">
        <f t="shared" si="58"/>
        <v xml:space="preserve"> </v>
      </c>
      <c r="S195" s="63" t="str">
        <f t="shared" si="58"/>
        <v xml:space="preserve"> </v>
      </c>
      <c r="T195" s="63" t="str">
        <f t="shared" si="58"/>
        <v xml:space="preserve"> </v>
      </c>
      <c r="U195" s="63" t="str">
        <f t="shared" si="58"/>
        <v xml:space="preserve"> </v>
      </c>
      <c r="V195" s="63" t="str">
        <f t="shared" si="58"/>
        <v xml:space="preserve"> </v>
      </c>
    </row>
    <row r="196" spans="3:22" x14ac:dyDescent="0.2">
      <c r="C196" s="87" t="s">
        <v>149</v>
      </c>
      <c r="D196" s="60">
        <f t="shared" ref="D196:V196" si="59">+IFERROR(IF(D157&gt;0,+((D157/D39)*100)," "),"")</f>
        <v>94.035645296299847</v>
      </c>
      <c r="E196" s="60">
        <f t="shared" si="59"/>
        <v>63.748293474509268</v>
      </c>
      <c r="F196" s="60">
        <f t="shared" si="59"/>
        <v>27.591119484419472</v>
      </c>
      <c r="G196" s="60">
        <f t="shared" si="59"/>
        <v>11.148998672747435</v>
      </c>
      <c r="H196" s="60">
        <f t="shared" si="59"/>
        <v>95.313411779167993</v>
      </c>
      <c r="I196" s="60">
        <f t="shared" si="59"/>
        <v>37.524462843742853</v>
      </c>
      <c r="J196" s="60">
        <f t="shared" si="59"/>
        <v>88.667457881810947</v>
      </c>
      <c r="K196" s="60">
        <f t="shared" si="59"/>
        <v>98.821837417844407</v>
      </c>
      <c r="L196" s="60">
        <f t="shared" si="59"/>
        <v>94.939771336811091</v>
      </c>
      <c r="M196" s="60">
        <f t="shared" si="59"/>
        <v>84.235572891708358</v>
      </c>
      <c r="N196" s="60">
        <f t="shared" si="59"/>
        <v>92.108211384184813</v>
      </c>
      <c r="O196" s="60">
        <f t="shared" si="59"/>
        <v>95.028144729072636</v>
      </c>
      <c r="P196" s="60">
        <f t="shared" si="59"/>
        <v>98.098202625830808</v>
      </c>
      <c r="Q196" s="60">
        <f t="shared" si="59"/>
        <v>93.873612796596845</v>
      </c>
      <c r="R196" s="60">
        <f t="shared" si="59"/>
        <v>96.750251126038705</v>
      </c>
      <c r="S196" s="60">
        <f t="shared" si="59"/>
        <v>91.412065328201663</v>
      </c>
      <c r="T196" s="60">
        <f t="shared" si="59"/>
        <v>96.818303755881857</v>
      </c>
      <c r="U196" s="60">
        <f t="shared" si="59"/>
        <v>89.559397619937826</v>
      </c>
      <c r="V196" s="60">
        <f t="shared" si="59"/>
        <v>91.485463348344283</v>
      </c>
    </row>
    <row r="197" spans="3:22" x14ac:dyDescent="0.2">
      <c r="C197" s="88" t="s">
        <v>150</v>
      </c>
      <c r="D197" s="62">
        <f t="shared" ref="D197:V197" si="60">+IFERROR(IF(D158&gt;0,+((D158/D40)*100)," "),"")</f>
        <v>78.189255899913107</v>
      </c>
      <c r="E197" s="62">
        <f t="shared" si="60"/>
        <v>79.688865922987432</v>
      </c>
      <c r="F197" s="62">
        <f t="shared" si="60"/>
        <v>45.634700446928228</v>
      </c>
      <c r="G197" s="62">
        <f t="shared" si="60"/>
        <v>63.115185400367302</v>
      </c>
      <c r="H197" s="62">
        <f t="shared" si="60"/>
        <v>55.977674553723013</v>
      </c>
      <c r="I197" s="62">
        <f t="shared" si="60"/>
        <v>64.814311372810607</v>
      </c>
      <c r="J197" s="62">
        <f t="shared" si="60"/>
        <v>61.710932544442564</v>
      </c>
      <c r="K197" s="62">
        <f t="shared" si="60"/>
        <v>83.252075816739747</v>
      </c>
      <c r="L197" s="62">
        <f t="shared" si="60"/>
        <v>80.276735331400545</v>
      </c>
      <c r="M197" s="62">
        <f t="shared" si="60"/>
        <v>65.393158019532677</v>
      </c>
      <c r="N197" s="62">
        <f t="shared" si="60"/>
        <v>51.961307537398682</v>
      </c>
      <c r="O197" s="62">
        <f t="shared" si="60"/>
        <v>56.989820779689893</v>
      </c>
      <c r="P197" s="62">
        <f t="shared" si="60"/>
        <v>67.573164560621578</v>
      </c>
      <c r="Q197" s="62">
        <f t="shared" si="60"/>
        <v>83.134811201648901</v>
      </c>
      <c r="R197" s="62">
        <f t="shared" si="60"/>
        <v>77.819034136547373</v>
      </c>
      <c r="S197" s="62">
        <f t="shared" si="60"/>
        <v>83.371585218998518</v>
      </c>
      <c r="T197" s="62">
        <f t="shared" si="60"/>
        <v>82.142929556920734</v>
      </c>
      <c r="U197" s="62">
        <f t="shared" si="60"/>
        <v>66.379357206781748</v>
      </c>
      <c r="V197" s="62">
        <f t="shared" si="60"/>
        <v>72.662413326698058</v>
      </c>
    </row>
    <row r="198" spans="3:22" x14ac:dyDescent="0.2">
      <c r="C198" s="87" t="s">
        <v>151</v>
      </c>
      <c r="D198" s="60">
        <f t="shared" ref="D198:V198" si="61">+IFERROR(IF(D159&gt;0,+((D159/D41)*100)," "),"")</f>
        <v>25.47212579</v>
      </c>
      <c r="E198" s="60">
        <f t="shared" si="61"/>
        <v>1.8986253470201744</v>
      </c>
      <c r="F198" s="60">
        <f t="shared" si="61"/>
        <v>5.2445158873099791</v>
      </c>
      <c r="G198" s="60" t="str">
        <f t="shared" si="61"/>
        <v xml:space="preserve"> </v>
      </c>
      <c r="H198" s="60" t="str">
        <f t="shared" si="61"/>
        <v xml:space="preserve"> </v>
      </c>
      <c r="I198" s="60" t="str">
        <f t="shared" si="61"/>
        <v xml:space="preserve"> </v>
      </c>
      <c r="J198" s="60" t="str">
        <f t="shared" si="61"/>
        <v xml:space="preserve"> </v>
      </c>
      <c r="K198" s="60" t="str">
        <f t="shared" si="61"/>
        <v xml:space="preserve"> </v>
      </c>
      <c r="L198" s="60" t="str">
        <f t="shared" si="61"/>
        <v xml:space="preserve"> </v>
      </c>
      <c r="M198" s="60" t="str">
        <f t="shared" si="61"/>
        <v xml:space="preserve"> </v>
      </c>
      <c r="N198" s="60" t="str">
        <f t="shared" si="61"/>
        <v xml:space="preserve"> </v>
      </c>
      <c r="O198" s="60" t="str">
        <f t="shared" si="61"/>
        <v xml:space="preserve"> </v>
      </c>
      <c r="P198" s="60" t="str">
        <f t="shared" si="61"/>
        <v xml:space="preserve"> </v>
      </c>
      <c r="Q198" s="60" t="str">
        <f t="shared" si="61"/>
        <v xml:space="preserve"> </v>
      </c>
      <c r="R198" s="60" t="str">
        <f t="shared" si="61"/>
        <v xml:space="preserve"> </v>
      </c>
      <c r="S198" s="60" t="str">
        <f t="shared" si="61"/>
        <v xml:space="preserve"> </v>
      </c>
      <c r="T198" s="60" t="str">
        <f t="shared" si="61"/>
        <v xml:space="preserve"> </v>
      </c>
      <c r="U198" s="60" t="str">
        <f t="shared" si="61"/>
        <v xml:space="preserve"> </v>
      </c>
      <c r="V198" s="60" t="str">
        <f t="shared" si="61"/>
        <v xml:space="preserve"> </v>
      </c>
    </row>
    <row r="199" spans="3:22" x14ac:dyDescent="0.2">
      <c r="C199" s="91" t="s">
        <v>202</v>
      </c>
      <c r="D199" s="64">
        <f t="shared" ref="D199:V199" si="62">+IFERROR(IF(D160&gt;0,+((D160/D42)*100)," "),"")</f>
        <v>76.941244679513602</v>
      </c>
      <c r="E199" s="64">
        <f t="shared" si="62"/>
        <v>75.655182424557225</v>
      </c>
      <c r="F199" s="64">
        <f t="shared" si="62"/>
        <v>66.222029296551312</v>
      </c>
      <c r="G199" s="64">
        <f t="shared" si="62"/>
        <v>71.807405936950005</v>
      </c>
      <c r="H199" s="64">
        <f t="shared" si="62"/>
        <v>70.898616279742015</v>
      </c>
      <c r="I199" s="64">
        <f t="shared" si="62"/>
        <v>68.500653361625325</v>
      </c>
      <c r="J199" s="64">
        <f t="shared" si="62"/>
        <v>73.141182742465134</v>
      </c>
      <c r="K199" s="64">
        <f t="shared" si="62"/>
        <v>86.50191983891979</v>
      </c>
      <c r="L199" s="64">
        <f t="shared" si="62"/>
        <v>90.838411021220679</v>
      </c>
      <c r="M199" s="64">
        <f t="shared" si="62"/>
        <v>86.823877021311617</v>
      </c>
      <c r="N199" s="64">
        <f t="shared" si="62"/>
        <v>82.141026438429748</v>
      </c>
      <c r="O199" s="64">
        <f t="shared" si="62"/>
        <v>77.740749665578917</v>
      </c>
      <c r="P199" s="64">
        <f t="shared" si="62"/>
        <v>85.854104005854254</v>
      </c>
      <c r="Q199" s="64">
        <f t="shared" si="62"/>
        <v>91.014545671374506</v>
      </c>
      <c r="R199" s="64">
        <f t="shared" si="62"/>
        <v>89.496320060690323</v>
      </c>
      <c r="S199" s="64">
        <f t="shared" si="62"/>
        <v>88.699059258271589</v>
      </c>
      <c r="T199" s="64">
        <f t="shared" si="62"/>
        <v>91.908431133279322</v>
      </c>
      <c r="U199" s="64">
        <f t="shared" si="62"/>
        <v>87.312045840163137</v>
      </c>
      <c r="V199" s="64">
        <f t="shared" si="62"/>
        <v>86.611330576999606</v>
      </c>
    </row>
    <row r="200" spans="3:22" x14ac:dyDescent="0.2">
      <c r="C200" s="1" t="s">
        <v>52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4" spans="3:22" ht="18" customHeight="1" x14ac:dyDescent="0.2">
      <c r="C204" s="9"/>
      <c r="D204" s="164" t="s">
        <v>223</v>
      </c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</row>
    <row r="205" spans="3:22" ht="15.75" customHeight="1" x14ac:dyDescent="0.2"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</row>
    <row r="206" spans="3:22" x14ac:dyDescent="0.2">
      <c r="C206" s="181" t="s">
        <v>120</v>
      </c>
      <c r="D206" s="155">
        <v>2000</v>
      </c>
      <c r="E206" s="155">
        <v>2001</v>
      </c>
      <c r="F206" s="155">
        <v>2002</v>
      </c>
      <c r="G206" s="155">
        <v>2003</v>
      </c>
      <c r="H206" s="155">
        <v>2004</v>
      </c>
      <c r="I206" s="155">
        <v>2005</v>
      </c>
      <c r="J206" s="155">
        <v>2006</v>
      </c>
      <c r="K206" s="155">
        <v>2007</v>
      </c>
      <c r="L206" s="155">
        <v>2008</v>
      </c>
      <c r="M206" s="155">
        <v>2009</v>
      </c>
      <c r="N206" s="155">
        <v>2010</v>
      </c>
      <c r="O206" s="155">
        <v>2011</v>
      </c>
      <c r="P206" s="155">
        <v>2012</v>
      </c>
      <c r="Q206" s="155">
        <v>2013</v>
      </c>
      <c r="R206" s="155">
        <v>2014</v>
      </c>
      <c r="S206" s="155">
        <v>2015</v>
      </c>
      <c r="T206" s="155">
        <v>2016</v>
      </c>
      <c r="U206" s="155">
        <v>2017</v>
      </c>
      <c r="V206" s="155">
        <v>2018</v>
      </c>
    </row>
    <row r="207" spans="3:22" ht="12" customHeight="1" thickBot="1" x14ac:dyDescent="0.25">
      <c r="C207" s="162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</row>
    <row r="208" spans="3:22" x14ac:dyDescent="0.2">
      <c r="C208" s="87" t="s">
        <v>123</v>
      </c>
      <c r="D208" s="56">
        <f>13.933540474*Deflactores!$A$5</f>
        <v>51.998796679689505</v>
      </c>
      <c r="E208" s="56">
        <f>16.109500499*Deflactores!$B$5</f>
        <v>55.84788012768805</v>
      </c>
      <c r="F208" s="56">
        <f>21.462998213*Deflactores!$C$5</f>
        <v>69.544749888771676</v>
      </c>
      <c r="G208" s="56">
        <f>16.652774087*Deflactores!$D$5</f>
        <v>50.669447621060392</v>
      </c>
      <c r="H208" s="56">
        <f>21.080632767*Deflactores!$E$5</f>
        <v>60.799944519938748</v>
      </c>
      <c r="I208" s="56">
        <f>32.245226046*Deflactores!$F$5</f>
        <v>88.694182735365956</v>
      </c>
      <c r="J208" s="56">
        <f>34.905415319*Deflactores!$G$5</f>
        <v>91.896270110808743</v>
      </c>
      <c r="K208" s="56">
        <f>48.891010055*Deflactores!$H$5</f>
        <v>121.78165031919622</v>
      </c>
      <c r="L208" s="56">
        <f>48.443013808*Deflactores!$I$5</f>
        <v>112.06542817655424</v>
      </c>
      <c r="M208" s="56">
        <f>41.738139258*Deflactores!$J$5</f>
        <v>94.659828758816275</v>
      </c>
      <c r="N208" s="56">
        <f>61.454904597*Deflactores!$K$5</f>
        <v>135.09230259116092</v>
      </c>
      <c r="O208" s="56">
        <f>26.8451530008199*Deflactores!$L$5</f>
        <v>56.891769205051183</v>
      </c>
      <c r="P208" s="56">
        <f>31.68363926143*Deflactores!$M$5</f>
        <v>65.546430517991595</v>
      </c>
      <c r="Q208" s="56">
        <f>35.0141638024099*Deflactores!$N$5</f>
        <v>71.058022324144318</v>
      </c>
      <c r="R208" s="56">
        <f>61.92687853225*Deflactores!$O$5</f>
        <v>121.23760322936758</v>
      </c>
      <c r="S208" s="56">
        <f>41.08041242311*Deflactores!$P$5</f>
        <v>75.325791667415174</v>
      </c>
      <c r="T208" s="56">
        <f>32.76838736365*Deflactores!$Q$5</f>
        <v>56.817693884687174</v>
      </c>
      <c r="U208" s="56">
        <f>39.13909682293*Deflactores!$R$5</f>
        <v>65.197407191173056</v>
      </c>
      <c r="V208" s="56">
        <f>49.15798525469*Deflactores!$S$5</f>
        <v>79.363000071827983</v>
      </c>
    </row>
    <row r="209" spans="3:22" x14ac:dyDescent="0.2">
      <c r="C209" s="88" t="s">
        <v>124</v>
      </c>
      <c r="D209" s="57">
        <f>2.496799572*Deflactores!$A$5</f>
        <v>9.3178452050021132</v>
      </c>
      <c r="E209" s="57">
        <f>0.824271081*Deflactores!$B$5</f>
        <v>2.8575555478747097</v>
      </c>
      <c r="F209" s="57">
        <f>3.76695074439*Deflactores!$C$5</f>
        <v>12.205734015448519</v>
      </c>
      <c r="G209" s="57">
        <f>3.68292848904*Deflactores!$D$5</f>
        <v>11.206057993256637</v>
      </c>
      <c r="H209" s="57">
        <f>3.39710552096*Deflactores!$E$5</f>
        <v>9.7978001649966124</v>
      </c>
      <c r="I209" s="57">
        <f>6.66559877471999*Deflactores!$F$5</f>
        <v>18.334491900359438</v>
      </c>
      <c r="J209" s="57">
        <f>9.69118850493*Deflactores!$G$5</f>
        <v>25.514209425809124</v>
      </c>
      <c r="K209" s="57">
        <f>18.90471837582*Deflactores!$H$5</f>
        <v>47.089389236120866</v>
      </c>
      <c r="L209" s="57">
        <f>15.05275683358*Deflactores!$I$5</f>
        <v>34.822227338673912</v>
      </c>
      <c r="M209" s="57">
        <f>18.53989221336*Deflactores!$J$5</f>
        <v>42.047466737204616</v>
      </c>
      <c r="N209" s="57">
        <f>21.74077173705*Deflactores!$K$5</f>
        <v>47.791318420015763</v>
      </c>
      <c r="O209" s="57">
        <f>31.90379283769*Deflactores!$L$5</f>
        <v>67.612325354680934</v>
      </c>
      <c r="P209" s="57">
        <f>29.81352061471*Deflactores!$M$5</f>
        <v>61.677569339318381</v>
      </c>
      <c r="Q209" s="57">
        <f>32.09410360841*Deflactores!$N$5</f>
        <v>65.132028956888504</v>
      </c>
      <c r="R209" s="57">
        <f>36.70099471013*Deflactores!$O$5</f>
        <v>71.851524576241104</v>
      </c>
      <c r="S209" s="57">
        <f>32.11756787911*Deflactores!$P$5</f>
        <v>58.891356834697355</v>
      </c>
      <c r="T209" s="57">
        <f>47.85857855683*Deflactores!$Q$5</f>
        <v>82.982846730341294</v>
      </c>
      <c r="U209" s="57">
        <f>60.9440120528*Deflactores!$R$5</f>
        <v>101.51975625922753</v>
      </c>
      <c r="V209" s="57">
        <f>78.86412910934*Deflactores!$S$5</f>
        <v>127.32201801480588</v>
      </c>
    </row>
    <row r="210" spans="3:22" x14ac:dyDescent="0.2">
      <c r="C210" s="87" t="s">
        <v>125</v>
      </c>
      <c r="D210" s="56">
        <f>1.8305855906*Deflactores!$A$5</f>
        <v>6.831590872973031</v>
      </c>
      <c r="E210" s="56">
        <f>1.26807817502999*Deflactores!$B$5</f>
        <v>4.3961312094070486</v>
      </c>
      <c r="F210" s="56">
        <f>7.54485813121*Deflactores!$C$5</f>
        <v>24.44696991883707</v>
      </c>
      <c r="G210" s="56">
        <f>2.30098930175*Deflactores!$D$5</f>
        <v>7.0012273205974669</v>
      </c>
      <c r="H210" s="56">
        <f>1.68856175246*Deflactores!$E$5</f>
        <v>4.8700844041442313</v>
      </c>
      <c r="I210" s="56">
        <f>10.44788090142*Deflactores!$F$5</f>
        <v>28.738091540928668</v>
      </c>
      <c r="J210" s="56">
        <f>0.19184414*Deflactores!$G$5</f>
        <v>0.50507237193706822</v>
      </c>
      <c r="K210" s="56">
        <f>17.662025475*Deflactores!$H$5</f>
        <v>43.993990058816863</v>
      </c>
      <c r="L210" s="56">
        <f>16.0035368279*Deflactores!$I$5</f>
        <v>37.021709963505494</v>
      </c>
      <c r="M210" s="56">
        <f>43.0481370228*Deflactores!$J$5</f>
        <v>97.630832409072013</v>
      </c>
      <c r="N210" s="56">
        <f>0*Deflactores!$K$5</f>
        <v>0</v>
      </c>
      <c r="O210" s="56">
        <f>0*Deflactores!$L$5</f>
        <v>0</v>
      </c>
      <c r="P210" s="56">
        <f>0*Deflactores!$M$5</f>
        <v>0</v>
      </c>
      <c r="Q210" s="56">
        <f>0*Deflactores!$N$5</f>
        <v>0</v>
      </c>
      <c r="R210" s="56">
        <f>0*Deflactores!$O$5</f>
        <v>0</v>
      </c>
      <c r="S210" s="56">
        <f>0*Deflactores!$P$5</f>
        <v>0</v>
      </c>
      <c r="T210" s="56">
        <f>0*Deflactores!$Q$5</f>
        <v>0</v>
      </c>
      <c r="U210" s="56">
        <f>0*Deflactores!$R$5</f>
        <v>0</v>
      </c>
      <c r="V210" s="56">
        <f>0*Deflactores!$S$5</f>
        <v>0</v>
      </c>
    </row>
    <row r="211" spans="3:22" x14ac:dyDescent="0.2">
      <c r="C211" s="88" t="s">
        <v>126</v>
      </c>
      <c r="D211" s="57">
        <f>0.7674214138*Deflactores!$A$5</f>
        <v>2.8639519250895931</v>
      </c>
      <c r="E211" s="57">
        <f>0*Deflactores!$B$5</f>
        <v>0</v>
      </c>
      <c r="F211" s="57">
        <f>0.095712293*Deflactores!$C$5</f>
        <v>0.31012850170831036</v>
      </c>
      <c r="G211" s="57">
        <f>0.042827433*Deflactores!$D$5</f>
        <v>0.13031116388181943</v>
      </c>
      <c r="H211" s="57">
        <f>0.842720955*Deflactores!$E$5</f>
        <v>2.4305431376802749</v>
      </c>
      <c r="I211" s="57">
        <f>1.145876573*Deflactores!$F$5</f>
        <v>3.1518645895938557</v>
      </c>
      <c r="J211" s="57">
        <f>1.83191089*Deflactores!$G$5</f>
        <v>4.8229129041400265</v>
      </c>
      <c r="K211" s="57">
        <f>2.333441387*Deflactores!$H$5</f>
        <v>5.8123230162824706</v>
      </c>
      <c r="L211" s="57">
        <f>7.2054728729*Deflactores!$I$5</f>
        <v>16.66874827227894</v>
      </c>
      <c r="M211" s="57">
        <f>11.2347632746*Deflactores!$J$5</f>
        <v>25.47983179474479</v>
      </c>
      <c r="N211" s="57">
        <f>11.55367942652*Deflactores!$K$5</f>
        <v>25.397698806368393</v>
      </c>
      <c r="O211" s="57">
        <f>12.40299080294*Deflactores!$L$5</f>
        <v>26.285120825784968</v>
      </c>
      <c r="P211" s="57">
        <f>6.31218564578*Deflactores!$M$5</f>
        <v>13.058513715356225</v>
      </c>
      <c r="Q211" s="57">
        <f>24.5333998409899*Deflactores!$N$5</f>
        <v>49.788276636446035</v>
      </c>
      <c r="R211" s="57">
        <f>40.2018460761799*Deflactores!$O$5</f>
        <v>78.705330854578094</v>
      </c>
      <c r="S211" s="57">
        <f>67.46258370365*Deflactores!$P$5</f>
        <v>123.70062094478818</v>
      </c>
      <c r="T211" s="57">
        <f>73.37510126429*Deflactores!$Q$5</f>
        <v>127.22640257289656</v>
      </c>
      <c r="U211" s="57">
        <f>98.0176382989999*Deflactores!$R$5</f>
        <v>163.27652896561182</v>
      </c>
      <c r="V211" s="57">
        <f>104.18441795772*Deflactores!$S$5</f>
        <v>168.20030208770669</v>
      </c>
    </row>
    <row r="212" spans="3:22" x14ac:dyDescent="0.2">
      <c r="C212" s="87" t="s">
        <v>127</v>
      </c>
      <c r="D212" s="56">
        <f>0*Deflactores!$A$5</f>
        <v>0</v>
      </c>
      <c r="E212" s="56">
        <f>0*Deflactores!$B$5</f>
        <v>0</v>
      </c>
      <c r="F212" s="56">
        <f>0*Deflactores!$C$5</f>
        <v>0</v>
      </c>
      <c r="G212" s="56">
        <f>0*Deflactores!$D$5</f>
        <v>0</v>
      </c>
      <c r="H212" s="56">
        <f>0*Deflactores!$E$5</f>
        <v>0</v>
      </c>
      <c r="I212" s="56">
        <f>0*Deflactores!$F$5</f>
        <v>0</v>
      </c>
      <c r="J212" s="56">
        <f>0*Deflactores!$G$5</f>
        <v>0</v>
      </c>
      <c r="K212" s="56">
        <f>0*Deflactores!$H$5</f>
        <v>0</v>
      </c>
      <c r="L212" s="56">
        <f>0*Deflactores!$I$5</f>
        <v>0</v>
      </c>
      <c r="M212" s="56">
        <f>0*Deflactores!$J$5</f>
        <v>0</v>
      </c>
      <c r="N212" s="56">
        <f>0*Deflactores!$K$5</f>
        <v>0</v>
      </c>
      <c r="O212" s="56">
        <f>0*Deflactores!$L$5</f>
        <v>0</v>
      </c>
      <c r="P212" s="56">
        <f>0*Deflactores!$M$5</f>
        <v>0</v>
      </c>
      <c r="Q212" s="56">
        <f>0*Deflactores!$N$5</f>
        <v>0</v>
      </c>
      <c r="R212" s="56">
        <f>0*Deflactores!$O$5</f>
        <v>0</v>
      </c>
      <c r="S212" s="56">
        <f>0*Deflactores!$P$5</f>
        <v>0</v>
      </c>
      <c r="T212" s="56">
        <f>0*Deflactores!$Q$5</f>
        <v>0</v>
      </c>
      <c r="U212" s="56">
        <f>0*Deflactores!$R$5</f>
        <v>0</v>
      </c>
      <c r="V212" s="56">
        <f>0*Deflactores!$S$5</f>
        <v>0</v>
      </c>
    </row>
    <row r="213" spans="3:22" x14ac:dyDescent="0.2">
      <c r="C213" s="88" t="s">
        <v>128</v>
      </c>
      <c r="D213" s="57">
        <f>0.100820294*Deflactores!$A$5</f>
        <v>0.376252825236708</v>
      </c>
      <c r="E213" s="57">
        <f>0.106281592*Deflactores!$B$5</f>
        <v>0.36845348557916507</v>
      </c>
      <c r="F213" s="57">
        <f>0.206233637*Deflactores!$C$5</f>
        <v>0.66824152718465912</v>
      </c>
      <c r="G213" s="57">
        <f>0.277372088*Deflactores!$D$5</f>
        <v>0.84396091672387763</v>
      </c>
      <c r="H213" s="57">
        <f>0.271896842*Deflactores!$E$5</f>
        <v>0.78419434043863079</v>
      </c>
      <c r="I213" s="57">
        <f>0.214393176*Deflactores!$F$5</f>
        <v>0.58971295478694052</v>
      </c>
      <c r="J213" s="57">
        <f>0.63145317*Deflactores!$G$5</f>
        <v>1.662440929074408</v>
      </c>
      <c r="K213" s="57">
        <f>2.405744283*Deflactores!$H$5</f>
        <v>5.9924208704244046</v>
      </c>
      <c r="L213" s="57">
        <f>1.922429066*Deflactores!$I$5</f>
        <v>4.4472426359394941</v>
      </c>
      <c r="M213" s="57">
        <f>2.768815025*Deflactores!$J$5</f>
        <v>6.2795218184313626</v>
      </c>
      <c r="N213" s="57">
        <f>4.993508304*Deflactores!$K$5</f>
        <v>10.976903132778981</v>
      </c>
      <c r="O213" s="57">
        <f>5.995861297*Deflactores!$L$5</f>
        <v>12.706768968089122</v>
      </c>
      <c r="P213" s="57">
        <f>7.84992046531*Deflactores!$M$5</f>
        <v>16.239746391052027</v>
      </c>
      <c r="Q213" s="57">
        <f>6.97004571252*Deflactores!$N$5</f>
        <v>14.145066169093104</v>
      </c>
      <c r="R213" s="57">
        <f>7.64533568206*Deflactores!$O$5</f>
        <v>14.967687633314323</v>
      </c>
      <c r="S213" s="57">
        <f>10.55384999388*Deflactores!$P$5</f>
        <v>19.351731373586144</v>
      </c>
      <c r="T213" s="57">
        <f>14.97429079184*Deflactores!$Q$5</f>
        <v>25.964191063453228</v>
      </c>
      <c r="U213" s="57">
        <f>8.06283453466*Deflactores!$R$5</f>
        <v>13.430966704456713</v>
      </c>
      <c r="V213" s="57">
        <f>9.77602658539*Deflactores!$S$5</f>
        <v>15.782884399731925</v>
      </c>
    </row>
    <row r="214" spans="3:22" x14ac:dyDescent="0.2">
      <c r="C214" s="87" t="s">
        <v>129</v>
      </c>
      <c r="D214" s="56">
        <f>6.69351061201*Deflactores!$A$5</f>
        <v>24.97961648991669</v>
      </c>
      <c r="E214" s="56">
        <f>7.65028250553*Deflactores!$B$5</f>
        <v>26.521744751695447</v>
      </c>
      <c r="F214" s="56">
        <f>6.73216796457*Deflactores!$C$5</f>
        <v>21.813678250303539</v>
      </c>
      <c r="G214" s="56">
        <f>5.39950152370999*Deflactores!$D$5</f>
        <v>16.429080116389564</v>
      </c>
      <c r="H214" s="56">
        <f>9.27642954864*Deflactores!$E$5</f>
        <v>26.754718804424986</v>
      </c>
      <c r="I214" s="56">
        <f>11.23297629211*Deflactores!$F$5</f>
        <v>30.897586219217342</v>
      </c>
      <c r="J214" s="56">
        <f>9.01972235172*Deflactores!$G$5</f>
        <v>23.746425418034722</v>
      </c>
      <c r="K214" s="56">
        <f>11.52362663522*Deflactores!$H$5</f>
        <v>28.703973751424218</v>
      </c>
      <c r="L214" s="56">
        <f>17.72936434543*Deflactores!$I$5</f>
        <v>41.014145291279</v>
      </c>
      <c r="M214" s="56">
        <f>17.50038625851*Deflactores!$J$5</f>
        <v>39.689923793768045</v>
      </c>
      <c r="N214" s="56">
        <f>28.6990022155299*Deflactores!$K$5</f>
        <v>63.087141974898195</v>
      </c>
      <c r="O214" s="56">
        <f>27.25843296139*Deflactores!$L$5</f>
        <v>57.767615512692224</v>
      </c>
      <c r="P214" s="56">
        <f>16.19553058009*Deflactores!$M$5</f>
        <v>33.504964853016865</v>
      </c>
      <c r="Q214" s="56">
        <f>26.6241265157299*Deflactores!$N$5</f>
        <v>54.031213967913416</v>
      </c>
      <c r="R214" s="56">
        <f>34.93961366945*Deflactores!$O$5</f>
        <v>68.403173540196505</v>
      </c>
      <c r="S214" s="56">
        <f>74.51887146344*Deflactores!$P$5</f>
        <v>136.63915856862818</v>
      </c>
      <c r="T214" s="56">
        <f>45.35334413879*Deflactores!$Q$5</f>
        <v>78.638975892453232</v>
      </c>
      <c r="U214" s="56">
        <f>40.72897522464*Deflactores!$R$5</f>
        <v>67.845806310081969</v>
      </c>
      <c r="V214" s="56">
        <f>45.4977751269799*Deflactores!$S$5</f>
        <v>73.453781963654038</v>
      </c>
    </row>
    <row r="215" spans="3:22" x14ac:dyDescent="0.2">
      <c r="C215" s="88" t="s">
        <v>130</v>
      </c>
      <c r="D215" s="57">
        <f>5.661929658*Deflactores!$A$5</f>
        <v>21.129843463003667</v>
      </c>
      <c r="E215" s="57">
        <f>9.44608736455*Deflactores!$B$5</f>
        <v>32.747381263857591</v>
      </c>
      <c r="F215" s="57">
        <f>6.36649493347*Deflactores!$C$5</f>
        <v>20.628818649769475</v>
      </c>
      <c r="G215" s="57">
        <f>7.92490364376*Deflactores!$D$5</f>
        <v>24.113129018721185</v>
      </c>
      <c r="H215" s="57">
        <f>5.62583174253*Deflactores!$E$5</f>
        <v>16.225806009001111</v>
      </c>
      <c r="I215" s="57">
        <f>9.25184686091*Deflactores!$F$5</f>
        <v>25.448263099491172</v>
      </c>
      <c r="J215" s="57">
        <f>16.32623171813*Deflactores!$G$5</f>
        <v>42.982436568925777</v>
      </c>
      <c r="K215" s="57">
        <f>12.98827128086*Deflactores!$H$5</f>
        <v>32.352228141680413</v>
      </c>
      <c r="L215" s="57">
        <f>12.3461396241299*Deflactores!$I$5</f>
        <v>28.560886587059379</v>
      </c>
      <c r="M215" s="57">
        <f>7.44441884136999*Deflactores!$J$5</f>
        <v>16.883536862461366</v>
      </c>
      <c r="N215" s="57">
        <f>0*Deflactores!$K$5</f>
        <v>0</v>
      </c>
      <c r="O215" s="57">
        <f>2.134232765*Deflactores!$L$5</f>
        <v>4.5229869948042332</v>
      </c>
      <c r="P215" s="57">
        <f>0*Deflactores!$M$5</f>
        <v>0</v>
      </c>
      <c r="Q215" s="57">
        <f>0*Deflactores!$N$5</f>
        <v>0</v>
      </c>
      <c r="R215" s="57">
        <f>0*Deflactores!$O$5</f>
        <v>0</v>
      </c>
      <c r="S215" s="57">
        <f>0*Deflactores!$P$5</f>
        <v>0</v>
      </c>
      <c r="T215" s="57">
        <f>0*Deflactores!$Q$5</f>
        <v>0</v>
      </c>
      <c r="U215" s="57">
        <f>0*Deflactores!$R$5</f>
        <v>0</v>
      </c>
      <c r="V215" s="57">
        <f>0*Deflactores!$S$5</f>
        <v>0</v>
      </c>
    </row>
    <row r="216" spans="3:22" x14ac:dyDescent="0.2">
      <c r="C216" s="87" t="s">
        <v>131</v>
      </c>
      <c r="D216" s="56">
        <f>75.54901732551*Deflactores!$A$5</f>
        <v>281.94255426968044</v>
      </c>
      <c r="E216" s="56">
        <f>89.96945292258*Deflactores!$B$5</f>
        <v>311.90310477260454</v>
      </c>
      <c r="F216" s="56">
        <f>120.526255677399*Deflactores!$C$5</f>
        <v>390.53110021869907</v>
      </c>
      <c r="G216" s="56">
        <f>114.15615333022*Deflactores!$D$5</f>
        <v>347.34328356155288</v>
      </c>
      <c r="H216" s="56">
        <f>98.34610681758*Deflactores!$E$5</f>
        <v>283.64603208785803</v>
      </c>
      <c r="I216" s="56">
        <f>87.0102291122*Deflactores!$F$5</f>
        <v>239.33158817724743</v>
      </c>
      <c r="J216" s="56">
        <f>59.3814501237399*Deflactores!$G$5</f>
        <v>156.33487612944563</v>
      </c>
      <c r="K216" s="56">
        <f>12.30836769716*Deflactores!$H$5</f>
        <v>30.658669747452599</v>
      </c>
      <c r="L216" s="56">
        <f>12.52454580141*Deflactores!$I$5</f>
        <v>28.973601715095754</v>
      </c>
      <c r="M216" s="56">
        <f>23.87166475623*Deflactores!$J$5</f>
        <v>54.139636749127106</v>
      </c>
      <c r="N216" s="56">
        <f>2.017004784*Deflactores!$K$5</f>
        <v>4.4338498675539189</v>
      </c>
      <c r="O216" s="56">
        <f>1.543710782*Deflactores!$L$5</f>
        <v>3.2715193512292804</v>
      </c>
      <c r="P216" s="56">
        <f>4.70851033049*Deflactores!$M$5</f>
        <v>9.7408647622248878</v>
      </c>
      <c r="Q216" s="56">
        <f>10.42858463756*Deflactores!$N$5</f>
        <v>21.163852553119213</v>
      </c>
      <c r="R216" s="56">
        <f>4.72411174780999*Deflactores!$O$5</f>
        <v>9.2486493630372912</v>
      </c>
      <c r="S216" s="56">
        <f>7.15581791932*Deflactores!$P$5</f>
        <v>13.121037935281961</v>
      </c>
      <c r="T216" s="56">
        <f>8.21078144432*Deflactores!$Q$5</f>
        <v>14.236821039748566</v>
      </c>
      <c r="U216" s="56">
        <f>9.1789061692*Deflactores!$R$5</f>
        <v>15.290104567060441</v>
      </c>
      <c r="V216" s="56">
        <f>8.90184697107999*Deflactores!$S$5</f>
        <v>14.371567063721765</v>
      </c>
    </row>
    <row r="217" spans="3:22" x14ac:dyDescent="0.2">
      <c r="C217" s="88" t="s">
        <v>132</v>
      </c>
      <c r="D217" s="57">
        <f>10.70356688839*Deflactores!$A$5</f>
        <v>39.944807955696071</v>
      </c>
      <c r="E217" s="57">
        <f>10.2167416666*Deflactores!$B$5</f>
        <v>35.419059947094681</v>
      </c>
      <c r="F217" s="57">
        <f>13.06264461278*Deflactores!$C$5</f>
        <v>42.325789876433042</v>
      </c>
      <c r="G217" s="57">
        <f>4.75706574913*Deflactores!$D$5</f>
        <v>14.474338782608559</v>
      </c>
      <c r="H217" s="57">
        <f>6.79017654488999*Deflactores!$E$5</f>
        <v>19.583964189925627</v>
      </c>
      <c r="I217" s="57">
        <f>6.70244064272999*Deflactores!$F$5</f>
        <v>18.43582967262159</v>
      </c>
      <c r="J217" s="57">
        <f>13.7152646739599*Deflactores!$G$5</f>
        <v>36.108485047401544</v>
      </c>
      <c r="K217" s="57">
        <f>15.75686260163*Deflactores!$H$5</f>
        <v>39.248457524617713</v>
      </c>
      <c r="L217" s="57">
        <f>23.51163111697*Deflactores!$I$5</f>
        <v>54.390526128193017</v>
      </c>
      <c r="M217" s="57">
        <f>54.08461249657*Deflactores!$J$5</f>
        <v>122.660958260878</v>
      </c>
      <c r="N217" s="57">
        <f>52.95043387175*Deflactores!$K$5</f>
        <v>116.39748010096007</v>
      </c>
      <c r="O217" s="57">
        <f>40.16571293493*Deflactores!$L$5</f>
        <v>85.12145452032199</v>
      </c>
      <c r="P217" s="57">
        <f>65.93195200938*Deflactores!$M$5</f>
        <v>136.3986023082669</v>
      </c>
      <c r="Q217" s="57">
        <f>87.6744319086499*Deflactores!$N$5</f>
        <v>177.92718897924186</v>
      </c>
      <c r="R217" s="57">
        <f>82.23562754206*Deflactores!$O$5</f>
        <v>160.99714081455218</v>
      </c>
      <c r="S217" s="57">
        <f>113.03178557422*Deflactores!$P$5</f>
        <v>207.25713861552975</v>
      </c>
      <c r="T217" s="57">
        <f>168.4251811087*Deflactores!$Q$5</f>
        <v>292.03543880595731</v>
      </c>
      <c r="U217" s="57">
        <f>225.22450127953*Deflactores!$R$5</f>
        <v>375.17609529373726</v>
      </c>
      <c r="V217" s="57">
        <f>301.81684506638*Deflactores!$S$5</f>
        <v>487.26753491990854</v>
      </c>
    </row>
    <row r="218" spans="3:22" x14ac:dyDescent="0.2">
      <c r="C218" s="87" t="s">
        <v>133</v>
      </c>
      <c r="D218" s="56">
        <f>0*Deflactores!$A$5</f>
        <v>0</v>
      </c>
      <c r="E218" s="56">
        <f>0*Deflactores!$B$5</f>
        <v>0</v>
      </c>
      <c r="F218" s="56">
        <f>0*Deflactores!$C$5</f>
        <v>0</v>
      </c>
      <c r="G218" s="56">
        <f>0*Deflactores!$D$5</f>
        <v>0</v>
      </c>
      <c r="H218" s="56">
        <f>0.14895637272*Deflactores!$E$5</f>
        <v>0.42961420073901135</v>
      </c>
      <c r="I218" s="56">
        <f>2.24767035719999*Deflactores!$F$5</f>
        <v>6.1824744260116935</v>
      </c>
      <c r="J218" s="56">
        <f>3.1089359385*Deflactores!$G$5</f>
        <v>8.1849654029494481</v>
      </c>
      <c r="K218" s="56">
        <f>0.587277222*Deflactores!$H$5</f>
        <v>1.4628372211900902</v>
      </c>
      <c r="L218" s="56">
        <f>3.37250889571*Deflactores!$I$5</f>
        <v>7.8017782899495192</v>
      </c>
      <c r="M218" s="56">
        <f>3.88330912743*Deflactores!$J$5</f>
        <v>8.8071338002835144</v>
      </c>
      <c r="N218" s="56">
        <f>2.41974305503*Deflactores!$K$5</f>
        <v>5.3191631022226078</v>
      </c>
      <c r="O218" s="56">
        <f>1.65973875042*Deflactores!$L$5</f>
        <v>3.517412395701033</v>
      </c>
      <c r="P218" s="56">
        <f>3.69728270299*Deflactores!$M$5</f>
        <v>7.6488588257575154</v>
      </c>
      <c r="Q218" s="56">
        <f>2.41940331932999*Deflactores!$N$5</f>
        <v>4.9099563264231607</v>
      </c>
      <c r="R218" s="56">
        <f>2.82295476784*Deflactores!$O$5</f>
        <v>5.5266514022598905</v>
      </c>
      <c r="S218" s="56">
        <f>1.383866316*Deflactores!$P$5</f>
        <v>2.5374824561383447</v>
      </c>
      <c r="T218" s="56">
        <f>2.30170068329*Deflactores!$Q$5</f>
        <v>3.9909600489653001</v>
      </c>
      <c r="U218" s="56">
        <f>2.84055346233*Deflactores!$R$5</f>
        <v>4.7317576481051109</v>
      </c>
      <c r="V218" s="56">
        <f>11.36108845678*Deflactores!$S$5</f>
        <v>18.341884016197586</v>
      </c>
    </row>
    <row r="219" spans="3:22" x14ac:dyDescent="0.2">
      <c r="C219" s="88" t="s">
        <v>134</v>
      </c>
      <c r="D219" s="57">
        <f>7.1581196416*Deflactores!$A$5</f>
        <v>26.713498162724775</v>
      </c>
      <c r="E219" s="57">
        <f>10.81719799985*Deflactores!$B$5</f>
        <v>37.500701977109131</v>
      </c>
      <c r="F219" s="57">
        <f>10.5403189428*Deflactores!$C$5</f>
        <v>34.152909922012697</v>
      </c>
      <c r="G219" s="57">
        <f>11.18642920691*Deflactores!$D$5</f>
        <v>34.036983015863235</v>
      </c>
      <c r="H219" s="57">
        <f>11.4525417479*Deflactores!$E$5</f>
        <v>33.030977323158183</v>
      </c>
      <c r="I219" s="57">
        <f>13.96557671108*Deflactores!$F$5</f>
        <v>38.413916250742375</v>
      </c>
      <c r="J219" s="57">
        <f>3.16434473503*Deflactores!$G$5</f>
        <v>8.3308413848250762</v>
      </c>
      <c r="K219" s="57">
        <f>10.48246377168*Deflactores!$H$5</f>
        <v>26.110561759519708</v>
      </c>
      <c r="L219" s="57">
        <f>9.91908473504*Deflactores!$I$5</f>
        <v>22.946270072243326</v>
      </c>
      <c r="M219" s="57">
        <f>7.89239455697999*Deflactores!$J$5</f>
        <v>17.899521409966624</v>
      </c>
      <c r="N219" s="57">
        <f>9.12584131686*Deflactores!$K$5</f>
        <v>20.060740874315048</v>
      </c>
      <c r="O219" s="57">
        <f>8.09663555946*Deflactores!$L$5</f>
        <v>17.158848808652355</v>
      </c>
      <c r="P219" s="57">
        <f>12.15848647639*Deflactores!$M$5</f>
        <v>25.15321495907817</v>
      </c>
      <c r="Q219" s="57">
        <f>16.16073850609*Deflactores!$N$5</f>
        <v>32.796731174867162</v>
      </c>
      <c r="R219" s="57">
        <f>19.35411601562*Deflactores!$O$5</f>
        <v>37.890600882376368</v>
      </c>
      <c r="S219" s="57">
        <f>18.847020966*Deflactores!$P$5</f>
        <v>34.558240560352331</v>
      </c>
      <c r="T219" s="57">
        <f>14.3472865691*Deflactores!$Q$5</f>
        <v>24.877017209070441</v>
      </c>
      <c r="U219" s="57">
        <f>21.95418969295*Deflactores!$R$5</f>
        <v>36.571008560548655</v>
      </c>
      <c r="V219" s="57">
        <f>23.8812818552399*Deflactores!$S$5</f>
        <v>38.555082430110886</v>
      </c>
    </row>
    <row r="220" spans="3:22" x14ac:dyDescent="0.2">
      <c r="C220" s="87" t="s">
        <v>135</v>
      </c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</row>
    <row r="221" spans="3:22" x14ac:dyDescent="0.2">
      <c r="C221" s="88" t="s">
        <v>136</v>
      </c>
      <c r="D221" s="57">
        <f>684.96798935616*Deflactores!$A$5</f>
        <v>2556.2427063738037</v>
      </c>
      <c r="E221" s="57">
        <f>757.156783707149*Deflactores!$B$5</f>
        <v>2624.8859359089111</v>
      </c>
      <c r="F221" s="57">
        <f>800.373504134309*Deflactores!$C$5</f>
        <v>2593.3830218047688</v>
      </c>
      <c r="G221" s="57">
        <f>840.96911827959*Deflactores!$D$5</f>
        <v>2558.8193574824077</v>
      </c>
      <c r="H221" s="57">
        <f>914.921582096199*Deflactores!$E$5</f>
        <v>2638.7813898368017</v>
      </c>
      <c r="I221" s="57">
        <f>1043.35594223889*Deflactores!$F$5</f>
        <v>2869.8698674635439</v>
      </c>
      <c r="J221" s="57">
        <f>1280.75888574218*Deflactores!$G$5</f>
        <v>3371.8826558959759</v>
      </c>
      <c r="K221" s="57">
        <f>1549.86830216296*Deflactores!$H$5</f>
        <v>3860.5363113277149</v>
      </c>
      <c r="L221" s="57">
        <f>2293.82649645777*Deflactores!$I$5</f>
        <v>5306.4132117604531</v>
      </c>
      <c r="M221" s="57">
        <f>3036.0660854076*Deflactores!$J$5</f>
        <v>6885.6326816257879</v>
      </c>
      <c r="N221" s="57">
        <f>2431.68907051002*Deflactores!$K$5</f>
        <v>5345.4232477483129</v>
      </c>
      <c r="O221" s="57">
        <f>2132.4704292763*Deflactores!$L$5</f>
        <v>4519.2521530899212</v>
      </c>
      <c r="P221" s="57">
        <f>2637.0154833025*Deflactores!$M$5</f>
        <v>5455.4008371623568</v>
      </c>
      <c r="Q221" s="57">
        <f>3011.10108328809*Deflactores!$N$5</f>
        <v>6110.7524715987647</v>
      </c>
      <c r="R221" s="57">
        <f>1090.61077922424*Deflactores!$O$5</f>
        <v>2135.1477752976248</v>
      </c>
      <c r="S221" s="57">
        <f>1117.43329574725*Deflactores!$P$5</f>
        <v>2048.9460225170315</v>
      </c>
      <c r="T221" s="57">
        <f>2175.83307246726*Deflactores!$Q$5</f>
        <v>3772.7159436830075</v>
      </c>
      <c r="U221" s="57">
        <f>2341.23807812149*Deflactores!$R$5</f>
        <v>3900.0044636017028</v>
      </c>
      <c r="V221" s="57">
        <f>2226.32701296753*Deflactores!$S$5</f>
        <v>3594.2886994783307</v>
      </c>
    </row>
    <row r="222" spans="3:22" x14ac:dyDescent="0.2">
      <c r="C222" s="87" t="s">
        <v>137</v>
      </c>
      <c r="D222" s="56">
        <f>8.26089719545*Deflactores!$A$5</f>
        <v>30.828970889313808</v>
      </c>
      <c r="E222" s="56">
        <f>10.55381846221*Deflactores!$B$5</f>
        <v>36.587626562566157</v>
      </c>
      <c r="F222" s="56">
        <f>14.85984983264*Deflactores!$C$5</f>
        <v>48.149122957561261</v>
      </c>
      <c r="G222" s="56">
        <f>13.84029989234*Deflactores!$D$5</f>
        <v>42.111923622511902</v>
      </c>
      <c r="H222" s="56">
        <f>13.26655910316*Deflactores!$E$5</f>
        <v>38.262895917682883</v>
      </c>
      <c r="I222" s="56">
        <f>28.29949587856*Deflactores!$F$5</f>
        <v>77.841000562100263</v>
      </c>
      <c r="J222" s="56">
        <f>32.07953440739*Deflactores!$G$5</f>
        <v>84.456510028282651</v>
      </c>
      <c r="K222" s="56">
        <f>26.63552395127*Deflactores!$H$5</f>
        <v>66.345899997834238</v>
      </c>
      <c r="L222" s="56">
        <f>36.09504518112*Deflactores!$I$5</f>
        <v>83.500310474206714</v>
      </c>
      <c r="M222" s="56">
        <f>37.0789633306199*Deflactores!$J$5</f>
        <v>84.093071273132125</v>
      </c>
      <c r="N222" s="56">
        <f>33.69079129154*Deflactores!$K$5</f>
        <v>74.060265841085553</v>
      </c>
      <c r="O222" s="56">
        <f>32.78499991651*Deflactores!$L$5</f>
        <v>69.479829322661814</v>
      </c>
      <c r="P222" s="56">
        <f>35.62906369959*Deflactores!$M$5</f>
        <v>73.708639621118735</v>
      </c>
      <c r="Q222" s="56">
        <f>36.80561662362*Deflactores!$N$5</f>
        <v>74.693610918535867</v>
      </c>
      <c r="R222" s="56">
        <f>43.81025243064*Deflactores!$O$5</f>
        <v>85.769703357457217</v>
      </c>
      <c r="S222" s="56">
        <f>34.12822628932*Deflactores!$P$5</f>
        <v>62.578136679113257</v>
      </c>
      <c r="T222" s="56">
        <f>29.48092338345*Deflactores!$Q$5</f>
        <v>51.117501195585213</v>
      </c>
      <c r="U222" s="56">
        <f>50.14222142683*Deflactores!$R$5</f>
        <v>83.526271508639937</v>
      </c>
      <c r="V222" s="56">
        <f>37.91985832052*Deflactores!$S$5</f>
        <v>61.219631012603706</v>
      </c>
    </row>
    <row r="223" spans="3:22" x14ac:dyDescent="0.2">
      <c r="C223" s="88" t="s">
        <v>138</v>
      </c>
      <c r="D223" s="57">
        <f>3.50696737171999*Deflactores!$A$5</f>
        <v>13.087706147956665</v>
      </c>
      <c r="E223" s="57">
        <f>3.0711489301*Deflactores!$B$5</f>
        <v>10.646956888151138</v>
      </c>
      <c r="F223" s="57">
        <f>4.33166902610999*Deflactores!$C$5</f>
        <v>14.035543218714729</v>
      </c>
      <c r="G223" s="57">
        <f>2.28970573560999*Deflactores!$D$5</f>
        <v>6.9668947787324855</v>
      </c>
      <c r="H223" s="57">
        <f>7.12534524595*Deflactores!$E$5</f>
        <v>20.550644775584754</v>
      </c>
      <c r="I223" s="57">
        <f>3.15838128155*Deflactores!$F$5</f>
        <v>8.687488998654576</v>
      </c>
      <c r="J223" s="57">
        <f>2.11638848706*Deflactores!$G$5</f>
        <v>5.5718634569692744</v>
      </c>
      <c r="K223" s="57">
        <f>30.60837305353*Deflactores!$H$5</f>
        <v>76.241791279239266</v>
      </c>
      <c r="L223" s="57">
        <f>30.55587163942*Deflactores!$I$5</f>
        <v>70.68628826751366</v>
      </c>
      <c r="M223" s="57">
        <f>18.3873777286499*Deflactores!$J$5</f>
        <v>41.701572184583171</v>
      </c>
      <c r="N223" s="57">
        <f>14.7694965916899*Deflactores!$K$5</f>
        <v>32.466819625997637</v>
      </c>
      <c r="O223" s="57">
        <f>17.8279177389099*Deflactores!$L$5</f>
        <v>37.781933348553558</v>
      </c>
      <c r="P223" s="57">
        <f>10*Deflactores!$M$5</f>
        <v>20.687784625102829</v>
      </c>
      <c r="Q223" s="57">
        <f>5*Deflactores!$N$5</f>
        <v>10.147039741565049</v>
      </c>
      <c r="R223" s="57">
        <f>0*Deflactores!$O$5</f>
        <v>0</v>
      </c>
      <c r="S223" s="57">
        <f>0*Deflactores!$P$5</f>
        <v>0</v>
      </c>
      <c r="T223" s="57">
        <f>0*Deflactores!$Q$5</f>
        <v>0</v>
      </c>
      <c r="U223" s="57">
        <f>0*Deflactores!$R$5</f>
        <v>0</v>
      </c>
      <c r="V223" s="57">
        <f>0*Deflactores!$S$5</f>
        <v>0</v>
      </c>
    </row>
    <row r="224" spans="3:22" x14ac:dyDescent="0.2">
      <c r="C224" s="87" t="s">
        <v>139</v>
      </c>
      <c r="D224" s="56">
        <f>47.3600981606799*Deflactores!$A$5</f>
        <v>176.74388785697877</v>
      </c>
      <c r="E224" s="56">
        <f>54.13848501321*Deflactores!$B$5</f>
        <v>187.68549785265373</v>
      </c>
      <c r="F224" s="56">
        <f>69.83713236948*Deflactores!$C$5</f>
        <v>226.28739262731671</v>
      </c>
      <c r="G224" s="56">
        <f>57.56628212041*Deflactores!$D$5</f>
        <v>175.15710604134972</v>
      </c>
      <c r="H224" s="56">
        <f>57.49285681035*Deflactores!$E$5</f>
        <v>165.81867076751504</v>
      </c>
      <c r="I224" s="56">
        <f>76.66124031996*Deflactores!$F$5</f>
        <v>210.86551069477767</v>
      </c>
      <c r="J224" s="56">
        <f>99.39031207139*Deflactores!$G$5</f>
        <v>261.66710468957962</v>
      </c>
      <c r="K224" s="56">
        <f>136.561867807329*Deflactores!$H$5</f>
        <v>340.15925654920363</v>
      </c>
      <c r="L224" s="56">
        <f>129.40188586437*Deflactores!$I$5</f>
        <v>299.35127082967358</v>
      </c>
      <c r="M224" s="56">
        <f>261.46737224117*Deflactores!$J$5</f>
        <v>592.99377313814671</v>
      </c>
      <c r="N224" s="56">
        <f>203.35294442637*Deflactores!$K$5</f>
        <v>447.01749488342313</v>
      </c>
      <c r="O224" s="56">
        <f>137.600254295809*Deflactores!$L$5</f>
        <v>291.61025492067142</v>
      </c>
      <c r="P224" s="56">
        <f>196.922279610959*Deflactores!$M$5</f>
        <v>407.38857084757984</v>
      </c>
      <c r="Q224" s="56">
        <f>286.233279759459*Deflactores!$N$5</f>
        <v>580.88409301554748</v>
      </c>
      <c r="R224" s="56">
        <f>308.401025487469*Deflactores!$O$5</f>
        <v>603.77338644815029</v>
      </c>
      <c r="S224" s="56">
        <f>331.579425835949*Deflactores!$P$5</f>
        <v>607.9900682221288</v>
      </c>
      <c r="T224" s="56">
        <f>236.71013779608*Deflactores!$Q$5</f>
        <v>410.43594850868794</v>
      </c>
      <c r="U224" s="56">
        <f>148.63947482975*Deflactores!$R$5</f>
        <v>247.60173718367002</v>
      </c>
      <c r="V224" s="56">
        <f>23.02282134015*Deflactores!$S$5</f>
        <v>37.169142758910851</v>
      </c>
    </row>
    <row r="225" spans="2:22" x14ac:dyDescent="0.2">
      <c r="C225" s="88" t="s">
        <v>140</v>
      </c>
      <c r="D225" s="57">
        <f>5.67153362241*Deflactores!$A$5</f>
        <v>21.165684647346328</v>
      </c>
      <c r="E225" s="57">
        <f>8.84401313942*Deflactores!$B$5</f>
        <v>30.660130380124844</v>
      </c>
      <c r="F225" s="57">
        <f>5.37227631156999*Deflactores!$C$5</f>
        <v>17.40733557882945</v>
      </c>
      <c r="G225" s="57">
        <f>4.31417557206*Deflactores!$D$5</f>
        <v>13.126755460353012</v>
      </c>
      <c r="H225" s="57">
        <f>19.0296756498999*Deflactores!$E$5</f>
        <v>54.884653441595781</v>
      </c>
      <c r="I225" s="57">
        <f>23.8529535288899*Deflactores!$F$5</f>
        <v>65.610277194257534</v>
      </c>
      <c r="J225" s="57">
        <f>161.63225288644*Deflactores!$G$5</f>
        <v>425.53285884513491</v>
      </c>
      <c r="K225" s="57">
        <f>72.2888458856*Deflactores!$H$5</f>
        <v>180.06285698976043</v>
      </c>
      <c r="L225" s="57">
        <f>156.32558230068*Deflactores!$I$5</f>
        <v>361.63508292256148</v>
      </c>
      <c r="M225" s="57">
        <f>228.28082263936*Deflactores!$J$5</f>
        <v>517.72848440582322</v>
      </c>
      <c r="N225" s="57">
        <f>176.550374365119*Deflactores!$K$5</f>
        <v>388.09915583986918</v>
      </c>
      <c r="O225" s="57">
        <f>401.46732812112*Deflactores!$L$5</f>
        <v>850.81230768689352</v>
      </c>
      <c r="P225" s="57">
        <f>410.15400081034*Deflactores!$M$5</f>
        <v>848.51776318885652</v>
      </c>
      <c r="Q225" s="57">
        <f>387.44045952691*Deflactores!$N$5</f>
        <v>786.27474806195619</v>
      </c>
      <c r="R225" s="57">
        <f>214.8418640503*Deflactores!$O$5</f>
        <v>420.60755019685683</v>
      </c>
      <c r="S225" s="57">
        <f>113.6131881978*Deflactores!$P$5</f>
        <v>208.32320904460946</v>
      </c>
      <c r="T225" s="57">
        <f>206.533673030609*Deflactores!$Q$5</f>
        <v>358.11243565042207</v>
      </c>
      <c r="U225" s="57">
        <f>106.157018482549*Deflactores!$R$5</f>
        <v>176.83500443354137</v>
      </c>
      <c r="V225" s="57">
        <f>178.43150002572*Deflactores!$S$5</f>
        <v>288.06833876509512</v>
      </c>
    </row>
    <row r="226" spans="2:22" x14ac:dyDescent="0.2">
      <c r="C226" s="87" t="s">
        <v>141</v>
      </c>
      <c r="D226" s="56">
        <f>0*Deflactores!$A$5</f>
        <v>0</v>
      </c>
      <c r="E226" s="56">
        <f>0*Deflactores!$B$5</f>
        <v>0</v>
      </c>
      <c r="F226" s="56">
        <f>0*Deflactores!$C$5</f>
        <v>0</v>
      </c>
      <c r="G226" s="56">
        <f>0*Deflactores!$D$5</f>
        <v>0</v>
      </c>
      <c r="H226" s="56">
        <f>0*Deflactores!$E$5</f>
        <v>0</v>
      </c>
      <c r="I226" s="56">
        <f>0*Deflactores!$F$5</f>
        <v>0</v>
      </c>
      <c r="J226" s="56">
        <f>0*Deflactores!$G$5</f>
        <v>0</v>
      </c>
      <c r="K226" s="56">
        <f>0.338771688*Deflactores!$H$5</f>
        <v>0.8438396997658395</v>
      </c>
      <c r="L226" s="56">
        <f>0.45957962*Deflactores!$I$5</f>
        <v>1.0631664475015128</v>
      </c>
      <c r="M226" s="56">
        <f>0.089379995*Deflactores!$J$5</f>
        <v>0.20270896526711321</v>
      </c>
      <c r="N226" s="56">
        <f>0.124632853*Deflactores!$K$5</f>
        <v>0.27397225983323054</v>
      </c>
      <c r="O226" s="56">
        <f>0.003571296*Deflactores!$L$5</f>
        <v>7.5684928221015193E-3</v>
      </c>
      <c r="P226" s="56">
        <f>0.00348*Deflactores!$M$5</f>
        <v>7.199349049535785E-3</v>
      </c>
      <c r="Q226" s="56">
        <f>0.068193039*Deflactores!$N$5</f>
        <v>0.13839149536621906</v>
      </c>
      <c r="R226" s="56">
        <f>0.5471869766*Deflactores!$O$5</f>
        <v>1.0712575723764275</v>
      </c>
      <c r="S226" s="56">
        <f>0*Deflactores!$P$5</f>
        <v>0</v>
      </c>
      <c r="T226" s="56">
        <f>0.007643926*Deflactores!$Q$5</f>
        <v>1.325394022981375E-2</v>
      </c>
      <c r="U226" s="56">
        <f>0*Deflactores!$R$5</f>
        <v>0</v>
      </c>
      <c r="V226" s="56">
        <f>0*Deflactores!$S$5</f>
        <v>0</v>
      </c>
    </row>
    <row r="227" spans="2:22" x14ac:dyDescent="0.2">
      <c r="C227" s="88" t="s">
        <v>142</v>
      </c>
      <c r="D227" s="57">
        <f>1.60296245794*Deflactores!$A$5</f>
        <v>5.9821205594610021</v>
      </c>
      <c r="E227" s="57">
        <f>2.95106539462*Deflactores!$B$5</f>
        <v>10.230655284311073</v>
      </c>
      <c r="F227" s="57">
        <f>2.3126983444*Deflactores!$C$5</f>
        <v>7.493642143251777</v>
      </c>
      <c r="G227" s="57">
        <f>2.504603623*Deflactores!$D$5</f>
        <v>7.620765250528831</v>
      </c>
      <c r="H227" s="57">
        <f>2.73019062537*Deflactores!$E$5</f>
        <v>7.8743100544498414</v>
      </c>
      <c r="I227" s="57">
        <f>3.19003575329*Deflactores!$F$5</f>
        <v>8.7745582440955552</v>
      </c>
      <c r="J227" s="57">
        <f>4.67899193975*Deflactores!$G$5</f>
        <v>12.318487066031606</v>
      </c>
      <c r="K227" s="57">
        <f>6.74787071366*Deflactores!$H$5</f>
        <v>16.808137748138964</v>
      </c>
      <c r="L227" s="57">
        <f>11.8242193821399*Deflactores!$I$5</f>
        <v>27.35350474198183</v>
      </c>
      <c r="M227" s="57">
        <f>15.12347129267*Deflactores!$J$5</f>
        <v>34.299209985232451</v>
      </c>
      <c r="N227" s="57">
        <f>21.73790201691*Deflactores!$K$5</f>
        <v>47.785010101679788</v>
      </c>
      <c r="O227" s="57">
        <f>19.09766657252*Deflactores!$L$5</f>
        <v>40.472857016894082</v>
      </c>
      <c r="P227" s="57">
        <f>23.4969596462399*Deflactores!$M$5</f>
        <v>48.610004050614343</v>
      </c>
      <c r="Q227" s="57">
        <f>33.00444791459*Deflactores!$N$5</f>
        <v>66.979488927551699</v>
      </c>
      <c r="R227" s="57">
        <f>13.67871302587*Deflactores!$O$5</f>
        <v>26.77955714585498</v>
      </c>
      <c r="S227" s="57">
        <f>12.45699628018*Deflactores!$P$5</f>
        <v>22.841375031442972</v>
      </c>
      <c r="T227" s="57">
        <f>9.24958735517*Deflactores!$Q$5</f>
        <v>16.038025218436733</v>
      </c>
      <c r="U227" s="57">
        <f>10.41424557238*Deflactores!$R$5</f>
        <v>17.347917154121511</v>
      </c>
      <c r="V227" s="57">
        <f>14.98511598553*Deflactores!$S$5</f>
        <v>24.192687207873401</v>
      </c>
    </row>
    <row r="228" spans="2:22" x14ac:dyDescent="0.2">
      <c r="C228" s="87" t="s">
        <v>143</v>
      </c>
      <c r="D228" s="56">
        <f>0.0585*Deflactores!$A$5</f>
        <v>0.21831706101102441</v>
      </c>
      <c r="E228" s="56">
        <f>0*Deflactores!$B$5</f>
        <v>0</v>
      </c>
      <c r="F228" s="56">
        <f>0*Deflactores!$C$5</f>
        <v>0</v>
      </c>
      <c r="G228" s="56">
        <f>0*Deflactores!$D$5</f>
        <v>0</v>
      </c>
      <c r="H228" s="56">
        <f>30.27942238435*Deflactores!$E$5</f>
        <v>87.330737241729565</v>
      </c>
      <c r="I228" s="56">
        <f>4.23428594992999*Deflactores!$F$5</f>
        <v>11.646887860582099</v>
      </c>
      <c r="J228" s="56">
        <f>0*Deflactores!$G$5</f>
        <v>0</v>
      </c>
      <c r="K228" s="56">
        <f>0*Deflactores!$H$5</f>
        <v>0</v>
      </c>
      <c r="L228" s="56">
        <f>0*Deflactores!$I$5</f>
        <v>0</v>
      </c>
      <c r="M228" s="56">
        <f>0*Deflactores!$J$5</f>
        <v>0</v>
      </c>
      <c r="N228" s="56">
        <f>0*Deflactores!$K$5</f>
        <v>0</v>
      </c>
      <c r="O228" s="56">
        <f>0*Deflactores!$L$5</f>
        <v>0</v>
      </c>
      <c r="P228" s="56">
        <f>0.036607469*Deflactores!$M$5</f>
        <v>7.5732743434212837E-2</v>
      </c>
      <c r="Q228" s="56">
        <f>3.487363484*Deflactores!$N$5</f>
        <v>7.0772831730861494</v>
      </c>
      <c r="R228" s="56">
        <f>1.10531429688*Deflactores!$O$5</f>
        <v>2.1639336479570495</v>
      </c>
      <c r="S228" s="56">
        <f>0.221295048*Deflactores!$P$5</f>
        <v>0.40577062642392758</v>
      </c>
      <c r="T228" s="56">
        <f>10.87767284817*Deflactores!$Q$5</f>
        <v>18.860991821364191</v>
      </c>
      <c r="U228" s="56">
        <f>18.85724748255*Deflactores!$R$5</f>
        <v>31.412161813203994</v>
      </c>
      <c r="V228" s="56">
        <f>55.41805192524*Deflactores!$S$5</f>
        <v>89.469550799049003</v>
      </c>
    </row>
    <row r="229" spans="2:22" x14ac:dyDescent="0.2">
      <c r="C229" s="88" t="s">
        <v>144</v>
      </c>
      <c r="D229" s="57">
        <f>0*Deflactores!$A$5</f>
        <v>0</v>
      </c>
      <c r="E229" s="57">
        <f>0*Deflactores!$B$5</f>
        <v>0</v>
      </c>
      <c r="F229" s="57">
        <f>0*Deflactores!$C$5</f>
        <v>0</v>
      </c>
      <c r="G229" s="57">
        <f>0*Deflactores!$D$5</f>
        <v>0</v>
      </c>
      <c r="H229" s="57">
        <f>0*Deflactores!$E$5</f>
        <v>0</v>
      </c>
      <c r="I229" s="57">
        <f>0*Deflactores!$F$5</f>
        <v>0</v>
      </c>
      <c r="J229" s="57">
        <f>0*Deflactores!$G$5</f>
        <v>0</v>
      </c>
      <c r="K229" s="57">
        <f>0*Deflactores!$H$5</f>
        <v>0</v>
      </c>
      <c r="L229" s="57">
        <f>0*Deflactores!$I$5</f>
        <v>0</v>
      </c>
      <c r="M229" s="57">
        <f>0*Deflactores!$J$5</f>
        <v>0</v>
      </c>
      <c r="N229" s="57">
        <f>0*Deflactores!$K$5</f>
        <v>0</v>
      </c>
      <c r="O229" s="57">
        <f>0*Deflactores!$L$5</f>
        <v>0</v>
      </c>
      <c r="P229" s="57">
        <f>0*Deflactores!$M$5</f>
        <v>0</v>
      </c>
      <c r="Q229" s="57">
        <f>0*Deflactores!$N$5</f>
        <v>0</v>
      </c>
      <c r="R229" s="57">
        <f>0*Deflactores!$O$5</f>
        <v>0</v>
      </c>
      <c r="S229" s="57">
        <f>0*Deflactores!$P$5</f>
        <v>0</v>
      </c>
      <c r="T229" s="57">
        <f>0*Deflactores!$Q$5</f>
        <v>0</v>
      </c>
      <c r="U229" s="57">
        <f>0*Deflactores!$R$5</f>
        <v>0</v>
      </c>
      <c r="V229" s="57">
        <f>0*Deflactores!$S$5</f>
        <v>0</v>
      </c>
    </row>
    <row r="230" spans="2:22" x14ac:dyDescent="0.2">
      <c r="C230" s="87" t="s">
        <v>145</v>
      </c>
      <c r="D230" s="56">
        <f>1.46794301177*Deflactores!$A$5</f>
        <v>5.4782393856632137</v>
      </c>
      <c r="E230" s="56">
        <f>0.092233314*Deflactores!$B$5</f>
        <v>0.31975138300353656</v>
      </c>
      <c r="F230" s="56">
        <f>0.061303668*Deflactores!$C$5</f>
        <v>0.19863712497268968</v>
      </c>
      <c r="G230" s="56">
        <f>0.251174703*Deflactores!$D$5</f>
        <v>0.7642500517273666</v>
      </c>
      <c r="H230" s="56">
        <f>0.425352765*Deflactores!$E$5</f>
        <v>1.2267859698161661</v>
      </c>
      <c r="I230" s="56">
        <f>0.252822783*Deflactores!$F$5</f>
        <v>0.69541798476079975</v>
      </c>
      <c r="J230" s="56">
        <f>8.84255507921999*Deflactores!$G$5</f>
        <v>23.27999316448139</v>
      </c>
      <c r="K230" s="56">
        <f>4.113941478*Deflactores!$H$5</f>
        <v>10.247335490590801</v>
      </c>
      <c r="L230" s="56">
        <f>3.097758893*Deflactores!$I$5</f>
        <v>7.1661866065493252</v>
      </c>
      <c r="M230" s="56">
        <f>12.5888534385*Deflactores!$J$5</f>
        <v>28.550834606979727</v>
      </c>
      <c r="N230" s="56">
        <f>4.430565197*Deflactores!$K$5</f>
        <v>9.7394220716471303</v>
      </c>
      <c r="O230" s="56">
        <f>3.06042588508999*Deflactores!$L$5</f>
        <v>6.4858279302184076</v>
      </c>
      <c r="P230" s="56">
        <f>12.27372283284*Deflactores!$M$5</f>
        <v>25.39161345140009</v>
      </c>
      <c r="Q230" s="56">
        <f>7.27388653272*Deflactores!$N$5</f>
        <v>14.761683144628927</v>
      </c>
      <c r="R230" s="56">
        <f>8.19726850036*Deflactores!$O$5</f>
        <v>16.04823639695779</v>
      </c>
      <c r="S230" s="56">
        <f>10.05242402716*Deflactores!$P$5</f>
        <v>18.43230759768133</v>
      </c>
      <c r="T230" s="56">
        <f>28.35785864576*Deflactores!$Q$5</f>
        <v>49.170199127570065</v>
      </c>
      <c r="U230" s="56">
        <f>31.6940302780999*Deflactores!$R$5</f>
        <v>52.795510507540527</v>
      </c>
      <c r="V230" s="56">
        <f>34.3594663844*Deflactores!$S$5</f>
        <v>55.471564162059444</v>
      </c>
    </row>
    <row r="231" spans="2:22" x14ac:dyDescent="0.2">
      <c r="C231" s="88" t="s">
        <v>146</v>
      </c>
      <c r="D231" s="57">
        <f>3.21439404988999*Deflactores!$A$5</f>
        <v>11.995847212022337</v>
      </c>
      <c r="E231" s="57">
        <f>4.15648078777*Deflactores!$B$5</f>
        <v>14.409549247217623</v>
      </c>
      <c r="F231" s="57">
        <f>1.17608422715*Deflactores!$C$5</f>
        <v>3.8107669121332792</v>
      </c>
      <c r="G231" s="57">
        <f>2.72121537173*Deflactores!$D$5</f>
        <v>8.279850493566455</v>
      </c>
      <c r="H231" s="57">
        <f>0.67099643373*Deflactores!$E$5</f>
        <v>1.9352619247617842</v>
      </c>
      <c r="I231" s="57">
        <f>3.06013280566*Deflactores!$F$5</f>
        <v>8.4172453271843359</v>
      </c>
      <c r="J231" s="57">
        <f>2.33851196832999*Deflactores!$G$5</f>
        <v>6.1566529300694315</v>
      </c>
      <c r="K231" s="57">
        <f>2.91466783401*Deflactores!$H$5</f>
        <v>7.2600884816801692</v>
      </c>
      <c r="L231" s="57">
        <f>2.74858777098*Deflactores!$I$5</f>
        <v>6.3584331614158778</v>
      </c>
      <c r="M231" s="57">
        <f>2.75407973566*Deflactores!$J$5</f>
        <v>6.2461029839928184</v>
      </c>
      <c r="N231" s="57">
        <f>7.74967262171999*Deflactores!$K$5</f>
        <v>17.035599122009522</v>
      </c>
      <c r="O231" s="57">
        <f>7.8765886987292*Deflactores!$L$5</f>
        <v>16.692513034197642</v>
      </c>
      <c r="P231" s="57">
        <f>48.9439996081079*Deflactores!$M$5</f>
        <v>101.25429225836535</v>
      </c>
      <c r="Q231" s="57">
        <f>32.8087374269321*Deflactores!$N$5</f>
        <v>66.582312508330531</v>
      </c>
      <c r="R231" s="57">
        <f>11.1083391844955*Deflactores!$O$5</f>
        <v>21.747397099722189</v>
      </c>
      <c r="S231" s="57">
        <f>37.7780895632402*Deflactores!$P$5</f>
        <v>69.270592386573497</v>
      </c>
      <c r="T231" s="57">
        <f>22.47163638256*Deflactores!$Q$5</f>
        <v>38.96397289567669</v>
      </c>
      <c r="U231" s="57">
        <f>34.11930650605*Deflactores!$R$5</f>
        <v>56.835504646907026</v>
      </c>
      <c r="V231" s="57">
        <f>14.61402279532*Deflactores!$S$5</f>
        <v>23.593576631459342</v>
      </c>
    </row>
    <row r="232" spans="2:22" x14ac:dyDescent="0.2">
      <c r="C232" s="90" t="s">
        <v>147</v>
      </c>
      <c r="D232" s="58">
        <f>389.01565107225*Deflactores!$A$5</f>
        <v>1451.7735663142528</v>
      </c>
      <c r="E232" s="58">
        <f>516.82708292438*Deflactores!$B$5</f>
        <v>1791.7189285723157</v>
      </c>
      <c r="F232" s="58">
        <f>441.2065195666*Deflactores!$C$5</f>
        <v>1429.6044172416596</v>
      </c>
      <c r="G232" s="58">
        <f>442.8111062494*Deflactores!$D$5</f>
        <v>1347.3427332232432</v>
      </c>
      <c r="H232" s="58">
        <f>586.89576189826*Deflactores!$E$5</f>
        <v>1692.7020244980768</v>
      </c>
      <c r="I232" s="58">
        <f>635.59821078292*Deflactores!$F$5</f>
        <v>1748.2855841367282</v>
      </c>
      <c r="J232" s="58">
        <f>784.762477154169*Deflactores!$G$5</f>
        <v>2066.0617819416611</v>
      </c>
      <c r="K232" s="58">
        <f>912.823705220419*Deflactores!$H$5</f>
        <v>2273.7345198467101</v>
      </c>
      <c r="L232" s="58">
        <f>1151.58226246904*Deflactores!$I$5</f>
        <v>2664.0076489792209</v>
      </c>
      <c r="M232" s="58">
        <f>1231.90868565971*Deflactores!$J$5</f>
        <v>2793.9018677909885</v>
      </c>
      <c r="N232" s="58">
        <f>1690.682884713*Deflactores!$K$5</f>
        <v>3716.5177514325678</v>
      </c>
      <c r="O232" s="58">
        <f>1273.58156801314*Deflactores!$L$5</f>
        <v>2699.0462162386561</v>
      </c>
      <c r="P232" s="58">
        <f>1783.5523054315*Deflactores!$M$5</f>
        <v>3689.7745962372492</v>
      </c>
      <c r="Q232" s="58">
        <f>2015.78114104687*Deflactores!$N$5</f>
        <v>4090.8422696999864</v>
      </c>
      <c r="R232" s="58">
        <f>754.195213661079*Deflactores!$O$5</f>
        <v>1476.5288068526165</v>
      </c>
      <c r="S232" s="58">
        <f>1193.38135086093*Deflactores!$P$5</f>
        <v>2188.2057582303987</v>
      </c>
      <c r="T232" s="58">
        <f>1442.33644652387*Deflactores!$Q$5</f>
        <v>2500.8930036095758</v>
      </c>
      <c r="U232" s="58">
        <f>1539.24052417336*Deflactores!$R$5</f>
        <v>2564.0471897882835</v>
      </c>
      <c r="V232" s="58">
        <f>1401.9625819327*Deflactores!$S$5</f>
        <v>2263.3953754239692</v>
      </c>
    </row>
    <row r="233" spans="2:22" ht="22.5" customHeight="1" x14ac:dyDescent="0.2">
      <c r="C233" s="89" t="s">
        <v>148</v>
      </c>
      <c r="D233" s="59">
        <f>0*Deflactores!$A$5</f>
        <v>0</v>
      </c>
      <c r="E233" s="59">
        <f>0*Deflactores!$B$5</f>
        <v>0</v>
      </c>
      <c r="F233" s="59">
        <f>0*Deflactores!$C$5</f>
        <v>0</v>
      </c>
      <c r="G233" s="59">
        <f>0*Deflactores!$D$5</f>
        <v>0</v>
      </c>
      <c r="H233" s="59">
        <f>0*Deflactores!$E$5</f>
        <v>0</v>
      </c>
      <c r="I233" s="59">
        <f>0*Deflactores!$F$5</f>
        <v>0</v>
      </c>
      <c r="J233" s="59">
        <f>0*Deflactores!$G$5</f>
        <v>0</v>
      </c>
      <c r="K233" s="59">
        <f>0*Deflactores!$H$5</f>
        <v>0</v>
      </c>
      <c r="L233" s="59">
        <f>0*Deflactores!$I$5</f>
        <v>0</v>
      </c>
      <c r="M233" s="59">
        <f>0*Deflactores!$J$5</f>
        <v>0</v>
      </c>
      <c r="N233" s="59">
        <f>0*Deflactores!$K$5</f>
        <v>0</v>
      </c>
      <c r="O233" s="59">
        <f>0*Deflactores!$L$5</f>
        <v>0</v>
      </c>
      <c r="P233" s="59">
        <f>0*Deflactores!$M$5</f>
        <v>0</v>
      </c>
      <c r="Q233" s="59">
        <f>0*Deflactores!$N$5</f>
        <v>0</v>
      </c>
      <c r="R233" s="59">
        <f>0*Deflactores!$O$5</f>
        <v>0</v>
      </c>
      <c r="S233" s="59">
        <f>0*Deflactores!$P$5</f>
        <v>0</v>
      </c>
      <c r="T233" s="59">
        <f>0*Deflactores!$Q$5</f>
        <v>0</v>
      </c>
      <c r="U233" s="59">
        <f>0*Deflactores!$R$5</f>
        <v>0</v>
      </c>
      <c r="V233" s="59">
        <f>0*Deflactores!$S$5</f>
        <v>0</v>
      </c>
    </row>
    <row r="234" spans="2:22" x14ac:dyDescent="0.2">
      <c r="C234" s="87" t="s">
        <v>149</v>
      </c>
      <c r="D234" s="56">
        <f>69.87222704172*Deflactores!$A$5</f>
        <v>260.75725220586895</v>
      </c>
      <c r="E234" s="56">
        <f>58.54006019833*Deflactores!$B$5</f>
        <v>202.94473219867501</v>
      </c>
      <c r="F234" s="56">
        <f>29.69360689084*Deflactores!$C$5</f>
        <v>96.213699690297574</v>
      </c>
      <c r="G234" s="56">
        <f>6.94730161008*Deflactores!$D$5</f>
        <v>21.138576263666398</v>
      </c>
      <c r="H234" s="56">
        <f>108.26122760529*Deflactores!$E$5</f>
        <v>312.24283942586902</v>
      </c>
      <c r="I234" s="56">
        <f>49.7080382573999*Deflactores!$F$5</f>
        <v>136.72764527464986</v>
      </c>
      <c r="J234" s="56">
        <f>131.95867132664*Deflactores!$G$5</f>
        <v>347.41055486297398</v>
      </c>
      <c r="K234" s="56">
        <f>252.18815831973*Deflactores!$H$5</f>
        <v>628.17049753290178</v>
      </c>
      <c r="L234" s="56">
        <f>248.50942484275*Deflactores!$I$5</f>
        <v>574.88816057750921</v>
      </c>
      <c r="M234" s="56">
        <f>411.17929065688*Deflactores!$J$5</f>
        <v>932.53225789866883</v>
      </c>
      <c r="N234" s="56">
        <f>342.86072571792*Deflactores!$K$5</f>
        <v>753.68833796174079</v>
      </c>
      <c r="O234" s="56">
        <f>508.55468881551*Deflactores!$L$5</f>
        <v>1077.7579097185615</v>
      </c>
      <c r="P234" s="56">
        <f>418.65744808668*Deflactores!$M$5</f>
        <v>866.10951177124048</v>
      </c>
      <c r="Q234" s="56">
        <f>769.93401162443*Deflactores!$N$5</f>
        <v>1562.5102028671397</v>
      </c>
      <c r="R234" s="56">
        <f>1150.70926296054*Deflactores!$O$5</f>
        <v>2252.8058310336914</v>
      </c>
      <c r="S234" s="56">
        <f>853.75035730102*Deflactores!$P$5</f>
        <v>1565.452188933242</v>
      </c>
      <c r="T234" s="56">
        <f>903.6577187074*Deflactores!$Q$5</f>
        <v>1566.8683071968157</v>
      </c>
      <c r="U234" s="56">
        <f>858.68326402154*Deflactores!$R$5</f>
        <v>1430.383605067228</v>
      </c>
      <c r="V234" s="56">
        <f>894.681440688969*Deflactores!$S$5</f>
        <v>1444.4164640552981</v>
      </c>
    </row>
    <row r="235" spans="2:22" x14ac:dyDescent="0.2">
      <c r="C235" s="88" t="s">
        <v>150</v>
      </c>
      <c r="D235" s="57">
        <f>217.397521384039*Deflactores!$A$5</f>
        <v>811.30919554948252</v>
      </c>
      <c r="E235" s="57">
        <f>445.980906333199*Deflactores!$B$5</f>
        <v>1546.1117616700956</v>
      </c>
      <c r="F235" s="57">
        <f>325.1985339208*Deflactores!$C$5</f>
        <v>1053.7134878024169</v>
      </c>
      <c r="G235" s="57">
        <f>335.98785881397*Deflactores!$D$5</f>
        <v>1022.3113052843689</v>
      </c>
      <c r="H235" s="57">
        <f>299.74163115299*Deflactores!$E$5</f>
        <v>864.50320281402287</v>
      </c>
      <c r="I235" s="57">
        <f>246.216417254639*Deflactores!$F$5</f>
        <v>677.24642008329317</v>
      </c>
      <c r="J235" s="57">
        <f>337.2496069323*Deflactores!$G$5</f>
        <v>887.88460730747738</v>
      </c>
      <c r="K235" s="57">
        <f>417.99797150056*Deflactores!$H$5</f>
        <v>1041.1828829502497</v>
      </c>
      <c r="L235" s="57">
        <f>438.873132413319*Deflactores!$I$5</f>
        <v>1015.2651875462392</v>
      </c>
      <c r="M235" s="57">
        <f>474.6107827218*Deflactores!$J$5</f>
        <v>1076.3914304330713</v>
      </c>
      <c r="N235" s="57">
        <f>471.300959289059*Deflactores!$K$5</f>
        <v>1036.0301138095015</v>
      </c>
      <c r="O235" s="57">
        <f>215.72446328519*Deflactores!$L$5</f>
        <v>457.17550489392738</v>
      </c>
      <c r="P235" s="57">
        <f>387.312741511714*Deflactores!$M$5</f>
        <v>801.26425789524637</v>
      </c>
      <c r="Q235" s="57">
        <f>423.74872755251*Deflactores!$N$5</f>
        <v>859.95903578258788</v>
      </c>
      <c r="R235" s="57">
        <f>660.142615790434*Deflactores!$O$5</f>
        <v>1292.3969433776267</v>
      </c>
      <c r="S235" s="57">
        <f>703.828523528609*Deflactores!$P$5</f>
        <v>1290.552786735796</v>
      </c>
      <c r="T235" s="57">
        <f>580.01251643673*Deflactores!$Q$5</f>
        <v>1005.6940929826225</v>
      </c>
      <c r="U235" s="57">
        <f>983.60204610684*Deflactores!$R$5</f>
        <v>1638.4717154875293</v>
      </c>
      <c r="V235" s="57">
        <f>961.12965077051*Deflactores!$S$5</f>
        <v>1551.6936291822201</v>
      </c>
    </row>
    <row r="236" spans="2:22" x14ac:dyDescent="0.2">
      <c r="C236" s="87" t="s">
        <v>151</v>
      </c>
      <c r="D236" s="56">
        <f>2.547212579*Deflactores!$A$5</f>
        <v>9.5059822908990057</v>
      </c>
      <c r="E236" s="56">
        <f>0.756774056*Deflactores!$B$5</f>
        <v>2.6235591082328003</v>
      </c>
      <c r="F236" s="56">
        <f>0.634796203*Deflactores!$C$5</f>
        <v>2.0568768039703573</v>
      </c>
      <c r="G236" s="56">
        <f>0*Deflactores!$D$5</f>
        <v>0</v>
      </c>
      <c r="H236" s="56">
        <f>0*Deflactores!$E$5</f>
        <v>0</v>
      </c>
      <c r="I236" s="56">
        <f>0*Deflactores!$F$5</f>
        <v>0</v>
      </c>
      <c r="J236" s="56">
        <f>0*Deflactores!$G$5</f>
        <v>0</v>
      </c>
      <c r="K236" s="56">
        <f>0*Deflactores!$H$5</f>
        <v>0</v>
      </c>
      <c r="L236" s="56">
        <f>0*Deflactores!$I$5</f>
        <v>0</v>
      </c>
      <c r="M236" s="56">
        <f>0*Deflactores!$J$5</f>
        <v>0</v>
      </c>
      <c r="N236" s="56">
        <f>0*Deflactores!$K$5</f>
        <v>0</v>
      </c>
      <c r="O236" s="56">
        <f>0*Deflactores!$L$5</f>
        <v>0</v>
      </c>
      <c r="P236" s="56">
        <f>0*Deflactores!$M$5</f>
        <v>0</v>
      </c>
      <c r="Q236" s="56">
        <f>0*Deflactores!$N$5</f>
        <v>0</v>
      </c>
      <c r="R236" s="56">
        <f>0*Deflactores!$O$5</f>
        <v>0</v>
      </c>
      <c r="S236" s="56">
        <f>0*Deflactores!$P$5</f>
        <v>0</v>
      </c>
      <c r="T236" s="56">
        <f>0*Deflactores!$Q$5</f>
        <v>0</v>
      </c>
      <c r="U236" s="56">
        <f>0*Deflactores!$R$5</f>
        <v>0</v>
      </c>
      <c r="V236" s="56">
        <f>0*Deflactores!$S$5</f>
        <v>0</v>
      </c>
    </row>
    <row r="237" spans="2:22" x14ac:dyDescent="0.2">
      <c r="C237" s="79" t="s">
        <v>202</v>
      </c>
      <c r="D237" s="44">
        <f t="shared" ref="D237:V237" si="63">+SUM(D208:D236)</f>
        <v>5821.1882343430734</v>
      </c>
      <c r="E237" s="44">
        <f t="shared" si="63"/>
        <v>6966.3870981391701</v>
      </c>
      <c r="F237" s="44">
        <f t="shared" si="63"/>
        <v>6108.9820646750613</v>
      </c>
      <c r="G237" s="44">
        <f t="shared" si="63"/>
        <v>5709.8873374631112</v>
      </c>
      <c r="H237" s="44">
        <f t="shared" si="63"/>
        <v>6344.4670958502111</v>
      </c>
      <c r="I237" s="44">
        <f t="shared" si="63"/>
        <v>6322.8859053909946</v>
      </c>
      <c r="J237" s="44">
        <f t="shared" si="63"/>
        <v>7892.3120058819895</v>
      </c>
      <c r="K237" s="44">
        <f t="shared" si="63"/>
        <v>8884.7999195405155</v>
      </c>
      <c r="L237" s="44">
        <f t="shared" si="63"/>
        <v>10806.401016785599</v>
      </c>
      <c r="M237" s="44">
        <f t="shared" si="63"/>
        <v>13520.452187686429</v>
      </c>
      <c r="N237" s="44">
        <f t="shared" si="63"/>
        <v>12296.693789567942</v>
      </c>
      <c r="O237" s="44">
        <f t="shared" si="63"/>
        <v>10401.430697630985</v>
      </c>
      <c r="P237" s="44">
        <f t="shared" si="63"/>
        <v>12707.159568873678</v>
      </c>
      <c r="Q237" s="44">
        <f t="shared" si="63"/>
        <v>14722.554968023182</v>
      </c>
      <c r="R237" s="44">
        <f t="shared" si="63"/>
        <v>8903.6687407228164</v>
      </c>
      <c r="S237" s="44">
        <f t="shared" si="63"/>
        <v>8754.3807749608586</v>
      </c>
      <c r="T237" s="44">
        <f t="shared" si="63"/>
        <v>10495.65402307757</v>
      </c>
      <c r="U237" s="44">
        <f t="shared" si="63"/>
        <v>11042.300512692371</v>
      </c>
      <c r="V237" s="44">
        <f t="shared" si="63"/>
        <v>10455.636714444536</v>
      </c>
    </row>
    <row r="238" spans="2:22" x14ac:dyDescent="0.2">
      <c r="C238" s="1" t="s">
        <v>52</v>
      </c>
      <c r="D238" s="12"/>
      <c r="E238" s="12"/>
      <c r="F238" s="12"/>
      <c r="G238" s="12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2:22" x14ac:dyDescent="0.2">
      <c r="B239" s="9"/>
    </row>
    <row r="242" spans="3:22" ht="18" customHeight="1" x14ac:dyDescent="0.2">
      <c r="C242" s="9"/>
      <c r="D242" s="164" t="s">
        <v>224</v>
      </c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</row>
    <row r="243" spans="3:22" hidden="1" x14ac:dyDescent="0.2">
      <c r="H243" s="27"/>
      <c r="I243" s="27"/>
      <c r="J243" s="27"/>
      <c r="L243" s="179"/>
      <c r="M243" s="160"/>
      <c r="N243" s="160"/>
      <c r="O243" s="160"/>
      <c r="P243" s="160"/>
      <c r="Q243" s="160"/>
      <c r="R243" s="28"/>
      <c r="S243" s="28"/>
      <c r="T243" s="28"/>
      <c r="U243" s="28"/>
      <c r="V243" s="28"/>
    </row>
    <row r="244" spans="3:22" x14ac:dyDescent="0.2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3:22" ht="13.5" customHeight="1" thickBot="1" x14ac:dyDescent="0.25">
      <c r="C245" s="181" t="s">
        <v>120</v>
      </c>
      <c r="D245" s="155">
        <v>2000</v>
      </c>
      <c r="E245" s="155">
        <v>2001</v>
      </c>
      <c r="F245" s="155">
        <v>2002</v>
      </c>
      <c r="G245" s="155">
        <v>2003</v>
      </c>
      <c r="H245" s="155">
        <v>2004</v>
      </c>
      <c r="I245" s="155">
        <v>2005</v>
      </c>
      <c r="J245" s="155">
        <v>2006</v>
      </c>
      <c r="K245" s="155">
        <v>2007</v>
      </c>
      <c r="L245" s="155">
        <v>2008</v>
      </c>
      <c r="M245" s="155">
        <v>2009</v>
      </c>
      <c r="N245" s="155">
        <v>2010</v>
      </c>
      <c r="O245" s="155">
        <v>2011</v>
      </c>
      <c r="P245" s="155">
        <v>2012</v>
      </c>
      <c r="Q245" s="155">
        <v>2013</v>
      </c>
      <c r="R245" s="155">
        <v>2014</v>
      </c>
      <c r="S245" s="155">
        <v>2015</v>
      </c>
      <c r="T245" s="155">
        <v>2016</v>
      </c>
      <c r="U245" s="155">
        <v>2017</v>
      </c>
      <c r="V245" s="155">
        <v>2018</v>
      </c>
    </row>
    <row r="246" spans="3:22" ht="12" customHeight="1" thickBot="1" x14ac:dyDescent="0.25">
      <c r="C246" s="162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</row>
    <row r="247" spans="3:22" x14ac:dyDescent="0.2">
      <c r="C247" s="87" t="s">
        <v>123</v>
      </c>
      <c r="D247" s="60">
        <f t="shared" ref="D247:V247" si="64">+IFERROR(IF(D208&gt;0,+((D208/D13)*100)," "),"")</f>
        <v>41.802956953204976</v>
      </c>
      <c r="E247" s="60">
        <f t="shared" si="64"/>
        <v>46.540440126741835</v>
      </c>
      <c r="F247" s="60">
        <f t="shared" si="64"/>
        <v>77.081688172652662</v>
      </c>
      <c r="G247" s="60">
        <f t="shared" si="64"/>
        <v>71.129649136473361</v>
      </c>
      <c r="H247" s="60">
        <f t="shared" si="64"/>
        <v>44.045186512289447</v>
      </c>
      <c r="I247" s="60">
        <f t="shared" si="64"/>
        <v>79.644390218961874</v>
      </c>
      <c r="J247" s="60">
        <f t="shared" si="64"/>
        <v>64.399696980155056</v>
      </c>
      <c r="K247" s="60">
        <f t="shared" si="64"/>
        <v>85.104363497266235</v>
      </c>
      <c r="L247" s="60">
        <f t="shared" si="64"/>
        <v>84.706658594039141</v>
      </c>
      <c r="M247" s="60">
        <f t="shared" si="64"/>
        <v>66.228938382443943</v>
      </c>
      <c r="N247" s="60">
        <f t="shared" si="64"/>
        <v>78.320205302358119</v>
      </c>
      <c r="O247" s="60">
        <f t="shared" si="64"/>
        <v>50.938950648075433</v>
      </c>
      <c r="P247" s="60">
        <f t="shared" si="64"/>
        <v>74.314827645594832</v>
      </c>
      <c r="Q247" s="60">
        <f t="shared" si="64"/>
        <v>60.166440809387055</v>
      </c>
      <c r="R247" s="60">
        <f t="shared" si="64"/>
        <v>71.857598669028292</v>
      </c>
      <c r="S247" s="60">
        <f t="shared" si="64"/>
        <v>62.062784946012869</v>
      </c>
      <c r="T247" s="60">
        <f t="shared" si="64"/>
        <v>93.070857088303796</v>
      </c>
      <c r="U247" s="60">
        <f t="shared" si="64"/>
        <v>90.062996827545589</v>
      </c>
      <c r="V247" s="60">
        <f t="shared" si="64"/>
        <v>83.440102207603957</v>
      </c>
    </row>
    <row r="248" spans="3:22" x14ac:dyDescent="0.2">
      <c r="C248" s="88" t="s">
        <v>124</v>
      </c>
      <c r="D248" s="62">
        <f t="shared" ref="D248:V248" si="65">+IFERROR(IF(D209&gt;0,+((D209/D14)*100)," "),"")</f>
        <v>43.739809960934075</v>
      </c>
      <c r="E248" s="62">
        <f t="shared" si="65"/>
        <v>26.762048084415586</v>
      </c>
      <c r="F248" s="62">
        <f t="shared" si="65"/>
        <v>43.179169468019253</v>
      </c>
      <c r="G248" s="62">
        <f t="shared" si="65"/>
        <v>33.705619655992294</v>
      </c>
      <c r="H248" s="62">
        <f t="shared" si="65"/>
        <v>22.654770698161393</v>
      </c>
      <c r="I248" s="62">
        <f t="shared" si="65"/>
        <v>55.830461300946396</v>
      </c>
      <c r="J248" s="62">
        <f t="shared" si="65"/>
        <v>66.288783659173262</v>
      </c>
      <c r="K248" s="62">
        <f t="shared" si="65"/>
        <v>78.07091556642537</v>
      </c>
      <c r="L248" s="62">
        <f t="shared" si="65"/>
        <v>67.595118027661783</v>
      </c>
      <c r="M248" s="62">
        <f t="shared" si="65"/>
        <v>74.082523029489337</v>
      </c>
      <c r="N248" s="62">
        <f t="shared" si="65"/>
        <v>73.230839858023444</v>
      </c>
      <c r="O248" s="62">
        <f t="shared" si="65"/>
        <v>74.153479076073808</v>
      </c>
      <c r="P248" s="62">
        <f t="shared" si="65"/>
        <v>79.86049666428265</v>
      </c>
      <c r="Q248" s="62">
        <f t="shared" si="65"/>
        <v>68.989904575257938</v>
      </c>
      <c r="R248" s="62">
        <f t="shared" si="65"/>
        <v>87.919862195503001</v>
      </c>
      <c r="S248" s="62">
        <f t="shared" si="65"/>
        <v>73.763751722331222</v>
      </c>
      <c r="T248" s="62">
        <f t="shared" si="65"/>
        <v>80.762269579586217</v>
      </c>
      <c r="U248" s="62">
        <f t="shared" si="65"/>
        <v>85.608914916147512</v>
      </c>
      <c r="V248" s="62">
        <f t="shared" si="65"/>
        <v>94.385876018278509</v>
      </c>
    </row>
    <row r="249" spans="3:22" x14ac:dyDescent="0.2">
      <c r="C249" s="87" t="s">
        <v>125</v>
      </c>
      <c r="D249" s="60">
        <f t="shared" ref="D249:V249" si="66">+IFERROR(IF(D210&gt;0,+((D210/D15)*100)," "),"")</f>
        <v>36.586832765719308</v>
      </c>
      <c r="E249" s="60">
        <f t="shared" si="66"/>
        <v>21.188667352248068</v>
      </c>
      <c r="F249" s="60">
        <f t="shared" si="66"/>
        <v>36.112967326150738</v>
      </c>
      <c r="G249" s="60">
        <f t="shared" si="66"/>
        <v>8.7935714558383413</v>
      </c>
      <c r="H249" s="60">
        <f t="shared" si="66"/>
        <v>6.3700665147186921</v>
      </c>
      <c r="I249" s="60">
        <f t="shared" si="66"/>
        <v>26.089964911543817</v>
      </c>
      <c r="J249" s="60">
        <f t="shared" si="66"/>
        <v>0.42183069988243305</v>
      </c>
      <c r="K249" s="60">
        <f t="shared" si="66"/>
        <v>32.398560242270939</v>
      </c>
      <c r="L249" s="60">
        <f t="shared" si="66"/>
        <v>26.177625261962177</v>
      </c>
      <c r="M249" s="60">
        <f t="shared" si="66"/>
        <v>91.720584057220975</v>
      </c>
      <c r="N249" s="60" t="str">
        <f t="shared" si="66"/>
        <v xml:space="preserve"> </v>
      </c>
      <c r="O249" s="60" t="str">
        <f t="shared" si="66"/>
        <v xml:space="preserve"> </v>
      </c>
      <c r="P249" s="60" t="str">
        <f t="shared" si="66"/>
        <v xml:space="preserve"> </v>
      </c>
      <c r="Q249" s="60" t="str">
        <f t="shared" si="66"/>
        <v xml:space="preserve"> </v>
      </c>
      <c r="R249" s="60" t="str">
        <f t="shared" si="66"/>
        <v xml:space="preserve"> </v>
      </c>
      <c r="S249" s="60" t="str">
        <f t="shared" si="66"/>
        <v xml:space="preserve"> </v>
      </c>
      <c r="T249" s="60" t="str">
        <f t="shared" si="66"/>
        <v xml:space="preserve"> </v>
      </c>
      <c r="U249" s="60" t="str">
        <f t="shared" si="66"/>
        <v xml:space="preserve"> </v>
      </c>
      <c r="V249" s="60" t="str">
        <f t="shared" si="66"/>
        <v xml:space="preserve"> </v>
      </c>
    </row>
    <row r="250" spans="3:22" x14ac:dyDescent="0.2">
      <c r="C250" s="88" t="s">
        <v>126</v>
      </c>
      <c r="D250" s="62">
        <f t="shared" ref="D250:V250" si="67">+IFERROR(IF(D211&gt;0,+((D211/D16)*100)," "),"")</f>
        <v>99.97986046984272</v>
      </c>
      <c r="E250" s="62" t="str">
        <f t="shared" si="67"/>
        <v xml:space="preserve"> </v>
      </c>
      <c r="F250" s="62">
        <f t="shared" si="67"/>
        <v>1.6427998054982615</v>
      </c>
      <c r="G250" s="62">
        <f t="shared" si="67"/>
        <v>33.480025493561733</v>
      </c>
      <c r="H250" s="62">
        <f t="shared" si="67"/>
        <v>17.40439807930607</v>
      </c>
      <c r="I250" s="62">
        <f t="shared" si="67"/>
        <v>23.466651095637925</v>
      </c>
      <c r="J250" s="62">
        <f t="shared" si="67"/>
        <v>36.42339263026669</v>
      </c>
      <c r="K250" s="62">
        <f t="shared" si="67"/>
        <v>47.085004324195857</v>
      </c>
      <c r="L250" s="62">
        <f t="shared" si="67"/>
        <v>64.094483404893737</v>
      </c>
      <c r="M250" s="62">
        <f t="shared" si="67"/>
        <v>78.481600994362324</v>
      </c>
      <c r="N250" s="62">
        <f t="shared" si="67"/>
        <v>70.454324146646613</v>
      </c>
      <c r="O250" s="62">
        <f t="shared" si="67"/>
        <v>56.013303324939145</v>
      </c>
      <c r="P250" s="62">
        <f t="shared" si="67"/>
        <v>32.978935041506936</v>
      </c>
      <c r="Q250" s="62">
        <f t="shared" si="67"/>
        <v>54.117466869535015</v>
      </c>
      <c r="R250" s="62">
        <f t="shared" si="67"/>
        <v>75.513838350803525</v>
      </c>
      <c r="S250" s="62">
        <f t="shared" si="67"/>
        <v>81.445553197413119</v>
      </c>
      <c r="T250" s="62">
        <f t="shared" si="67"/>
        <v>90.390753908355435</v>
      </c>
      <c r="U250" s="62">
        <f t="shared" si="67"/>
        <v>84.969483371499095</v>
      </c>
      <c r="V250" s="62">
        <f t="shared" si="67"/>
        <v>87.517002917673892</v>
      </c>
    </row>
    <row r="251" spans="3:22" x14ac:dyDescent="0.2">
      <c r="C251" s="87" t="s">
        <v>127</v>
      </c>
      <c r="D251" s="60" t="str">
        <f t="shared" ref="D251:V251" si="68">+IFERROR(IF(D212&gt;0,+((D212/D17)*100)," "),"")</f>
        <v xml:space="preserve"> </v>
      </c>
      <c r="E251" s="60" t="str">
        <f t="shared" si="68"/>
        <v xml:space="preserve"> </v>
      </c>
      <c r="F251" s="60" t="str">
        <f t="shared" si="68"/>
        <v xml:space="preserve"> </v>
      </c>
      <c r="G251" s="60" t="str">
        <f t="shared" si="68"/>
        <v xml:space="preserve"> </v>
      </c>
      <c r="H251" s="60" t="str">
        <f t="shared" si="68"/>
        <v xml:space="preserve"> </v>
      </c>
      <c r="I251" s="60" t="str">
        <f t="shared" si="68"/>
        <v xml:space="preserve"> </v>
      </c>
      <c r="J251" s="60" t="str">
        <f t="shared" si="68"/>
        <v xml:space="preserve"> </v>
      </c>
      <c r="K251" s="60" t="str">
        <f t="shared" si="68"/>
        <v xml:space="preserve"> </v>
      </c>
      <c r="L251" s="60" t="str">
        <f t="shared" si="68"/>
        <v xml:space="preserve"> </v>
      </c>
      <c r="M251" s="60" t="str">
        <f t="shared" si="68"/>
        <v xml:space="preserve"> </v>
      </c>
      <c r="N251" s="60" t="str">
        <f t="shared" si="68"/>
        <v xml:space="preserve"> </v>
      </c>
      <c r="O251" s="60" t="str">
        <f t="shared" si="68"/>
        <v xml:space="preserve"> </v>
      </c>
      <c r="P251" s="60" t="str">
        <f t="shared" si="68"/>
        <v xml:space="preserve"> </v>
      </c>
      <c r="Q251" s="60" t="str">
        <f t="shared" si="68"/>
        <v xml:space="preserve"> </v>
      </c>
      <c r="R251" s="60" t="str">
        <f t="shared" si="68"/>
        <v xml:space="preserve"> </v>
      </c>
      <c r="S251" s="60" t="str">
        <f t="shared" si="68"/>
        <v xml:space="preserve"> </v>
      </c>
      <c r="T251" s="60" t="str">
        <f t="shared" si="68"/>
        <v xml:space="preserve"> </v>
      </c>
      <c r="U251" s="60" t="str">
        <f t="shared" si="68"/>
        <v xml:space="preserve"> </v>
      </c>
      <c r="V251" s="60" t="str">
        <f t="shared" si="68"/>
        <v xml:space="preserve"> </v>
      </c>
    </row>
    <row r="252" spans="3:22" x14ac:dyDescent="0.2">
      <c r="C252" s="88" t="s">
        <v>128</v>
      </c>
      <c r="D252" s="62">
        <f t="shared" ref="D252:V252" si="69">+IFERROR(IF(D213&gt;0,+((D213/D18)*100)," "),"")</f>
        <v>81.967718699187003</v>
      </c>
      <c r="E252" s="62">
        <f t="shared" si="69"/>
        <v>65.203430674846615</v>
      </c>
      <c r="F252" s="62">
        <f t="shared" si="69"/>
        <v>81.838744841269843</v>
      </c>
      <c r="G252" s="62">
        <f t="shared" si="69"/>
        <v>69.804447898789704</v>
      </c>
      <c r="H252" s="62">
        <f t="shared" si="69"/>
        <v>44.458825972497024</v>
      </c>
      <c r="I252" s="62">
        <f t="shared" si="69"/>
        <v>46.197460782623693</v>
      </c>
      <c r="J252" s="62">
        <f t="shared" si="69"/>
        <v>9.6182982344289236</v>
      </c>
      <c r="K252" s="62">
        <f t="shared" si="69"/>
        <v>44.153955051574762</v>
      </c>
      <c r="L252" s="62">
        <f t="shared" si="69"/>
        <v>63.489447587844538</v>
      </c>
      <c r="M252" s="62">
        <f t="shared" si="69"/>
        <v>24.032766469924479</v>
      </c>
      <c r="N252" s="62">
        <f t="shared" si="69"/>
        <v>81.036112591762461</v>
      </c>
      <c r="O252" s="62">
        <f t="shared" si="69"/>
        <v>74.17620372453861</v>
      </c>
      <c r="P252" s="62">
        <f t="shared" si="69"/>
        <v>93.573971454404571</v>
      </c>
      <c r="Q252" s="62">
        <f t="shared" si="69"/>
        <v>88.813016952333996</v>
      </c>
      <c r="R252" s="62">
        <f t="shared" si="69"/>
        <v>93.579419241664439</v>
      </c>
      <c r="S252" s="62">
        <f t="shared" si="69"/>
        <v>71.814968491364155</v>
      </c>
      <c r="T252" s="62">
        <f t="shared" si="69"/>
        <v>92.424838738476566</v>
      </c>
      <c r="U252" s="62">
        <f t="shared" si="69"/>
        <v>92.446421372145366</v>
      </c>
      <c r="V252" s="62">
        <f t="shared" si="69"/>
        <v>91.016787488830062</v>
      </c>
    </row>
    <row r="253" spans="3:22" x14ac:dyDescent="0.2">
      <c r="C253" s="87" t="s">
        <v>129</v>
      </c>
      <c r="D253" s="60">
        <f t="shared" ref="D253:V253" si="70">+IFERROR(IF(D214&gt;0,+((D214/D19)*100)," "),"")</f>
        <v>89.557273374498251</v>
      </c>
      <c r="E253" s="60">
        <f t="shared" si="70"/>
        <v>79.705636652924454</v>
      </c>
      <c r="F253" s="60">
        <f t="shared" si="70"/>
        <v>69.870775134948317</v>
      </c>
      <c r="G253" s="60">
        <f t="shared" si="70"/>
        <v>57.391684222744502</v>
      </c>
      <c r="H253" s="60">
        <f t="shared" si="70"/>
        <v>54.78249562185529</v>
      </c>
      <c r="I253" s="60">
        <f t="shared" si="70"/>
        <v>69.147284038842699</v>
      </c>
      <c r="J253" s="60">
        <f t="shared" si="70"/>
        <v>41.410410143346873</v>
      </c>
      <c r="K253" s="60">
        <f t="shared" si="70"/>
        <v>77.495807903295216</v>
      </c>
      <c r="L253" s="60">
        <f t="shared" si="70"/>
        <v>76.278296026459572</v>
      </c>
      <c r="M253" s="60">
        <f t="shared" si="70"/>
        <v>75.131525602155165</v>
      </c>
      <c r="N253" s="60">
        <f t="shared" si="70"/>
        <v>76.440981822741051</v>
      </c>
      <c r="O253" s="60">
        <f t="shared" si="70"/>
        <v>41.017598290726966</v>
      </c>
      <c r="P253" s="60">
        <f t="shared" si="70"/>
        <v>34.387313482464002</v>
      </c>
      <c r="Q253" s="60">
        <f t="shared" si="70"/>
        <v>59.821431977103977</v>
      </c>
      <c r="R253" s="60">
        <f t="shared" si="70"/>
        <v>68.202310943680772</v>
      </c>
      <c r="S253" s="60">
        <f t="shared" si="70"/>
        <v>77.765300868317766</v>
      </c>
      <c r="T253" s="60">
        <f t="shared" si="70"/>
        <v>66.025206374029977</v>
      </c>
      <c r="U253" s="60">
        <f t="shared" si="70"/>
        <v>53.81692560096193</v>
      </c>
      <c r="V253" s="60">
        <f t="shared" si="70"/>
        <v>73.07938898494757</v>
      </c>
    </row>
    <row r="254" spans="3:22" x14ac:dyDescent="0.2">
      <c r="C254" s="88" t="s">
        <v>130</v>
      </c>
      <c r="D254" s="62">
        <f t="shared" ref="D254:V254" si="71">+IFERROR(IF(D215&gt;0,+((D215/D20)*100)," "),"")</f>
        <v>71.298162217297133</v>
      </c>
      <c r="E254" s="62">
        <f t="shared" si="71"/>
        <v>74.46156857329926</v>
      </c>
      <c r="F254" s="62">
        <f t="shared" si="71"/>
        <v>45.32861713232991</v>
      </c>
      <c r="G254" s="62">
        <f t="shared" si="71"/>
        <v>63.959021394983459</v>
      </c>
      <c r="H254" s="62">
        <f t="shared" si="71"/>
        <v>42.27324990292292</v>
      </c>
      <c r="I254" s="62">
        <f t="shared" si="71"/>
        <v>79.028332287605707</v>
      </c>
      <c r="J254" s="62">
        <f t="shared" si="71"/>
        <v>82.007532159496009</v>
      </c>
      <c r="K254" s="62">
        <f t="shared" si="71"/>
        <v>86.018719043450147</v>
      </c>
      <c r="L254" s="62">
        <f t="shared" si="71"/>
        <v>81.25668180567996</v>
      </c>
      <c r="M254" s="62">
        <f t="shared" si="71"/>
        <v>49.989382496440989</v>
      </c>
      <c r="N254" s="62" t="str">
        <f t="shared" si="71"/>
        <v xml:space="preserve"> </v>
      </c>
      <c r="O254" s="62">
        <f t="shared" si="71"/>
        <v>63.127778251036581</v>
      </c>
      <c r="P254" s="62" t="str">
        <f t="shared" si="71"/>
        <v xml:space="preserve"> </v>
      </c>
      <c r="Q254" s="62" t="str">
        <f t="shared" si="71"/>
        <v xml:space="preserve"> </v>
      </c>
      <c r="R254" s="62" t="str">
        <f t="shared" si="71"/>
        <v xml:space="preserve"> </v>
      </c>
      <c r="S254" s="62" t="str">
        <f t="shared" si="71"/>
        <v xml:space="preserve"> </v>
      </c>
      <c r="T254" s="62" t="str">
        <f t="shared" si="71"/>
        <v xml:space="preserve"> </v>
      </c>
      <c r="U254" s="62" t="str">
        <f t="shared" si="71"/>
        <v xml:space="preserve"> </v>
      </c>
      <c r="V254" s="62" t="str">
        <f t="shared" si="71"/>
        <v xml:space="preserve"> </v>
      </c>
    </row>
    <row r="255" spans="3:22" x14ac:dyDescent="0.2">
      <c r="C255" s="87" t="s">
        <v>131</v>
      </c>
      <c r="D255" s="60">
        <f t="shared" ref="D255:V255" si="72">+IFERROR(IF(D216&gt;0,+((D216/D21)*100)," "),"")</f>
        <v>82.824107056699816</v>
      </c>
      <c r="E255" s="60">
        <f t="shared" si="72"/>
        <v>87.488213757678608</v>
      </c>
      <c r="F255" s="60">
        <f t="shared" si="72"/>
        <v>83.817158560554702</v>
      </c>
      <c r="G255" s="60">
        <f t="shared" si="72"/>
        <v>82.700817939864407</v>
      </c>
      <c r="H255" s="60">
        <f t="shared" si="72"/>
        <v>66.836881157287635</v>
      </c>
      <c r="I255" s="60">
        <f t="shared" si="72"/>
        <v>57.467853335128041</v>
      </c>
      <c r="J255" s="60">
        <f t="shared" si="72"/>
        <v>34.482476696722017</v>
      </c>
      <c r="K255" s="60">
        <f t="shared" si="72"/>
        <v>69.047623824603349</v>
      </c>
      <c r="L255" s="60">
        <f t="shared" si="72"/>
        <v>68.912605555163267</v>
      </c>
      <c r="M255" s="60">
        <f t="shared" si="72"/>
        <v>78.436391788341453</v>
      </c>
      <c r="N255" s="60">
        <f t="shared" si="72"/>
        <v>45.695622655188046</v>
      </c>
      <c r="O255" s="60">
        <f t="shared" si="72"/>
        <v>33.638359086884122</v>
      </c>
      <c r="P255" s="60">
        <f t="shared" si="72"/>
        <v>78.50142941144432</v>
      </c>
      <c r="Q255" s="60">
        <f t="shared" si="72"/>
        <v>64.485108924238659</v>
      </c>
      <c r="R255" s="60">
        <f t="shared" si="72"/>
        <v>68.750634840445812</v>
      </c>
      <c r="S255" s="60">
        <f t="shared" si="72"/>
        <v>69.550944722113499</v>
      </c>
      <c r="T255" s="60">
        <f t="shared" si="72"/>
        <v>66.029757533573616</v>
      </c>
      <c r="U255" s="60">
        <f t="shared" si="72"/>
        <v>62.627386434405032</v>
      </c>
      <c r="V255" s="60">
        <f t="shared" si="72"/>
        <v>86.644595340691552</v>
      </c>
    </row>
    <row r="256" spans="3:22" x14ac:dyDescent="0.2">
      <c r="C256" s="88" t="s">
        <v>132</v>
      </c>
      <c r="D256" s="62">
        <f t="shared" ref="D256:V256" si="73">+IFERROR(IF(D217&gt;0,+((D217/D22)*100)," "),"")</f>
        <v>93.890937617456132</v>
      </c>
      <c r="E256" s="62">
        <f t="shared" si="73"/>
        <v>47.98567854813092</v>
      </c>
      <c r="F256" s="62">
        <f t="shared" si="73"/>
        <v>67.312401385035557</v>
      </c>
      <c r="G256" s="62">
        <f t="shared" si="73"/>
        <v>94.221115279818761</v>
      </c>
      <c r="H256" s="62">
        <f t="shared" si="73"/>
        <v>63.651082507937353</v>
      </c>
      <c r="I256" s="62">
        <f t="shared" si="73"/>
        <v>79.772138973897697</v>
      </c>
      <c r="J256" s="62">
        <f t="shared" si="73"/>
        <v>76.489123160782441</v>
      </c>
      <c r="K256" s="62">
        <f t="shared" si="73"/>
        <v>37.183917518404364</v>
      </c>
      <c r="L256" s="62">
        <f t="shared" si="73"/>
        <v>57.795205447136091</v>
      </c>
      <c r="M256" s="62">
        <f t="shared" si="73"/>
        <v>82.573473049388696</v>
      </c>
      <c r="N256" s="62">
        <f t="shared" si="73"/>
        <v>63.348168494295379</v>
      </c>
      <c r="O256" s="62">
        <f t="shared" si="73"/>
        <v>44.20279874732163</v>
      </c>
      <c r="P256" s="62">
        <f t="shared" si="73"/>
        <v>64.43110039977762</v>
      </c>
      <c r="Q256" s="62">
        <f t="shared" si="73"/>
        <v>77.040005236952851</v>
      </c>
      <c r="R256" s="62">
        <f t="shared" si="73"/>
        <v>64.670443959080131</v>
      </c>
      <c r="S256" s="62">
        <f t="shared" si="73"/>
        <v>73.625391156293944</v>
      </c>
      <c r="T256" s="62">
        <f t="shared" si="73"/>
        <v>85.197133120543739</v>
      </c>
      <c r="U256" s="62">
        <f t="shared" si="73"/>
        <v>85.017138853596748</v>
      </c>
      <c r="V256" s="62">
        <f t="shared" si="73"/>
        <v>86.174649739487975</v>
      </c>
    </row>
    <row r="257" spans="3:22" x14ac:dyDescent="0.2">
      <c r="C257" s="87" t="s">
        <v>133</v>
      </c>
      <c r="D257" s="60" t="str">
        <f t="shared" ref="D257:V257" si="74">+IFERROR(IF(D218&gt;0,+((D218/D23)*100)," "),"")</f>
        <v xml:space="preserve"> </v>
      </c>
      <c r="E257" s="60" t="str">
        <f t="shared" si="74"/>
        <v xml:space="preserve"> </v>
      </c>
      <c r="F257" s="60" t="str">
        <f t="shared" si="74"/>
        <v xml:space="preserve"> </v>
      </c>
      <c r="G257" s="60" t="str">
        <f t="shared" si="74"/>
        <v xml:space="preserve"> </v>
      </c>
      <c r="H257" s="60">
        <f t="shared" si="74"/>
        <v>14.572135855996871</v>
      </c>
      <c r="I257" s="60">
        <f t="shared" si="74"/>
        <v>86.165838254348785</v>
      </c>
      <c r="J257" s="60">
        <f t="shared" si="74"/>
        <v>52.693829466101697</v>
      </c>
      <c r="K257" s="60">
        <f t="shared" si="74"/>
        <v>53.38883836363636</v>
      </c>
      <c r="L257" s="60">
        <f t="shared" si="74"/>
        <v>67.450177914199998</v>
      </c>
      <c r="M257" s="60">
        <f t="shared" si="74"/>
        <v>86.252938595150781</v>
      </c>
      <c r="N257" s="60">
        <f t="shared" si="74"/>
        <v>69.349508627479082</v>
      </c>
      <c r="O257" s="60">
        <f t="shared" si="74"/>
        <v>30.810075188787827</v>
      </c>
      <c r="P257" s="60">
        <f t="shared" si="74"/>
        <v>82.161837844222219</v>
      </c>
      <c r="Q257" s="60">
        <f t="shared" si="74"/>
        <v>43.98915126054527</v>
      </c>
      <c r="R257" s="60">
        <f t="shared" si="74"/>
        <v>70.573869196000004</v>
      </c>
      <c r="S257" s="60">
        <f t="shared" si="74"/>
        <v>27.677326319999995</v>
      </c>
      <c r="T257" s="60">
        <f t="shared" si="74"/>
        <v>25.870744842279425</v>
      </c>
      <c r="U257" s="60">
        <f t="shared" si="74"/>
        <v>36.417352081153851</v>
      </c>
      <c r="V257" s="60">
        <f t="shared" si="74"/>
        <v>44.32730572290285</v>
      </c>
    </row>
    <row r="258" spans="3:22" x14ac:dyDescent="0.2">
      <c r="C258" s="88" t="s">
        <v>134</v>
      </c>
      <c r="D258" s="62">
        <f t="shared" ref="D258:V258" si="75">+IFERROR(IF(D219&gt;0,+((D219/D24)*100)," "),"")</f>
        <v>85.382916706235719</v>
      </c>
      <c r="E258" s="62">
        <f t="shared" si="75"/>
        <v>81.824167528335963</v>
      </c>
      <c r="F258" s="62">
        <f t="shared" si="75"/>
        <v>48.037667263161921</v>
      </c>
      <c r="G258" s="62">
        <f t="shared" si="75"/>
        <v>73.499611125910164</v>
      </c>
      <c r="H258" s="62">
        <f t="shared" si="75"/>
        <v>51.541174330158178</v>
      </c>
      <c r="I258" s="62">
        <f t="shared" si="75"/>
        <v>48.79482701534841</v>
      </c>
      <c r="J258" s="62">
        <f t="shared" si="75"/>
        <v>25.506363743555266</v>
      </c>
      <c r="K258" s="62">
        <f t="shared" si="75"/>
        <v>67.091093422384148</v>
      </c>
      <c r="L258" s="62">
        <f t="shared" si="75"/>
        <v>69.820749199591745</v>
      </c>
      <c r="M258" s="62">
        <f t="shared" si="75"/>
        <v>64.265891776827971</v>
      </c>
      <c r="N258" s="62">
        <f t="shared" si="75"/>
        <v>69.355934977822315</v>
      </c>
      <c r="O258" s="62">
        <f t="shared" si="75"/>
        <v>64.664448202699447</v>
      </c>
      <c r="P258" s="62">
        <f t="shared" si="75"/>
        <v>70.750514191520935</v>
      </c>
      <c r="Q258" s="62">
        <f t="shared" si="75"/>
        <v>85.333362336673417</v>
      </c>
      <c r="R258" s="62">
        <f t="shared" si="75"/>
        <v>85.491806361910136</v>
      </c>
      <c r="S258" s="62">
        <f t="shared" si="75"/>
        <v>63.808018716319069</v>
      </c>
      <c r="T258" s="62">
        <f t="shared" si="75"/>
        <v>72.554805978638072</v>
      </c>
      <c r="U258" s="62">
        <f t="shared" si="75"/>
        <v>82.830521439526891</v>
      </c>
      <c r="V258" s="62">
        <f t="shared" si="75"/>
        <v>74.445124191269301</v>
      </c>
    </row>
    <row r="259" spans="3:22" x14ac:dyDescent="0.2">
      <c r="C259" s="87" t="s">
        <v>135</v>
      </c>
      <c r="D259" s="60" t="str">
        <f t="shared" ref="D259:V259" si="76">+IFERROR(IF(D220&gt;0,+((D220/D25)*100)," "),"")</f>
        <v xml:space="preserve"> </v>
      </c>
      <c r="E259" s="60" t="str">
        <f t="shared" si="76"/>
        <v xml:space="preserve"> </v>
      </c>
      <c r="F259" s="60" t="str">
        <f t="shared" si="76"/>
        <v xml:space="preserve"> </v>
      </c>
      <c r="G259" s="60" t="str">
        <f t="shared" si="76"/>
        <v xml:space="preserve"> </v>
      </c>
      <c r="H259" s="60" t="str">
        <f t="shared" si="76"/>
        <v xml:space="preserve"> </v>
      </c>
      <c r="I259" s="60" t="str">
        <f t="shared" si="76"/>
        <v xml:space="preserve"> </v>
      </c>
      <c r="J259" s="60" t="str">
        <f t="shared" si="76"/>
        <v xml:space="preserve"> </v>
      </c>
      <c r="K259" s="60" t="str">
        <f t="shared" si="76"/>
        <v xml:space="preserve"> </v>
      </c>
      <c r="L259" s="60" t="str">
        <f t="shared" si="76"/>
        <v xml:space="preserve"> </v>
      </c>
      <c r="M259" s="60" t="str">
        <f t="shared" si="76"/>
        <v xml:space="preserve"> </v>
      </c>
      <c r="N259" s="60" t="str">
        <f t="shared" si="76"/>
        <v xml:space="preserve"> </v>
      </c>
      <c r="O259" s="60" t="str">
        <f t="shared" si="76"/>
        <v xml:space="preserve"> </v>
      </c>
      <c r="P259" s="60" t="str">
        <f t="shared" si="76"/>
        <v xml:space="preserve"> </v>
      </c>
      <c r="Q259" s="60" t="str">
        <f t="shared" si="76"/>
        <v xml:space="preserve"> </v>
      </c>
      <c r="R259" s="60" t="str">
        <f t="shared" si="76"/>
        <v xml:space="preserve"> </v>
      </c>
      <c r="S259" s="60" t="str">
        <f t="shared" si="76"/>
        <v xml:space="preserve"> </v>
      </c>
      <c r="T259" s="60" t="str">
        <f t="shared" si="76"/>
        <v xml:space="preserve"> </v>
      </c>
      <c r="U259" s="60" t="str">
        <f t="shared" si="76"/>
        <v xml:space="preserve"> </v>
      </c>
      <c r="V259" s="60" t="str">
        <f t="shared" si="76"/>
        <v xml:space="preserve"> </v>
      </c>
    </row>
    <row r="260" spans="3:22" x14ac:dyDescent="0.2">
      <c r="C260" s="88" t="s">
        <v>136</v>
      </c>
      <c r="D260" s="62">
        <f t="shared" ref="D260:V260" si="77">+IFERROR(IF(D221&gt;0,+((D221/D26)*100)," "),"")</f>
        <v>69.287087244869724</v>
      </c>
      <c r="E260" s="62">
        <f t="shared" si="77"/>
        <v>73.901474184813807</v>
      </c>
      <c r="F260" s="62">
        <f t="shared" si="77"/>
        <v>80.591441796308089</v>
      </c>
      <c r="G260" s="62">
        <f t="shared" si="77"/>
        <v>82.076440412689664</v>
      </c>
      <c r="H260" s="62">
        <f t="shared" si="77"/>
        <v>86.099515159125389</v>
      </c>
      <c r="I260" s="62">
        <f t="shared" si="77"/>
        <v>89.452184676629969</v>
      </c>
      <c r="J260" s="62">
        <f t="shared" si="77"/>
        <v>84.409196817631639</v>
      </c>
      <c r="K260" s="62">
        <f t="shared" si="77"/>
        <v>72.785475385038183</v>
      </c>
      <c r="L260" s="62">
        <f t="shared" si="77"/>
        <v>87.120812171765792</v>
      </c>
      <c r="M260" s="62">
        <f t="shared" si="77"/>
        <v>89.116575786793533</v>
      </c>
      <c r="N260" s="62">
        <f t="shared" si="77"/>
        <v>85.933996089964182</v>
      </c>
      <c r="O260" s="62">
        <f t="shared" si="77"/>
        <v>68.401307214197331</v>
      </c>
      <c r="P260" s="62">
        <f t="shared" si="77"/>
        <v>89.676098089924992</v>
      </c>
      <c r="Q260" s="62">
        <f t="shared" si="77"/>
        <v>88.756989454226598</v>
      </c>
      <c r="R260" s="62">
        <f t="shared" si="77"/>
        <v>91.353177915318668</v>
      </c>
      <c r="S260" s="62">
        <f t="shared" si="77"/>
        <v>86.319806935297123</v>
      </c>
      <c r="T260" s="62">
        <f t="shared" si="77"/>
        <v>95.000023304547369</v>
      </c>
      <c r="U260" s="62">
        <f t="shared" si="77"/>
        <v>94.327762244529836</v>
      </c>
      <c r="V260" s="62">
        <f t="shared" si="77"/>
        <v>94.887821960328083</v>
      </c>
    </row>
    <row r="261" spans="3:22" x14ac:dyDescent="0.2">
      <c r="C261" s="87" t="s">
        <v>137</v>
      </c>
      <c r="D261" s="60">
        <f t="shared" ref="D261:V261" si="78">+IFERROR(IF(D222&gt;0,+((D222/D27)*100)," "),"")</f>
        <v>65.973175915617816</v>
      </c>
      <c r="E261" s="60">
        <f t="shared" si="78"/>
        <v>61.622933691029644</v>
      </c>
      <c r="F261" s="60">
        <f t="shared" si="78"/>
        <v>73.63058041026224</v>
      </c>
      <c r="G261" s="60">
        <f t="shared" si="78"/>
        <v>58.300634116133089</v>
      </c>
      <c r="H261" s="60">
        <f t="shared" si="78"/>
        <v>45.937373772608616</v>
      </c>
      <c r="I261" s="60">
        <f t="shared" si="78"/>
        <v>36.666858863546928</v>
      </c>
      <c r="J261" s="60">
        <f t="shared" si="78"/>
        <v>63.615016629756596</v>
      </c>
      <c r="K261" s="60">
        <f t="shared" si="78"/>
        <v>86.006716210882132</v>
      </c>
      <c r="L261" s="60">
        <f t="shared" si="78"/>
        <v>66.537487618093365</v>
      </c>
      <c r="M261" s="60">
        <f t="shared" si="78"/>
        <v>66.398726842057286</v>
      </c>
      <c r="N261" s="60">
        <f t="shared" si="78"/>
        <v>52.78371763417308</v>
      </c>
      <c r="O261" s="60">
        <f t="shared" si="78"/>
        <v>60.909225869486875</v>
      </c>
      <c r="P261" s="60">
        <f t="shared" si="78"/>
        <v>71.482764088350564</v>
      </c>
      <c r="Q261" s="60">
        <f t="shared" si="78"/>
        <v>66.594804631287545</v>
      </c>
      <c r="R261" s="60">
        <f t="shared" si="78"/>
        <v>75.361507160426697</v>
      </c>
      <c r="S261" s="60">
        <f t="shared" si="78"/>
        <v>77.435677828421021</v>
      </c>
      <c r="T261" s="60">
        <f t="shared" si="78"/>
        <v>77.104305408778387</v>
      </c>
      <c r="U261" s="60">
        <f t="shared" si="78"/>
        <v>75.447817071088636</v>
      </c>
      <c r="V261" s="60">
        <f t="shared" si="78"/>
        <v>72.991584994552568</v>
      </c>
    </row>
    <row r="262" spans="3:22" x14ac:dyDescent="0.2">
      <c r="C262" s="88" t="s">
        <v>138</v>
      </c>
      <c r="D262" s="62">
        <f t="shared" ref="D262:V262" si="79">+IFERROR(IF(D223&gt;0,+((D223/D28)*100)," "),"")</f>
        <v>85.327673277858622</v>
      </c>
      <c r="E262" s="62">
        <f t="shared" si="79"/>
        <v>72.689915505325459</v>
      </c>
      <c r="F262" s="62">
        <f t="shared" si="79"/>
        <v>70.459993592888239</v>
      </c>
      <c r="G262" s="62">
        <f t="shared" si="79"/>
        <v>12.820162318341405</v>
      </c>
      <c r="H262" s="62">
        <f t="shared" si="79"/>
        <v>26.390167577592592</v>
      </c>
      <c r="I262" s="62">
        <f t="shared" si="79"/>
        <v>13.789047289019862</v>
      </c>
      <c r="J262" s="62">
        <f t="shared" si="79"/>
        <v>4.7015998212564822</v>
      </c>
      <c r="K262" s="62">
        <f t="shared" si="79"/>
        <v>69.406741617981865</v>
      </c>
      <c r="L262" s="62">
        <f t="shared" si="79"/>
        <v>52.932436602936342</v>
      </c>
      <c r="M262" s="62">
        <f t="shared" si="79"/>
        <v>27.900699222771543</v>
      </c>
      <c r="N262" s="62">
        <f t="shared" si="79"/>
        <v>23.766960044752302</v>
      </c>
      <c r="O262" s="62">
        <f t="shared" si="79"/>
        <v>35.065335232504424</v>
      </c>
      <c r="P262" s="62">
        <f t="shared" si="79"/>
        <v>100</v>
      </c>
      <c r="Q262" s="62">
        <f t="shared" si="79"/>
        <v>100</v>
      </c>
      <c r="R262" s="62" t="str">
        <f t="shared" si="79"/>
        <v xml:space="preserve"> </v>
      </c>
      <c r="S262" s="62" t="str">
        <f t="shared" si="79"/>
        <v xml:space="preserve"> </v>
      </c>
      <c r="T262" s="62" t="str">
        <f t="shared" si="79"/>
        <v xml:space="preserve"> </v>
      </c>
      <c r="U262" s="62" t="str">
        <f t="shared" si="79"/>
        <v xml:space="preserve"> </v>
      </c>
      <c r="V262" s="62" t="str">
        <f t="shared" si="79"/>
        <v xml:space="preserve"> </v>
      </c>
    </row>
    <row r="263" spans="3:22" x14ac:dyDescent="0.2">
      <c r="C263" s="87" t="s">
        <v>139</v>
      </c>
      <c r="D263" s="60">
        <f t="shared" ref="D263:V263" si="80">+IFERROR(IF(D224&gt;0,+((D224/D29)*100)," "),"")</f>
        <v>48.709117631308388</v>
      </c>
      <c r="E263" s="60">
        <f t="shared" si="80"/>
        <v>96.96147951881909</v>
      </c>
      <c r="F263" s="60">
        <f t="shared" si="80"/>
        <v>87.698427244800854</v>
      </c>
      <c r="G263" s="60">
        <f t="shared" si="80"/>
        <v>84.474012104152834</v>
      </c>
      <c r="H263" s="60">
        <f t="shared" si="80"/>
        <v>35.504511624110243</v>
      </c>
      <c r="I263" s="60">
        <f t="shared" si="80"/>
        <v>73.194325230523532</v>
      </c>
      <c r="J263" s="60">
        <f t="shared" si="80"/>
        <v>86.195003438501175</v>
      </c>
      <c r="K263" s="60">
        <f t="shared" si="80"/>
        <v>64.26440837991953</v>
      </c>
      <c r="L263" s="60">
        <f t="shared" si="80"/>
        <v>44.500775812044687</v>
      </c>
      <c r="M263" s="60">
        <f t="shared" si="80"/>
        <v>73.507720126684291</v>
      </c>
      <c r="N263" s="60">
        <f t="shared" si="80"/>
        <v>63.830547070518818</v>
      </c>
      <c r="O263" s="60">
        <f t="shared" si="80"/>
        <v>55.134078101792802</v>
      </c>
      <c r="P263" s="60">
        <f t="shared" si="80"/>
        <v>73.763226275172556</v>
      </c>
      <c r="Q263" s="60">
        <f t="shared" si="80"/>
        <v>76.050631834045333</v>
      </c>
      <c r="R263" s="60">
        <f t="shared" si="80"/>
        <v>81.236042238687219</v>
      </c>
      <c r="S263" s="60">
        <f t="shared" si="80"/>
        <v>72.252884179094437</v>
      </c>
      <c r="T263" s="60">
        <f t="shared" si="80"/>
        <v>43.372665030772914</v>
      </c>
      <c r="U263" s="60">
        <f t="shared" si="80"/>
        <v>25.331821582281666</v>
      </c>
      <c r="V263" s="60">
        <f t="shared" si="80"/>
        <v>60.535862681436925</v>
      </c>
    </row>
    <row r="264" spans="3:22" x14ac:dyDescent="0.2">
      <c r="C264" s="88" t="s">
        <v>140</v>
      </c>
      <c r="D264" s="62">
        <f t="shared" ref="D264:V264" si="81">+IFERROR(IF(D225&gt;0,+((D225/D30)*100)," "),"")</f>
        <v>29.5175621943553</v>
      </c>
      <c r="E264" s="62">
        <f t="shared" si="81"/>
        <v>22.016001211184957</v>
      </c>
      <c r="F264" s="62">
        <f t="shared" si="81"/>
        <v>33.410237573471278</v>
      </c>
      <c r="G264" s="62">
        <f t="shared" si="81"/>
        <v>56.674051755963958</v>
      </c>
      <c r="H264" s="62">
        <f t="shared" si="81"/>
        <v>53.226258892891508</v>
      </c>
      <c r="I264" s="62">
        <f t="shared" si="81"/>
        <v>10.046487706045983</v>
      </c>
      <c r="J264" s="62">
        <f t="shared" si="81"/>
        <v>69.755246302734335</v>
      </c>
      <c r="K264" s="62">
        <f t="shared" si="81"/>
        <v>52.45544291822074</v>
      </c>
      <c r="L264" s="62">
        <f t="shared" si="81"/>
        <v>62.798185842826925</v>
      </c>
      <c r="M264" s="62">
        <f t="shared" si="81"/>
        <v>67.295657945006269</v>
      </c>
      <c r="N264" s="62">
        <f t="shared" si="81"/>
        <v>53.042019363689164</v>
      </c>
      <c r="O264" s="62">
        <f t="shared" si="81"/>
        <v>75.298763128159536</v>
      </c>
      <c r="P264" s="62">
        <f t="shared" si="81"/>
        <v>76.011115103656905</v>
      </c>
      <c r="Q264" s="62">
        <f t="shared" si="81"/>
        <v>81.566247682301523</v>
      </c>
      <c r="R264" s="62">
        <f t="shared" si="81"/>
        <v>74.36493266287323</v>
      </c>
      <c r="S264" s="62">
        <f t="shared" si="81"/>
        <v>59.69022957808329</v>
      </c>
      <c r="T264" s="62">
        <f t="shared" si="81"/>
        <v>84.032557323690284</v>
      </c>
      <c r="U264" s="62">
        <f t="shared" si="81"/>
        <v>57.715862699588214</v>
      </c>
      <c r="V264" s="62">
        <f t="shared" si="81"/>
        <v>75.758053086895842</v>
      </c>
    </row>
    <row r="265" spans="3:22" x14ac:dyDescent="0.2">
      <c r="C265" s="87" t="s">
        <v>141</v>
      </c>
      <c r="D265" s="60" t="str">
        <f t="shared" ref="D265:V265" si="82">+IFERROR(IF(D226&gt;0,+((D226/D31)*100)," "),"")</f>
        <v xml:space="preserve"> </v>
      </c>
      <c r="E265" s="60" t="str">
        <f t="shared" si="82"/>
        <v xml:space="preserve"> </v>
      </c>
      <c r="F265" s="60" t="str">
        <f t="shared" si="82"/>
        <v xml:space="preserve"> </v>
      </c>
      <c r="G265" s="60" t="str">
        <f t="shared" si="82"/>
        <v xml:space="preserve"> </v>
      </c>
      <c r="H265" s="60" t="str">
        <f t="shared" si="82"/>
        <v xml:space="preserve"> </v>
      </c>
      <c r="I265" s="60" t="str">
        <f t="shared" si="82"/>
        <v xml:space="preserve"> </v>
      </c>
      <c r="J265" s="60" t="str">
        <f t="shared" si="82"/>
        <v xml:space="preserve"> </v>
      </c>
      <c r="K265" s="60">
        <f t="shared" si="82"/>
        <v>23.432245408957289</v>
      </c>
      <c r="L265" s="60">
        <f t="shared" si="82"/>
        <v>14.101860079779074</v>
      </c>
      <c r="M265" s="60">
        <f t="shared" si="82"/>
        <v>5.1074282857142865</v>
      </c>
      <c r="N265" s="60">
        <f t="shared" si="82"/>
        <v>2.638290707027942</v>
      </c>
      <c r="O265" s="60">
        <f t="shared" si="82"/>
        <v>6.5372432729269625E-2</v>
      </c>
      <c r="P265" s="60">
        <f t="shared" si="82"/>
        <v>6.9474973005319574E-2</v>
      </c>
      <c r="Q265" s="60">
        <f t="shared" si="82"/>
        <v>1.0998877258064514</v>
      </c>
      <c r="R265" s="60">
        <f t="shared" si="82"/>
        <v>15.897355508425331</v>
      </c>
      <c r="S265" s="60" t="str">
        <f t="shared" si="82"/>
        <v xml:space="preserve"> </v>
      </c>
      <c r="T265" s="60">
        <f t="shared" si="82"/>
        <v>0.2403221303486654</v>
      </c>
      <c r="U265" s="60" t="str">
        <f t="shared" si="82"/>
        <v xml:space="preserve"> </v>
      </c>
      <c r="V265" s="60" t="str">
        <f t="shared" si="82"/>
        <v xml:space="preserve"> </v>
      </c>
    </row>
    <row r="266" spans="3:22" x14ac:dyDescent="0.2">
      <c r="C266" s="88" t="s">
        <v>142</v>
      </c>
      <c r="D266" s="62">
        <f t="shared" ref="D266:V266" si="83">+IFERROR(IF(D227&gt;0,+((D227/D32)*100)," "),"")</f>
        <v>71.185511119499438</v>
      </c>
      <c r="E266" s="62">
        <f t="shared" si="83"/>
        <v>73.046173134158423</v>
      </c>
      <c r="F266" s="62">
        <f t="shared" si="83"/>
        <v>47.523060719913147</v>
      </c>
      <c r="G266" s="62">
        <f t="shared" si="83"/>
        <v>46.250121001293174</v>
      </c>
      <c r="H266" s="62">
        <f t="shared" si="83"/>
        <v>37.761972688381739</v>
      </c>
      <c r="I266" s="62">
        <f t="shared" si="83"/>
        <v>45.248734089219852</v>
      </c>
      <c r="J266" s="62">
        <f t="shared" si="83"/>
        <v>64.43561164704262</v>
      </c>
      <c r="K266" s="62">
        <f t="shared" si="83"/>
        <v>70.613967284010059</v>
      </c>
      <c r="L266" s="62">
        <f t="shared" si="83"/>
        <v>85.364427299722166</v>
      </c>
      <c r="M266" s="62">
        <f t="shared" si="83"/>
        <v>94.806113920950352</v>
      </c>
      <c r="N266" s="62">
        <f t="shared" si="83"/>
        <v>85.456797761201059</v>
      </c>
      <c r="O266" s="62">
        <f t="shared" si="83"/>
        <v>65.4545243600096</v>
      </c>
      <c r="P266" s="62">
        <f t="shared" si="83"/>
        <v>78.186866987063226</v>
      </c>
      <c r="Q266" s="62">
        <f t="shared" si="83"/>
        <v>79.697018078136026</v>
      </c>
      <c r="R266" s="62">
        <f t="shared" si="83"/>
        <v>72.992065239434353</v>
      </c>
      <c r="S266" s="62">
        <f t="shared" si="83"/>
        <v>64.082495396779677</v>
      </c>
      <c r="T266" s="62">
        <f t="shared" si="83"/>
        <v>52.319369032988327</v>
      </c>
      <c r="U266" s="62">
        <f t="shared" si="83"/>
        <v>60.268264663824333</v>
      </c>
      <c r="V266" s="62">
        <f t="shared" si="83"/>
        <v>83.074176352554645</v>
      </c>
    </row>
    <row r="267" spans="3:22" x14ac:dyDescent="0.2">
      <c r="C267" s="87" t="s">
        <v>143</v>
      </c>
      <c r="D267" s="60">
        <f t="shared" ref="D267:V267" si="84">+IFERROR(IF(D228&gt;0,+((D228/D33)*100)," "),"")</f>
        <v>100</v>
      </c>
      <c r="E267" s="60" t="str">
        <f t="shared" si="84"/>
        <v xml:space="preserve"> </v>
      </c>
      <c r="F267" s="60" t="str">
        <f t="shared" si="84"/>
        <v xml:space="preserve"> </v>
      </c>
      <c r="G267" s="60" t="str">
        <f t="shared" si="84"/>
        <v xml:space="preserve"> </v>
      </c>
      <c r="H267" s="60">
        <f t="shared" si="84"/>
        <v>45.47033186679996</v>
      </c>
      <c r="I267" s="60">
        <f t="shared" si="84"/>
        <v>47.748295316648296</v>
      </c>
      <c r="J267" s="60" t="str">
        <f t="shared" si="84"/>
        <v xml:space="preserve"> </v>
      </c>
      <c r="K267" s="60" t="str">
        <f t="shared" si="84"/>
        <v xml:space="preserve"> </v>
      </c>
      <c r="L267" s="60" t="str">
        <f t="shared" si="84"/>
        <v xml:space="preserve"> </v>
      </c>
      <c r="M267" s="60" t="str">
        <f t="shared" si="84"/>
        <v xml:space="preserve"> </v>
      </c>
      <c r="N267" s="60" t="str">
        <f t="shared" si="84"/>
        <v xml:space="preserve"> </v>
      </c>
      <c r="O267" s="60" t="str">
        <f t="shared" si="84"/>
        <v xml:space="preserve"> </v>
      </c>
      <c r="P267" s="60">
        <f t="shared" si="84"/>
        <v>7.623102218922144E-2</v>
      </c>
      <c r="Q267" s="60">
        <f t="shared" si="84"/>
        <v>50.862349575365059</v>
      </c>
      <c r="R267" s="60">
        <f t="shared" si="84"/>
        <v>8.6177623181964105</v>
      </c>
      <c r="S267" s="60">
        <f t="shared" si="84"/>
        <v>6.6876714415231184</v>
      </c>
      <c r="T267" s="60">
        <f t="shared" si="84"/>
        <v>91.557205299293742</v>
      </c>
      <c r="U267" s="60">
        <f t="shared" si="84"/>
        <v>91.777205605581329</v>
      </c>
      <c r="V267" s="60">
        <f t="shared" si="84"/>
        <v>36.253216751957154</v>
      </c>
    </row>
    <row r="268" spans="3:22" x14ac:dyDescent="0.2">
      <c r="C268" s="88" t="s">
        <v>144</v>
      </c>
      <c r="D268" s="62" t="str">
        <f t="shared" ref="D268:V268" si="85">+IFERROR(IF(D229&gt;0,+((D229/D34)*100)," "),"")</f>
        <v xml:space="preserve"> </v>
      </c>
      <c r="E268" s="62" t="str">
        <f t="shared" si="85"/>
        <v xml:space="preserve"> </v>
      </c>
      <c r="F268" s="62" t="str">
        <f t="shared" si="85"/>
        <v xml:space="preserve"> </v>
      </c>
      <c r="G268" s="62" t="str">
        <f t="shared" si="85"/>
        <v xml:space="preserve"> </v>
      </c>
      <c r="H268" s="62" t="str">
        <f t="shared" si="85"/>
        <v xml:space="preserve"> </v>
      </c>
      <c r="I268" s="62" t="str">
        <f t="shared" si="85"/>
        <v xml:space="preserve"> </v>
      </c>
      <c r="J268" s="62" t="str">
        <f t="shared" si="85"/>
        <v xml:space="preserve"> </v>
      </c>
      <c r="K268" s="62" t="str">
        <f t="shared" si="85"/>
        <v xml:space="preserve"> </v>
      </c>
      <c r="L268" s="62" t="str">
        <f t="shared" si="85"/>
        <v xml:space="preserve"> </v>
      </c>
      <c r="M268" s="62" t="str">
        <f t="shared" si="85"/>
        <v xml:space="preserve"> </v>
      </c>
      <c r="N268" s="62" t="str">
        <f t="shared" si="85"/>
        <v xml:space="preserve"> </v>
      </c>
      <c r="O268" s="62" t="str">
        <f t="shared" si="85"/>
        <v xml:space="preserve"> </v>
      </c>
      <c r="P268" s="62" t="str">
        <f t="shared" si="85"/>
        <v xml:space="preserve"> </v>
      </c>
      <c r="Q268" s="62" t="str">
        <f t="shared" si="85"/>
        <v xml:space="preserve"> </v>
      </c>
      <c r="R268" s="62" t="str">
        <f t="shared" si="85"/>
        <v xml:space="preserve"> </v>
      </c>
      <c r="S268" s="62" t="str">
        <f t="shared" si="85"/>
        <v xml:space="preserve"> </v>
      </c>
      <c r="T268" s="62" t="str">
        <f t="shared" si="85"/>
        <v xml:space="preserve"> </v>
      </c>
      <c r="U268" s="62" t="str">
        <f t="shared" si="85"/>
        <v xml:space="preserve"> </v>
      </c>
      <c r="V268" s="62" t="str">
        <f t="shared" si="85"/>
        <v xml:space="preserve"> </v>
      </c>
    </row>
    <row r="269" spans="3:22" x14ac:dyDescent="0.2">
      <c r="C269" s="87" t="s">
        <v>145</v>
      </c>
      <c r="D269" s="60">
        <f t="shared" ref="D269:V269" si="86">+IFERROR(IF(D230&gt;0,+((D230/D35)*100)," "),"")</f>
        <v>29.183757689264411</v>
      </c>
      <c r="E269" s="60">
        <f t="shared" si="86"/>
        <v>1.84466628</v>
      </c>
      <c r="F269" s="60">
        <f t="shared" si="86"/>
        <v>1.5325917</v>
      </c>
      <c r="G269" s="60">
        <f t="shared" si="86"/>
        <v>2.5445862375627564</v>
      </c>
      <c r="H269" s="60">
        <f t="shared" si="86"/>
        <v>3.2585170029624604</v>
      </c>
      <c r="I269" s="60">
        <f t="shared" si="86"/>
        <v>16.421329111457521</v>
      </c>
      <c r="J269" s="60">
        <f t="shared" si="86"/>
        <v>40.072326222370371</v>
      </c>
      <c r="K269" s="60">
        <f t="shared" si="86"/>
        <v>21.205883907216499</v>
      </c>
      <c r="L269" s="60">
        <f t="shared" si="86"/>
        <v>28.095038028296752</v>
      </c>
      <c r="M269" s="60">
        <f t="shared" si="86"/>
        <v>79.319850283535999</v>
      </c>
      <c r="N269" s="60">
        <f t="shared" si="86"/>
        <v>19.394025813088206</v>
      </c>
      <c r="O269" s="60">
        <f t="shared" si="86"/>
        <v>12.014792122036321</v>
      </c>
      <c r="P269" s="60">
        <f t="shared" si="86"/>
        <v>39.202849145766578</v>
      </c>
      <c r="Q269" s="60">
        <f t="shared" si="86"/>
        <v>26.547757618763313</v>
      </c>
      <c r="R269" s="60">
        <f t="shared" si="86"/>
        <v>30.307559984466071</v>
      </c>
      <c r="S269" s="60">
        <f t="shared" si="86"/>
        <v>25.583745841589806</v>
      </c>
      <c r="T269" s="60">
        <f t="shared" si="86"/>
        <v>57.349068605049816</v>
      </c>
      <c r="U269" s="60">
        <f t="shared" si="86"/>
        <v>68.668006814565445</v>
      </c>
      <c r="V269" s="60">
        <f t="shared" si="86"/>
        <v>67.834210032281248</v>
      </c>
    </row>
    <row r="270" spans="3:22" x14ac:dyDescent="0.2">
      <c r="C270" s="88" t="s">
        <v>146</v>
      </c>
      <c r="D270" s="62">
        <f t="shared" ref="D270:V270" si="87">+IFERROR(IF(D231&gt;0,+((D231/D36)*100)," "),"")</f>
        <v>64.287880997799789</v>
      </c>
      <c r="E270" s="62">
        <f t="shared" si="87"/>
        <v>54.979904600132279</v>
      </c>
      <c r="F270" s="62">
        <f t="shared" si="87"/>
        <v>16.09597423008314</v>
      </c>
      <c r="G270" s="62">
        <f t="shared" si="87"/>
        <v>99.468425807063056</v>
      </c>
      <c r="H270" s="62">
        <f t="shared" si="87"/>
        <v>48.53537497762008</v>
      </c>
      <c r="I270" s="62">
        <f t="shared" si="87"/>
        <v>74.546475168331298</v>
      </c>
      <c r="J270" s="62">
        <f t="shared" si="87"/>
        <v>48.922332785849306</v>
      </c>
      <c r="K270" s="62">
        <f t="shared" si="87"/>
        <v>65.013081113535563</v>
      </c>
      <c r="L270" s="62">
        <f t="shared" si="87"/>
        <v>85.812918232282243</v>
      </c>
      <c r="M270" s="62">
        <f t="shared" si="87"/>
        <v>59.396129564786051</v>
      </c>
      <c r="N270" s="62">
        <f t="shared" si="87"/>
        <v>94.808816022999636</v>
      </c>
      <c r="O270" s="62">
        <f t="shared" si="87"/>
        <v>84.440273356873945</v>
      </c>
      <c r="P270" s="62">
        <f t="shared" si="87"/>
        <v>86.889060592103746</v>
      </c>
      <c r="Q270" s="62">
        <f t="shared" si="87"/>
        <v>71.862309554116962</v>
      </c>
      <c r="R270" s="62">
        <f t="shared" si="87"/>
        <v>91.489413243528546</v>
      </c>
      <c r="S270" s="62">
        <f t="shared" si="87"/>
        <v>97.522044409211105</v>
      </c>
      <c r="T270" s="62">
        <f t="shared" si="87"/>
        <v>92.628158928326243</v>
      </c>
      <c r="U270" s="62">
        <f t="shared" si="87"/>
        <v>76.738019919560656</v>
      </c>
      <c r="V270" s="62">
        <f t="shared" si="87"/>
        <v>97.706911782576725</v>
      </c>
    </row>
    <row r="271" spans="3:22" x14ac:dyDescent="0.2">
      <c r="C271" s="90" t="s">
        <v>147</v>
      </c>
      <c r="D271" s="61">
        <f t="shared" ref="D271:V271" si="88">+IFERROR(IF(D232&gt;0,+((D232/D37)*100)," "),"")</f>
        <v>70.779904300888447</v>
      </c>
      <c r="E271" s="61">
        <f t="shared" si="88"/>
        <v>80.456155228787892</v>
      </c>
      <c r="F271" s="61">
        <f t="shared" si="88"/>
        <v>76.064059274286976</v>
      </c>
      <c r="G271" s="61">
        <f t="shared" si="88"/>
        <v>69.358643143652316</v>
      </c>
      <c r="H271" s="61">
        <f t="shared" si="88"/>
        <v>71.538615913942166</v>
      </c>
      <c r="I271" s="61">
        <f t="shared" si="88"/>
        <v>73.999192179546384</v>
      </c>
      <c r="J271" s="61">
        <f t="shared" si="88"/>
        <v>76.019085324908659</v>
      </c>
      <c r="K271" s="61">
        <f t="shared" si="88"/>
        <v>82.385876606618041</v>
      </c>
      <c r="L271" s="61">
        <f t="shared" si="88"/>
        <v>90.089668095509552</v>
      </c>
      <c r="M271" s="61">
        <f t="shared" si="88"/>
        <v>83.627607575036023</v>
      </c>
      <c r="N271" s="61">
        <f t="shared" si="88"/>
        <v>87.508964874585331</v>
      </c>
      <c r="O271" s="61">
        <f t="shared" si="88"/>
        <v>61.967191020694436</v>
      </c>
      <c r="P271" s="61">
        <f t="shared" si="88"/>
        <v>77.837226912195561</v>
      </c>
      <c r="Q271" s="61">
        <f t="shared" si="88"/>
        <v>88.102203926728521</v>
      </c>
      <c r="R271" s="61">
        <f t="shared" si="88"/>
        <v>80.21404596895843</v>
      </c>
      <c r="S271" s="61">
        <f t="shared" si="88"/>
        <v>81.347359336968211</v>
      </c>
      <c r="T271" s="61">
        <f t="shared" si="88"/>
        <v>82.86842188881252</v>
      </c>
      <c r="U271" s="61">
        <f t="shared" si="88"/>
        <v>85.398205738167306</v>
      </c>
      <c r="V271" s="61">
        <f t="shared" si="88"/>
        <v>86.431426883159801</v>
      </c>
    </row>
    <row r="272" spans="3:22" ht="22.5" customHeight="1" x14ac:dyDescent="0.2">
      <c r="C272" s="89" t="s">
        <v>148</v>
      </c>
      <c r="D272" s="63" t="str">
        <f t="shared" ref="D272:V272" si="89">+IFERROR(IF(D233&gt;0,+((D233/D38)*100)," "),"")</f>
        <v xml:space="preserve"> </v>
      </c>
      <c r="E272" s="63" t="str">
        <f t="shared" si="89"/>
        <v xml:space="preserve"> </v>
      </c>
      <c r="F272" s="63" t="str">
        <f t="shared" si="89"/>
        <v xml:space="preserve"> </v>
      </c>
      <c r="G272" s="63" t="str">
        <f t="shared" si="89"/>
        <v xml:space="preserve"> </v>
      </c>
      <c r="H272" s="63" t="str">
        <f t="shared" si="89"/>
        <v xml:space="preserve"> </v>
      </c>
      <c r="I272" s="63" t="str">
        <f t="shared" si="89"/>
        <v xml:space="preserve"> </v>
      </c>
      <c r="J272" s="63" t="str">
        <f t="shared" si="89"/>
        <v xml:space="preserve"> </v>
      </c>
      <c r="K272" s="63" t="str">
        <f t="shared" si="89"/>
        <v xml:space="preserve"> </v>
      </c>
      <c r="L272" s="63" t="str">
        <f t="shared" si="89"/>
        <v xml:space="preserve"> </v>
      </c>
      <c r="M272" s="63" t="str">
        <f t="shared" si="89"/>
        <v xml:space="preserve"> </v>
      </c>
      <c r="N272" s="63" t="str">
        <f t="shared" si="89"/>
        <v xml:space="preserve"> </v>
      </c>
      <c r="O272" s="63" t="str">
        <f t="shared" si="89"/>
        <v xml:space="preserve"> </v>
      </c>
      <c r="P272" s="63" t="str">
        <f t="shared" si="89"/>
        <v xml:space="preserve"> </v>
      </c>
      <c r="Q272" s="63" t="str">
        <f t="shared" si="89"/>
        <v xml:space="preserve"> </v>
      </c>
      <c r="R272" s="63" t="str">
        <f t="shared" si="89"/>
        <v xml:space="preserve"> </v>
      </c>
      <c r="S272" s="63" t="str">
        <f t="shared" si="89"/>
        <v xml:space="preserve"> </v>
      </c>
      <c r="T272" s="63" t="str">
        <f t="shared" si="89"/>
        <v xml:space="preserve"> </v>
      </c>
      <c r="U272" s="63" t="str">
        <f t="shared" si="89"/>
        <v xml:space="preserve"> </v>
      </c>
      <c r="V272" s="63" t="str">
        <f t="shared" si="89"/>
        <v xml:space="preserve"> </v>
      </c>
    </row>
    <row r="273" spans="3:22" x14ac:dyDescent="0.2">
      <c r="C273" s="87" t="s">
        <v>149</v>
      </c>
      <c r="D273" s="60">
        <f t="shared" ref="D273:V273" si="90">+IFERROR(IF(D234&gt;0,+((D234/D39)*100)," "),"")</f>
        <v>70.648298601861441</v>
      </c>
      <c r="E273" s="60">
        <f t="shared" si="90"/>
        <v>50.138657310689204</v>
      </c>
      <c r="F273" s="60">
        <f t="shared" si="90"/>
        <v>23.584923122680713</v>
      </c>
      <c r="G273" s="60">
        <f t="shared" si="90"/>
        <v>11.050928863844316</v>
      </c>
      <c r="H273" s="60">
        <f t="shared" si="90"/>
        <v>94.812218679100198</v>
      </c>
      <c r="I273" s="60">
        <f t="shared" si="90"/>
        <v>37.136711717643983</v>
      </c>
      <c r="J273" s="60">
        <f t="shared" si="90"/>
        <v>71.689747000766488</v>
      </c>
      <c r="K273" s="60">
        <f t="shared" si="90"/>
        <v>85.989622317497506</v>
      </c>
      <c r="L273" s="60">
        <f t="shared" si="90"/>
        <v>62.359719399144787</v>
      </c>
      <c r="M273" s="60">
        <f t="shared" si="90"/>
        <v>62.738789533412806</v>
      </c>
      <c r="N273" s="60">
        <f t="shared" si="90"/>
        <v>51.324848497026977</v>
      </c>
      <c r="O273" s="60">
        <f t="shared" si="90"/>
        <v>68.390539616361551</v>
      </c>
      <c r="P273" s="60">
        <f t="shared" si="90"/>
        <v>52.7917929593129</v>
      </c>
      <c r="Q273" s="60">
        <f t="shared" si="90"/>
        <v>74.024372414158023</v>
      </c>
      <c r="R273" s="60">
        <f t="shared" si="90"/>
        <v>77.412019594198796</v>
      </c>
      <c r="S273" s="60">
        <f t="shared" si="90"/>
        <v>76.403207009963097</v>
      </c>
      <c r="T273" s="60">
        <f t="shared" si="90"/>
        <v>84.291745677423776</v>
      </c>
      <c r="U273" s="60">
        <f t="shared" si="90"/>
        <v>76.335886404424784</v>
      </c>
      <c r="V273" s="60">
        <f t="shared" si="90"/>
        <v>87.942958715364654</v>
      </c>
    </row>
    <row r="274" spans="3:22" x14ac:dyDescent="0.2">
      <c r="C274" s="88" t="s">
        <v>150</v>
      </c>
      <c r="D274" s="62">
        <f t="shared" ref="D274:V274" si="91">+IFERROR(IF(D235&gt;0,+((D235/D40)*100)," "),"")</f>
        <v>58.050528750604393</v>
      </c>
      <c r="E274" s="62">
        <f t="shared" si="91"/>
        <v>71.847889086077672</v>
      </c>
      <c r="F274" s="62">
        <f t="shared" si="91"/>
        <v>39.679254535895545</v>
      </c>
      <c r="G274" s="62">
        <f t="shared" si="91"/>
        <v>56.990783283590318</v>
      </c>
      <c r="H274" s="62">
        <f t="shared" si="91"/>
        <v>53.866046727135497</v>
      </c>
      <c r="I274" s="62">
        <f t="shared" si="91"/>
        <v>59.338985576148509</v>
      </c>
      <c r="J274" s="62">
        <f t="shared" si="91"/>
        <v>53.844088988973482</v>
      </c>
      <c r="K274" s="62">
        <f t="shared" si="91"/>
        <v>67.200670653721701</v>
      </c>
      <c r="L274" s="62">
        <f t="shared" si="91"/>
        <v>72.297088045918528</v>
      </c>
      <c r="M274" s="62">
        <f t="shared" si="91"/>
        <v>60.132464080495893</v>
      </c>
      <c r="N274" s="62">
        <f t="shared" si="91"/>
        <v>50.118106325326487</v>
      </c>
      <c r="O274" s="62">
        <f t="shared" si="91"/>
        <v>33.670527887992193</v>
      </c>
      <c r="P274" s="62">
        <f t="shared" si="91"/>
        <v>43.747965419839716</v>
      </c>
      <c r="Q274" s="62">
        <f t="shared" si="91"/>
        <v>52.631220595017339</v>
      </c>
      <c r="R274" s="62">
        <f t="shared" si="91"/>
        <v>60.94334335127639</v>
      </c>
      <c r="S274" s="62">
        <f t="shared" si="91"/>
        <v>59.374339496391272</v>
      </c>
      <c r="T274" s="62">
        <f t="shared" si="91"/>
        <v>48.55520794899175</v>
      </c>
      <c r="U274" s="62">
        <f t="shared" si="91"/>
        <v>57.414590140658319</v>
      </c>
      <c r="V274" s="62">
        <f t="shared" si="91"/>
        <v>70.146585988443633</v>
      </c>
    </row>
    <row r="275" spans="3:22" x14ac:dyDescent="0.2">
      <c r="C275" s="87" t="s">
        <v>151</v>
      </c>
      <c r="D275" s="60">
        <f t="shared" ref="D275:V275" si="92">+IFERROR(IF(D236&gt;0,+((D236/D41)*100)," "),"")</f>
        <v>25.47212579</v>
      </c>
      <c r="E275" s="60">
        <f t="shared" si="92"/>
        <v>1.8986253470201744</v>
      </c>
      <c r="F275" s="60">
        <f t="shared" si="92"/>
        <v>5.2445158873099791</v>
      </c>
      <c r="G275" s="60" t="str">
        <f t="shared" si="92"/>
        <v xml:space="preserve"> </v>
      </c>
      <c r="H275" s="60" t="str">
        <f t="shared" si="92"/>
        <v xml:space="preserve"> </v>
      </c>
      <c r="I275" s="60" t="str">
        <f t="shared" si="92"/>
        <v xml:space="preserve"> </v>
      </c>
      <c r="J275" s="60" t="str">
        <f t="shared" si="92"/>
        <v xml:space="preserve"> </v>
      </c>
      <c r="K275" s="60" t="str">
        <f t="shared" si="92"/>
        <v xml:space="preserve"> </v>
      </c>
      <c r="L275" s="60" t="str">
        <f t="shared" si="92"/>
        <v xml:space="preserve"> </v>
      </c>
      <c r="M275" s="60" t="str">
        <f t="shared" si="92"/>
        <v xml:space="preserve"> </v>
      </c>
      <c r="N275" s="60" t="str">
        <f t="shared" si="92"/>
        <v xml:space="preserve"> </v>
      </c>
      <c r="O275" s="60" t="str">
        <f t="shared" si="92"/>
        <v xml:space="preserve"> </v>
      </c>
      <c r="P275" s="60" t="str">
        <f t="shared" si="92"/>
        <v xml:space="preserve"> </v>
      </c>
      <c r="Q275" s="60" t="str">
        <f t="shared" si="92"/>
        <v xml:space="preserve"> </v>
      </c>
      <c r="R275" s="60" t="str">
        <f t="shared" si="92"/>
        <v xml:space="preserve"> </v>
      </c>
      <c r="S275" s="60" t="str">
        <f t="shared" si="92"/>
        <v xml:space="preserve"> </v>
      </c>
      <c r="T275" s="60" t="str">
        <f t="shared" si="92"/>
        <v xml:space="preserve"> </v>
      </c>
      <c r="U275" s="60" t="str">
        <f t="shared" si="92"/>
        <v xml:space="preserve"> </v>
      </c>
      <c r="V275" s="60" t="str">
        <f t="shared" si="92"/>
        <v xml:space="preserve"> </v>
      </c>
    </row>
    <row r="276" spans="3:22" x14ac:dyDescent="0.2">
      <c r="C276" s="91" t="s">
        <v>202</v>
      </c>
      <c r="D276" s="64">
        <f t="shared" ref="D276:V276" si="93">+IFERROR(IF(D237&gt;0,+((D237/D42)*100)," "),"")</f>
        <v>66.706236590747253</v>
      </c>
      <c r="E276" s="64">
        <f t="shared" si="93"/>
        <v>72.187385134014065</v>
      </c>
      <c r="F276" s="64">
        <f t="shared" si="93"/>
        <v>64.09913633195994</v>
      </c>
      <c r="G276" s="64">
        <f t="shared" si="93"/>
        <v>69.710130385713427</v>
      </c>
      <c r="H276" s="64">
        <f t="shared" si="93"/>
        <v>68.494279177600788</v>
      </c>
      <c r="I276" s="64">
        <f t="shared" si="93"/>
        <v>66.926072509501736</v>
      </c>
      <c r="J276" s="64">
        <f t="shared" si="93"/>
        <v>70.824889428571808</v>
      </c>
      <c r="K276" s="64">
        <f t="shared" si="93"/>
        <v>73.297379148943861</v>
      </c>
      <c r="L276" s="64">
        <f t="shared" si="93"/>
        <v>79.564379286736397</v>
      </c>
      <c r="M276" s="64">
        <f t="shared" si="93"/>
        <v>79.58070362573801</v>
      </c>
      <c r="N276" s="64">
        <f t="shared" si="93"/>
        <v>74.768495420080598</v>
      </c>
      <c r="O276" s="64">
        <f t="shared" si="93"/>
        <v>62.737724579107024</v>
      </c>
      <c r="P276" s="64">
        <f t="shared" si="93"/>
        <v>74.61477617203191</v>
      </c>
      <c r="Q276" s="64">
        <f t="shared" si="93"/>
        <v>81.313763804677706</v>
      </c>
      <c r="R276" s="64">
        <f t="shared" si="93"/>
        <v>77.006702586635129</v>
      </c>
      <c r="S276" s="64">
        <f t="shared" si="93"/>
        <v>75.069724535706229</v>
      </c>
      <c r="T276" s="64">
        <f t="shared" si="93"/>
        <v>78.276619491060316</v>
      </c>
      <c r="U276" s="64">
        <f t="shared" si="93"/>
        <v>76.050903167496983</v>
      </c>
      <c r="V276" s="64">
        <f t="shared" si="93"/>
        <v>84.430104075100161</v>
      </c>
    </row>
    <row r="277" spans="3:22" x14ac:dyDescent="0.2">
      <c r="C277" s="1" t="s">
        <v>52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</sheetData>
  <mergeCells count="173">
    <mergeCell ref="U245:U246"/>
    <mergeCell ref="K245:K246"/>
    <mergeCell ref="G51:G52"/>
    <mergeCell ref="Q90:Q91"/>
    <mergeCell ref="I51:I52"/>
    <mergeCell ref="M206:M207"/>
    <mergeCell ref="U6:U7"/>
    <mergeCell ref="P51:P52"/>
    <mergeCell ref="V206:V207"/>
    <mergeCell ref="D11:D12"/>
    <mergeCell ref="P90:P91"/>
    <mergeCell ref="C168:C169"/>
    <mergeCell ref="P11:P12"/>
    <mergeCell ref="L6:L7"/>
    <mergeCell ref="N6:N7"/>
    <mergeCell ref="A7:C7"/>
    <mergeCell ref="I11:I12"/>
    <mergeCell ref="F168:F169"/>
    <mergeCell ref="D87:V87"/>
    <mergeCell ref="D90:D91"/>
    <mergeCell ref="S11:S12"/>
    <mergeCell ref="U11:U12"/>
    <mergeCell ref="L166:Q166"/>
    <mergeCell ref="E51:E52"/>
    <mergeCell ref="I206:I207"/>
    <mergeCell ref="M11:M12"/>
    <mergeCell ref="F129:F130"/>
    <mergeCell ref="H129:H130"/>
    <mergeCell ref="Q11:Q12"/>
    <mergeCell ref="N168:N169"/>
    <mergeCell ref="V168:V169"/>
    <mergeCell ref="F11:F12"/>
    <mergeCell ref="U129:U130"/>
    <mergeCell ref="S51:S52"/>
    <mergeCell ref="I245:I246"/>
    <mergeCell ref="U51:U52"/>
    <mergeCell ref="C245:C246"/>
    <mergeCell ref="G90:G91"/>
    <mergeCell ref="V129:V130"/>
    <mergeCell ref="G11:G12"/>
    <mergeCell ref="S168:S169"/>
    <mergeCell ref="P129:P130"/>
    <mergeCell ref="P168:P169"/>
    <mergeCell ref="N90:N91"/>
    <mergeCell ref="J129:J130"/>
    <mergeCell ref="J51:J52"/>
    <mergeCell ref="N206:N207"/>
    <mergeCell ref="Q168:Q169"/>
    <mergeCell ref="N129:N130"/>
    <mergeCell ref="O206:O207"/>
    <mergeCell ref="K11:K12"/>
    <mergeCell ref="J245:J246"/>
    <mergeCell ref="K129:K130"/>
    <mergeCell ref="D165:V165"/>
    <mergeCell ref="C129:C130"/>
    <mergeCell ref="J206:J207"/>
    <mergeCell ref="C51:C52"/>
    <mergeCell ref="G206:G207"/>
    <mergeCell ref="O51:O52"/>
    <mergeCell ref="G129:G130"/>
    <mergeCell ref="S206:S207"/>
    <mergeCell ref="U206:U207"/>
    <mergeCell ref="D168:D169"/>
    <mergeCell ref="S129:S130"/>
    <mergeCell ref="P206:P207"/>
    <mergeCell ref="M129:M130"/>
    <mergeCell ref="T206:T207"/>
    <mergeCell ref="M90:M91"/>
    <mergeCell ref="K90:K91"/>
    <mergeCell ref="J168:J169"/>
    <mergeCell ref="H90:H91"/>
    <mergeCell ref="L168:L169"/>
    <mergeCell ref="T245:T246"/>
    <mergeCell ref="L243:Q243"/>
    <mergeCell ref="D48:V48"/>
    <mergeCell ref="O90:O91"/>
    <mergeCell ref="R11:R12"/>
    <mergeCell ref="D6:D7"/>
    <mergeCell ref="F206:F207"/>
    <mergeCell ref="L245:L246"/>
    <mergeCell ref="F51:F52"/>
    <mergeCell ref="H51:H52"/>
    <mergeCell ref="L206:L207"/>
    <mergeCell ref="G6:G7"/>
    <mergeCell ref="M168:M169"/>
    <mergeCell ref="R51:R52"/>
    <mergeCell ref="L129:L130"/>
    <mergeCell ref="O168:O169"/>
    <mergeCell ref="Q6:Q7"/>
    <mergeCell ref="I129:I130"/>
    <mergeCell ref="F6:F7"/>
    <mergeCell ref="M245:M246"/>
    <mergeCell ref="O245:O246"/>
    <mergeCell ref="V245:V246"/>
    <mergeCell ref="D206:D207"/>
    <mergeCell ref="V11:V12"/>
    <mergeCell ref="T90:T91"/>
    <mergeCell ref="J90:J91"/>
    <mergeCell ref="O129:O130"/>
    <mergeCell ref="L90:L91"/>
    <mergeCell ref="T6:T7"/>
    <mergeCell ref="Q129:Q130"/>
    <mergeCell ref="L11:L12"/>
    <mergeCell ref="N11:N12"/>
    <mergeCell ref="I90:I91"/>
    <mergeCell ref="I6:I7"/>
    <mergeCell ref="K6:K7"/>
    <mergeCell ref="D9:V9"/>
    <mergeCell ref="P6:P7"/>
    <mergeCell ref="R6:R7"/>
    <mergeCell ref="H11:H12"/>
    <mergeCell ref="J11:J12"/>
    <mergeCell ref="T11:T12"/>
    <mergeCell ref="M6:M7"/>
    <mergeCell ref="E6:E7"/>
    <mergeCell ref="S6:S7"/>
    <mergeCell ref="O6:O7"/>
    <mergeCell ref="R206:R207"/>
    <mergeCell ref="N245:N246"/>
    <mergeCell ref="O11:O12"/>
    <mergeCell ref="P245:P246"/>
    <mergeCell ref="F245:F246"/>
    <mergeCell ref="R245:R246"/>
    <mergeCell ref="E245:E246"/>
    <mergeCell ref="S245:S246"/>
    <mergeCell ref="D129:D130"/>
    <mergeCell ref="D242:V242"/>
    <mergeCell ref="C206:C207"/>
    <mergeCell ref="S90:S91"/>
    <mergeCell ref="Q245:Q246"/>
    <mergeCell ref="D4:V4"/>
    <mergeCell ref="K51:K52"/>
    <mergeCell ref="E206:E207"/>
    <mergeCell ref="U90:U91"/>
    <mergeCell ref="H6:H7"/>
    <mergeCell ref="H168:H169"/>
    <mergeCell ref="M51:M52"/>
    <mergeCell ref="J6:J7"/>
    <mergeCell ref="D127:V127"/>
    <mergeCell ref="Q206:Q207"/>
    <mergeCell ref="R168:R169"/>
    <mergeCell ref="L88:Q88"/>
    <mergeCell ref="T168:T169"/>
    <mergeCell ref="R90:R91"/>
    <mergeCell ref="V6:V7"/>
    <mergeCell ref="Q51:Q52"/>
    <mergeCell ref="G245:G246"/>
    <mergeCell ref="C90:C91"/>
    <mergeCell ref="E90:E91"/>
    <mergeCell ref="D2:V2"/>
    <mergeCell ref="K206:K207"/>
    <mergeCell ref="H245:H246"/>
    <mergeCell ref="D204:V204"/>
    <mergeCell ref="D51:D52"/>
    <mergeCell ref="A5:C6"/>
    <mergeCell ref="H206:H207"/>
    <mergeCell ref="N51:N52"/>
    <mergeCell ref="I168:I169"/>
    <mergeCell ref="K168:K169"/>
    <mergeCell ref="E129:E130"/>
    <mergeCell ref="U168:U169"/>
    <mergeCell ref="C11:C12"/>
    <mergeCell ref="R129:R130"/>
    <mergeCell ref="E11:E12"/>
    <mergeCell ref="T129:T130"/>
    <mergeCell ref="V90:V91"/>
    <mergeCell ref="T51:T52"/>
    <mergeCell ref="L51:L52"/>
    <mergeCell ref="V51:V52"/>
    <mergeCell ref="D245:D246"/>
    <mergeCell ref="F90:F91"/>
    <mergeCell ref="E168:E169"/>
    <mergeCell ref="G168:G169"/>
  </mergeCells>
  <pageMargins left="0.7" right="0.7" top="0.75" bottom="0.75" header="0.3" footer="0.3"/>
  <pageSetup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/>
  <dimension ref="A1:K300"/>
  <sheetViews>
    <sheetView showGridLines="0" zoomScaleNormal="100" workbookViewId="0">
      <pane xSplit="3" ySplit="9" topLeftCell="D267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225" sqref="K225:K255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4" width="10.7109375" style="3" customWidth="1"/>
    <col min="5" max="10" width="10.7109375" style="9" customWidth="1"/>
    <col min="11" max="11" width="8.85546875" style="9" customWidth="1"/>
    <col min="12" max="33" width="10.7109375" style="9" customWidth="1"/>
    <col min="34" max="34" width="11.42578125" style="9" customWidth="1"/>
    <col min="35" max="16384" width="11.42578125" style="9"/>
  </cols>
  <sheetData>
    <row r="1" spans="1:11" ht="16.5" customHeight="1" x14ac:dyDescent="0.2"/>
    <row r="2" spans="1:11" ht="16.5" customHeight="1" x14ac:dyDescent="0.2">
      <c r="D2" s="183"/>
      <c r="E2" s="182"/>
      <c r="F2" s="182"/>
      <c r="G2" s="182"/>
      <c r="H2" s="182"/>
      <c r="I2" s="182"/>
      <c r="J2" s="182"/>
      <c r="K2" s="182"/>
    </row>
    <row r="3" spans="1:11" ht="16.5" customHeight="1" x14ac:dyDescent="0.2">
      <c r="D3" s="160"/>
      <c r="E3" s="182"/>
      <c r="F3" s="182"/>
      <c r="G3" s="182"/>
      <c r="H3" s="182"/>
      <c r="I3" s="182"/>
      <c r="J3" s="182"/>
      <c r="K3" s="182"/>
    </row>
    <row r="4" spans="1:11" ht="16.5" customHeight="1" x14ac:dyDescent="0.2">
      <c r="D4" s="160"/>
      <c r="E4" s="182"/>
      <c r="F4" s="182"/>
      <c r="G4" s="182"/>
      <c r="H4" s="182"/>
      <c r="I4" s="182"/>
      <c r="J4" s="182"/>
      <c r="K4" s="182"/>
    </row>
    <row r="5" spans="1:11" ht="16.5" customHeight="1" x14ac:dyDescent="0.2">
      <c r="D5" s="139"/>
      <c r="E5" s="139"/>
      <c r="F5" s="139"/>
      <c r="G5" s="139"/>
      <c r="H5" s="139"/>
      <c r="I5" s="139"/>
      <c r="J5" s="139"/>
      <c r="K5" s="139"/>
    </row>
    <row r="6" spans="1:11" ht="16.5" customHeight="1" x14ac:dyDescent="0.2">
      <c r="D6" s="165"/>
      <c r="E6" s="182"/>
      <c r="F6" s="182"/>
      <c r="G6" s="182"/>
      <c r="H6" s="182"/>
      <c r="I6" s="182"/>
      <c r="J6" s="182"/>
      <c r="K6" s="182"/>
    </row>
    <row r="7" spans="1:11" ht="21" customHeight="1" x14ac:dyDescent="0.2">
      <c r="A7" s="169" t="s">
        <v>225</v>
      </c>
      <c r="B7" s="160"/>
      <c r="C7" s="160"/>
      <c r="D7" s="147"/>
      <c r="E7" s="147"/>
      <c r="F7" s="147"/>
      <c r="G7" s="147"/>
      <c r="H7" s="147"/>
      <c r="I7" s="147"/>
      <c r="J7" s="147"/>
      <c r="K7" s="147"/>
    </row>
    <row r="8" spans="1:11" s="102" customFormat="1" ht="21" customHeight="1" x14ac:dyDescent="0.25">
      <c r="A8" s="180"/>
      <c r="B8" s="180"/>
      <c r="C8" s="180"/>
      <c r="D8" s="157">
        <v>2019</v>
      </c>
      <c r="E8" s="157">
        <v>2020</v>
      </c>
      <c r="F8" s="157">
        <v>2021</v>
      </c>
      <c r="G8" s="157">
        <v>2022</v>
      </c>
      <c r="H8" s="157">
        <v>2023</v>
      </c>
      <c r="I8" s="157">
        <v>2024</v>
      </c>
      <c r="J8" s="157">
        <v>2025</v>
      </c>
      <c r="K8" s="157" t="s">
        <v>36</v>
      </c>
    </row>
    <row r="9" spans="1:11" s="102" customFormat="1" ht="16.5" customHeight="1" x14ac:dyDescent="0.25">
      <c r="A9" s="166" t="s">
        <v>227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</row>
    <row r="10" spans="1:11" s="102" customFormat="1" ht="16.5" customHeight="1" x14ac:dyDescent="0.25">
      <c r="A10" s="99"/>
      <c r="B10" s="98"/>
      <c r="C10" s="98"/>
      <c r="D10" s="132"/>
      <c r="E10" s="132"/>
      <c r="F10" s="132"/>
      <c r="G10" s="132"/>
      <c r="H10" s="132"/>
      <c r="I10" s="132"/>
      <c r="J10" s="132"/>
      <c r="K10" s="132"/>
    </row>
    <row r="11" spans="1:11" ht="16.5" customHeight="1" x14ac:dyDescent="0.2">
      <c r="D11" s="164" t="s">
        <v>218</v>
      </c>
      <c r="E11" s="182"/>
      <c r="F11" s="182"/>
      <c r="G11" s="182"/>
      <c r="H11" s="182"/>
      <c r="I11" s="182"/>
      <c r="J11" s="182"/>
      <c r="K11" s="182"/>
    </row>
    <row r="12" spans="1:11" ht="15.75" customHeight="1" x14ac:dyDescent="0.2">
      <c r="C12" s="150"/>
      <c r="D12" s="150"/>
      <c r="E12" s="150"/>
      <c r="F12" s="150"/>
      <c r="G12" s="150"/>
      <c r="H12" s="150"/>
      <c r="I12" s="150"/>
      <c r="J12" s="150"/>
    </row>
    <row r="13" spans="1:11" ht="9.9499999999999993" customHeight="1" x14ac:dyDescent="0.2">
      <c r="C13" s="181" t="s">
        <v>120</v>
      </c>
      <c r="D13" s="155">
        <v>2019</v>
      </c>
      <c r="E13" s="155">
        <v>2020</v>
      </c>
      <c r="F13" s="155">
        <v>2021</v>
      </c>
      <c r="G13" s="155">
        <v>2022</v>
      </c>
      <c r="H13" s="155">
        <v>2023</v>
      </c>
      <c r="I13" s="155">
        <v>2024</v>
      </c>
      <c r="J13" s="155">
        <v>2025</v>
      </c>
      <c r="K13" s="155" t="s">
        <v>36</v>
      </c>
    </row>
    <row r="14" spans="1:11" ht="9.9499999999999993" customHeight="1" thickBot="1" x14ac:dyDescent="0.25">
      <c r="C14" s="162"/>
      <c r="D14" s="156"/>
      <c r="E14" s="156"/>
      <c r="F14" s="156"/>
      <c r="G14" s="156"/>
      <c r="H14" s="156"/>
      <c r="I14" s="156"/>
      <c r="J14" s="156"/>
      <c r="K14" s="156"/>
    </row>
    <row r="15" spans="1:11" x14ac:dyDescent="0.2">
      <c r="C15" s="87" t="s">
        <v>123</v>
      </c>
      <c r="D15" s="42">
        <f>59.391623*Deflactores!$T$5</f>
        <v>92.374444886262708</v>
      </c>
      <c r="E15" s="42">
        <f>81.318970766*Deflactores!$U$5</f>
        <v>124.47498138644502</v>
      </c>
      <c r="F15" s="42">
        <f>78.364837857*Deflactores!$V$5</f>
        <v>113.57043074211377</v>
      </c>
      <c r="G15" s="42">
        <f>65.195648766*Deflactores!$W$5</f>
        <v>83.526300928466398</v>
      </c>
      <c r="H15" s="42">
        <f>68.389490579*Deflactores!$X$5</f>
        <v>80.1776493750383</v>
      </c>
      <c r="I15" s="42">
        <f>110.863673223*Deflactores!$Y$5</f>
        <v>123.54849939550783</v>
      </c>
      <c r="J15" s="42">
        <f>96.667726576*Deflactores!$Z$5</f>
        <v>102.49974498552722</v>
      </c>
      <c r="K15" s="42">
        <f>73.028282*Deflactores!$AA$5</f>
        <v>73.028282000000004</v>
      </c>
    </row>
    <row r="16" spans="1:11" x14ac:dyDescent="0.2">
      <c r="C16" s="88" t="s">
        <v>124</v>
      </c>
      <c r="D16" s="50">
        <f>99.242829765*Deflactores!$T$5</f>
        <v>154.35680733095546</v>
      </c>
      <c r="E16" s="50">
        <f>117.842227316*Deflactores!$U$5</f>
        <v>180.38114493487024</v>
      </c>
      <c r="F16" s="50">
        <f>148.185412378*Deflactores!$V$5</f>
        <v>214.75806718540809</v>
      </c>
      <c r="G16" s="50">
        <f>162.973423239*Deflactores!$W$5</f>
        <v>208.79563974677529</v>
      </c>
      <c r="H16" s="50">
        <f>168.777201513*Deflactores!$X$5</f>
        <v>197.86898792260851</v>
      </c>
      <c r="I16" s="50">
        <f>186.024608301*Deflactores!$Y$5</f>
        <v>207.30921624792029</v>
      </c>
      <c r="J16" s="50">
        <f>168.587778784*Deflactores!$Z$5</f>
        <v>178.75877446492763</v>
      </c>
      <c r="K16" s="50">
        <f>193.984717302*Deflactores!$AA$5</f>
        <v>193.98471730200001</v>
      </c>
    </row>
    <row r="17" spans="3:11" x14ac:dyDescent="0.2">
      <c r="C17" s="87" t="s">
        <v>125</v>
      </c>
      <c r="D17" s="42">
        <f>0*Deflactores!$T$5</f>
        <v>0</v>
      </c>
      <c r="E17" s="42">
        <f>0*Deflactores!$U$5</f>
        <v>0</v>
      </c>
      <c r="F17" s="42">
        <f>0*Deflactores!$V$5</f>
        <v>0</v>
      </c>
      <c r="G17" s="42">
        <f>0*Deflactores!$W$5</f>
        <v>0</v>
      </c>
      <c r="H17" s="42">
        <f>0*Deflactores!$X$5</f>
        <v>0</v>
      </c>
      <c r="I17" s="42">
        <f>0*Deflactores!$Y$5</f>
        <v>0</v>
      </c>
      <c r="J17" s="42">
        <f>0*Deflactores!$Z$5</f>
        <v>0</v>
      </c>
      <c r="K17" s="42">
        <f>0*Deflactores!$AA$5</f>
        <v>0</v>
      </c>
    </row>
    <row r="18" spans="3:11" x14ac:dyDescent="0.2">
      <c r="C18" s="88" t="s">
        <v>126</v>
      </c>
      <c r="D18" s="50">
        <f>146.24565314*Deflactores!$T$5</f>
        <v>227.46239862541594</v>
      </c>
      <c r="E18" s="50">
        <f>175.630802447*Deflactores!$U$5</f>
        <v>268.83814022173067</v>
      </c>
      <c r="F18" s="50">
        <f>174.734708762*Deflactores!$V$5</f>
        <v>253.23469916329955</v>
      </c>
      <c r="G18" s="50">
        <f>182.077310778*Deflactores!$W$5</f>
        <v>233.2708476738149</v>
      </c>
      <c r="H18" s="50">
        <f>183.877402642*Deflactores!$X$5</f>
        <v>215.57198031754356</v>
      </c>
      <c r="I18" s="50">
        <f>155.509392449*Deflactores!$Y$5</f>
        <v>173.30250315930454</v>
      </c>
      <c r="J18" s="50">
        <f>171.082892829*Deflactores!$Z$5</f>
        <v>181.40442014607683</v>
      </c>
      <c r="K18" s="50">
        <f>126.381488837*Deflactores!$AA$5</f>
        <v>126.38148883700001</v>
      </c>
    </row>
    <row r="19" spans="3:11" x14ac:dyDescent="0.2">
      <c r="C19" s="87" t="s">
        <v>127</v>
      </c>
      <c r="D19" s="42">
        <f>0*Deflactores!$T$5</f>
        <v>0</v>
      </c>
      <c r="E19" s="42">
        <f>0*Deflactores!$U$5</f>
        <v>0</v>
      </c>
      <c r="F19" s="42">
        <f>0*Deflactores!$V$5</f>
        <v>0</v>
      </c>
      <c r="G19" s="42">
        <f>0*Deflactores!$W$5</f>
        <v>0</v>
      </c>
      <c r="H19" s="42">
        <f>0*Deflactores!$X$5</f>
        <v>0</v>
      </c>
      <c r="I19" s="42">
        <f>0*Deflactores!$Y$5</f>
        <v>0</v>
      </c>
      <c r="J19" s="42">
        <f>0*Deflactores!$Z$5</f>
        <v>0</v>
      </c>
      <c r="K19" s="42">
        <f>0*Deflactores!$AA$5</f>
        <v>0</v>
      </c>
    </row>
    <row r="20" spans="3:11" x14ac:dyDescent="0.2">
      <c r="C20" s="88" t="s">
        <v>128</v>
      </c>
      <c r="D20" s="50">
        <f>7.07286005*Deflactores!$T$5</f>
        <v>11.000735253134508</v>
      </c>
      <c r="E20" s="50">
        <f>7.7576333*Deflactores!$U$5</f>
        <v>11.874612424682862</v>
      </c>
      <c r="F20" s="50">
        <f>11.11824477*Deflactores!$V$5</f>
        <v>16.113143115657731</v>
      </c>
      <c r="G20" s="50">
        <f>18.472189792*Deflactores!$W$5</f>
        <v>23.665899681620743</v>
      </c>
      <c r="H20" s="50">
        <f>11.95724385*Deflactores!$X$5</f>
        <v>14.01828989776855</v>
      </c>
      <c r="I20" s="50">
        <f>14.934398786*Deflactores!$Y$5</f>
        <v>16.643166383933242</v>
      </c>
      <c r="J20" s="50">
        <f>15.686940053*Deflactores!$Z$5</f>
        <v>16.633341984841433</v>
      </c>
      <c r="K20" s="50">
        <f>19.565566*Deflactores!$AA$5</f>
        <v>19.565566</v>
      </c>
    </row>
    <row r="21" spans="3:11" x14ac:dyDescent="0.2">
      <c r="C21" s="87" t="s">
        <v>129</v>
      </c>
      <c r="D21" s="42">
        <f>76.761977774*Deflactores!$T$5</f>
        <v>119.39133377858499</v>
      </c>
      <c r="E21" s="42">
        <f>54.46401429*Deflactores!$U$5</f>
        <v>83.368088665152413</v>
      </c>
      <c r="F21" s="42">
        <f>75.56736*Deflactores!$V$5</f>
        <v>109.51617919385212</v>
      </c>
      <c r="G21" s="42">
        <f>59.99249*Deflactores!$W$5</f>
        <v>76.860202606055779</v>
      </c>
      <c r="H21" s="42">
        <f>62.572*Deflactores!$X$5</f>
        <v>73.357409657842993</v>
      </c>
      <c r="I21" s="42">
        <f>90.384*Deflactores!$Y$5</f>
        <v>100.72557804305993</v>
      </c>
      <c r="J21" s="42">
        <f>109.293352333*Deflactores!$Z$5</f>
        <v>115.88708185806415</v>
      </c>
      <c r="K21" s="42">
        <f>127.079*Deflactores!$AA$5</f>
        <v>127.07899999999999</v>
      </c>
    </row>
    <row r="22" spans="3:11" x14ac:dyDescent="0.2">
      <c r="C22" s="88" t="s">
        <v>130</v>
      </c>
      <c r="D22" s="50">
        <f>0*Deflactores!$T$5</f>
        <v>0</v>
      </c>
      <c r="E22" s="50">
        <f>0*Deflactores!$U$5</f>
        <v>0</v>
      </c>
      <c r="F22" s="50">
        <f>0*Deflactores!$V$5</f>
        <v>0</v>
      </c>
      <c r="G22" s="50">
        <f>0*Deflactores!$W$5</f>
        <v>0</v>
      </c>
      <c r="H22" s="50">
        <f>0*Deflactores!$X$5</f>
        <v>0</v>
      </c>
      <c r="I22" s="50">
        <f>0*Deflactores!$Y$5</f>
        <v>0</v>
      </c>
      <c r="J22" s="50">
        <f>0*Deflactores!$Z$5</f>
        <v>0</v>
      </c>
      <c r="K22" s="50">
        <f>0*Deflactores!$AA$5</f>
        <v>0</v>
      </c>
    </row>
    <row r="23" spans="3:11" x14ac:dyDescent="0.2">
      <c r="C23" s="87" t="s">
        <v>131</v>
      </c>
      <c r="D23" s="42">
        <f>9.339122385*Deflactores!$T$5</f>
        <v>14.525554319996353</v>
      </c>
      <c r="E23" s="42">
        <f>9.88740022*Deflactores!$U$5</f>
        <v>15.134647509082964</v>
      </c>
      <c r="F23" s="42">
        <f>11.457057952*Deflactores!$V$5</f>
        <v>16.604168938885525</v>
      </c>
      <c r="G23" s="42">
        <f>12.50188021*Deflactores!$W$5</f>
        <v>16.016955553890817</v>
      </c>
      <c r="H23" s="42">
        <f>16.69928271*Deflactores!$X$5</f>
        <v>19.577704448469035</v>
      </c>
      <c r="I23" s="42">
        <f>19.13968724*Deflactores!$Y$5</f>
        <v>21.329616534036756</v>
      </c>
      <c r="J23" s="42">
        <f>21.947315159*Deflactores!$Z$5</f>
        <v>23.271409048250124</v>
      </c>
      <c r="K23" s="42">
        <f>42.126861*Deflactores!$AA$5</f>
        <v>42.126860999999998</v>
      </c>
    </row>
    <row r="24" spans="3:11" x14ac:dyDescent="0.2">
      <c r="C24" s="88" t="s">
        <v>132</v>
      </c>
      <c r="D24" s="50">
        <f>306.447195691*Deflactores!$T$5</f>
        <v>476.63101560481078</v>
      </c>
      <c r="E24" s="50">
        <f>239.56302749*Deflactores!$U$5</f>
        <v>366.69922290956907</v>
      </c>
      <c r="F24" s="50">
        <f>314.24202685*Deflactores!$V$5</f>
        <v>455.4160172162147</v>
      </c>
      <c r="G24" s="50">
        <f>317.604086413*Deflactores!$W$5</f>
        <v>406.90283784211039</v>
      </c>
      <c r="H24" s="50">
        <f>373.177739472*Deflactores!$X$5</f>
        <v>437.50163507056362</v>
      </c>
      <c r="I24" s="50">
        <f>356.860313055*Deflactores!$Y$5</f>
        <v>397.69164136453571</v>
      </c>
      <c r="J24" s="50">
        <f>380.548154145*Deflactores!$Z$5</f>
        <v>403.50683869563312</v>
      </c>
      <c r="K24" s="50">
        <f>401.422826*Deflactores!$AA$5</f>
        <v>401.42282599999999</v>
      </c>
    </row>
    <row r="25" spans="3:11" x14ac:dyDescent="0.2">
      <c r="C25" s="87" t="s">
        <v>133</v>
      </c>
      <c r="D25" s="42">
        <f>58.206*Deflactores!$T$5</f>
        <v>90.530392460394737</v>
      </c>
      <c r="E25" s="42">
        <f>51.042373*Deflactores!$U$5</f>
        <v>78.130580960960984</v>
      </c>
      <c r="F25" s="42">
        <f>78.565592597*Deflactores!$V$5</f>
        <v>113.86137503446243</v>
      </c>
      <c r="G25" s="42">
        <f>29.7269408*Deflactores!$W$5</f>
        <v>38.085078528099537</v>
      </c>
      <c r="H25" s="42">
        <f>40.816742393*Deflactores!$X$5</f>
        <v>47.852242099053051</v>
      </c>
      <c r="I25" s="42">
        <f>28.465002476*Deflactores!$Y$5</f>
        <v>31.721917910163654</v>
      </c>
      <c r="J25" s="42">
        <f>20.470647*Deflactores!$Z$5</f>
        <v>21.705652667223099</v>
      </c>
      <c r="K25" s="42">
        <f>16.386816014*Deflactores!$AA$5</f>
        <v>16.386816014000001</v>
      </c>
    </row>
    <row r="26" spans="3:11" x14ac:dyDescent="0.2">
      <c r="C26" s="88" t="s">
        <v>134</v>
      </c>
      <c r="D26" s="50">
        <f>37.505*Deflactores!$T$5</f>
        <v>58.333202233912395</v>
      </c>
      <c r="E26" s="50">
        <f>46.194195675*Deflactores!$U$5</f>
        <v>70.709473971989155</v>
      </c>
      <c r="F26" s="50">
        <f>74.344*Deflactores!$V$5</f>
        <v>107.74322175589755</v>
      </c>
      <c r="G26" s="50">
        <f>81.407244824*Deflactores!$W$5</f>
        <v>104.29600989679585</v>
      </c>
      <c r="H26" s="50">
        <f>80.807081827*Deflactores!$X$5</f>
        <v>94.735635824938939</v>
      </c>
      <c r="I26" s="50">
        <f>74.701453895*Deflactores!$Y$5</f>
        <v>83.24866264195947</v>
      </c>
      <c r="J26" s="50">
        <f>68.772648393*Deflactores!$Z$5</f>
        <v>72.921741018909501</v>
      </c>
      <c r="K26" s="50">
        <f>80.609269*Deflactores!$AA$5</f>
        <v>80.609268999999998</v>
      </c>
    </row>
    <row r="27" spans="3:11" x14ac:dyDescent="0.2">
      <c r="C27" s="87" t="s">
        <v>135</v>
      </c>
      <c r="D27" s="42">
        <f>0*Deflactores!$T$5</f>
        <v>0</v>
      </c>
      <c r="E27" s="42">
        <f>0*Deflactores!$U$5</f>
        <v>0</v>
      </c>
      <c r="F27" s="42">
        <f>0*Deflactores!$V$5</f>
        <v>0</v>
      </c>
      <c r="G27" s="42">
        <f>0*Deflactores!$W$5</f>
        <v>0</v>
      </c>
      <c r="H27" s="42">
        <f>0*Deflactores!$X$5</f>
        <v>0</v>
      </c>
      <c r="I27" s="42">
        <f>3467.445760163*Deflactores!$Y$5</f>
        <v>3864.1847951559512</v>
      </c>
      <c r="J27" s="42">
        <f>3248.117676305*Deflactores!$Z$5</f>
        <v>3444.0784457933405</v>
      </c>
      <c r="K27" s="42">
        <f>3354.689231911*Deflactores!$AA$5</f>
        <v>3354.6892319110002</v>
      </c>
    </row>
    <row r="28" spans="3:11" x14ac:dyDescent="0.2">
      <c r="C28" s="88" t="s">
        <v>136</v>
      </c>
      <c r="D28" s="50">
        <f>2006.944970603*Deflactores!$T$5</f>
        <v>3121.491183642665</v>
      </c>
      <c r="E28" s="50">
        <f>1946.901031124*Deflactores!$U$5</f>
        <v>2980.1221944601225</v>
      </c>
      <c r="F28" s="50">
        <f>2243.849*Deflactores!$V$5</f>
        <v>3251.9035886386123</v>
      </c>
      <c r="G28" s="50">
        <f>2452.423*Deflactores!$W$5</f>
        <v>3141.9554123482976</v>
      </c>
      <c r="H28" s="50">
        <f>3038.367727041*Deflactores!$X$5</f>
        <v>3562.0850547164214</v>
      </c>
      <c r="I28" s="50">
        <f>0*Deflactores!$Y$5</f>
        <v>0</v>
      </c>
      <c r="J28" s="50">
        <f>0*Deflactores!$Z$5</f>
        <v>0</v>
      </c>
      <c r="K28" s="50">
        <f>0*Deflactores!$AA$5</f>
        <v>0</v>
      </c>
    </row>
    <row r="29" spans="3:11" x14ac:dyDescent="0.2">
      <c r="C29" s="87" t="s">
        <v>137</v>
      </c>
      <c r="D29" s="42">
        <f>41.208440557*Deflactores!$T$5</f>
        <v>64.093328802976629</v>
      </c>
      <c r="E29" s="42">
        <f>32.647898069*Deflactores!$U$5</f>
        <v>49.974150756768431</v>
      </c>
      <c r="F29" s="42">
        <f>100.295438877*Deflactores!$V$5</f>
        <v>145.35340729621328</v>
      </c>
      <c r="G29" s="42">
        <f>86.527398775*Deflactores!$W$5</f>
        <v>110.85576546033484</v>
      </c>
      <c r="H29" s="42">
        <f>49.690029584*Deflactores!$X$5</f>
        <v>58.254999937732947</v>
      </c>
      <c r="I29" s="42">
        <f>57.064031157*Deflactores!$Y$5</f>
        <v>63.593197067578409</v>
      </c>
      <c r="J29" s="42">
        <f>51.236914025*Deflactores!$Z$5</f>
        <v>54.328065916383679</v>
      </c>
      <c r="K29" s="42">
        <f>52.788446*Deflactores!$AA$5</f>
        <v>52.788446</v>
      </c>
    </row>
    <row r="30" spans="3:11" x14ac:dyDescent="0.2">
      <c r="C30" s="88" t="s">
        <v>138</v>
      </c>
      <c r="D30" s="50">
        <f>0*Deflactores!$T$5</f>
        <v>0</v>
      </c>
      <c r="E30" s="50">
        <f>0*Deflactores!$U$5</f>
        <v>0</v>
      </c>
      <c r="F30" s="50">
        <f>0*Deflactores!$V$5</f>
        <v>0</v>
      </c>
      <c r="G30" s="50">
        <f>0*Deflactores!$W$5</f>
        <v>0</v>
      </c>
      <c r="H30" s="50">
        <f>0*Deflactores!$X$5</f>
        <v>0</v>
      </c>
      <c r="I30" s="50">
        <f>0*Deflactores!$Y$5</f>
        <v>0</v>
      </c>
      <c r="J30" s="50">
        <f>0*Deflactores!$Z$5</f>
        <v>0</v>
      </c>
      <c r="K30" s="50">
        <f>0*Deflactores!$AA$5</f>
        <v>0</v>
      </c>
    </row>
    <row r="31" spans="3:11" x14ac:dyDescent="0.2">
      <c r="C31" s="87" t="s">
        <v>160</v>
      </c>
      <c r="D31" s="42">
        <f>0*Deflactores!$T$5</f>
        <v>0</v>
      </c>
      <c r="E31" s="42">
        <f>0*Deflactores!$U$5</f>
        <v>0</v>
      </c>
      <c r="F31" s="42">
        <f>0*Deflactores!$V$5</f>
        <v>0</v>
      </c>
      <c r="G31" s="42">
        <f>0*Deflactores!$W$5</f>
        <v>0</v>
      </c>
      <c r="H31" s="42">
        <f>0*Deflactores!$X$5</f>
        <v>0</v>
      </c>
      <c r="I31" s="42">
        <f>0*Deflactores!$Y$5</f>
        <v>0</v>
      </c>
      <c r="J31" s="42">
        <f>0*Deflactores!$Z$5</f>
        <v>0</v>
      </c>
      <c r="K31" s="42">
        <f>0*Deflactores!$AA$5</f>
        <v>0</v>
      </c>
    </row>
    <row r="32" spans="3:11" x14ac:dyDescent="0.2">
      <c r="C32" s="88" t="s">
        <v>161</v>
      </c>
      <c r="D32" s="50">
        <f>62.809290072*Deflactores!$T$5</f>
        <v>97.690095185667033</v>
      </c>
      <c r="E32" s="50">
        <f>52.303111521*Deflactores!$U$5</f>
        <v>80.060393924115985</v>
      </c>
      <c r="F32" s="50">
        <f>69.274*Deflactores!$V$5</f>
        <v>100.39551199717593</v>
      </c>
      <c r="G32" s="50">
        <f>196.276714329*Deflactores!$W$5</f>
        <v>251.46260857280421</v>
      </c>
      <c r="H32" s="50">
        <f>154.81551*Deflactores!$X$5</f>
        <v>181.50074775391369</v>
      </c>
      <c r="I32" s="50">
        <f>141.838844636*Deflactores!$Y$5</f>
        <v>158.06779535007158</v>
      </c>
      <c r="J32" s="50">
        <f>260.597100884*Deflactores!$Z$5</f>
        <v>276.31907080774738</v>
      </c>
      <c r="K32" s="50">
        <f>183.564248162*Deflactores!$AA$5</f>
        <v>183.56424816200001</v>
      </c>
    </row>
    <row r="33" spans="1:11" x14ac:dyDescent="0.2">
      <c r="C33" s="87" t="s">
        <v>140</v>
      </c>
      <c r="D33" s="42">
        <f>309.107080199*Deflactores!$T$5</f>
        <v>480.76805282448856</v>
      </c>
      <c r="E33" s="42">
        <f>171.646519202*Deflactores!$U$5</f>
        <v>262.73939624983751</v>
      </c>
      <c r="F33" s="42">
        <f>506.819686674*Deflactores!$V$5</f>
        <v>734.50965634847876</v>
      </c>
      <c r="G33" s="42">
        <f>496.931818545*Deflactores!$W$5</f>
        <v>636.65102506604489</v>
      </c>
      <c r="H33" s="42">
        <f>543.074729679*Deflactores!$X$5</f>
        <v>636.68342740977994</v>
      </c>
      <c r="I33" s="42">
        <f>567.825246759*Deflactores!$Y$5</f>
        <v>632.79481110864106</v>
      </c>
      <c r="J33" s="42">
        <f>522.887496808*Deflactores!$Z$5</f>
        <v>554.43359409930599</v>
      </c>
      <c r="K33" s="42">
        <f>512.078245832*Deflactores!$AA$5</f>
        <v>512.07824583199999</v>
      </c>
    </row>
    <row r="34" spans="1:11" x14ac:dyDescent="0.2">
      <c r="C34" s="88" t="s">
        <v>141</v>
      </c>
      <c r="D34" s="50">
        <f>0*Deflactores!$T$5</f>
        <v>0</v>
      </c>
      <c r="E34" s="50">
        <f>0*Deflactores!$U$5</f>
        <v>0</v>
      </c>
      <c r="F34" s="50">
        <f>0*Deflactores!$V$5</f>
        <v>0</v>
      </c>
      <c r="G34" s="50">
        <f>0*Deflactores!$W$5</f>
        <v>0</v>
      </c>
      <c r="H34" s="50">
        <f>0*Deflactores!$X$5</f>
        <v>0</v>
      </c>
      <c r="I34" s="50">
        <f>0*Deflactores!$Y$5</f>
        <v>0</v>
      </c>
      <c r="J34" s="50">
        <f>0.898818033*Deflactores!$Z$5</f>
        <v>0.9530442313491444</v>
      </c>
      <c r="K34" s="50">
        <f>1.041226669*Deflactores!$AA$5</f>
        <v>1.041226669</v>
      </c>
    </row>
    <row r="35" spans="1:11" x14ac:dyDescent="0.2">
      <c r="C35" s="87" t="s">
        <v>142</v>
      </c>
      <c r="D35" s="42">
        <f>22.542054681*Deflactores!$T$5</f>
        <v>35.060664830680828</v>
      </c>
      <c r="E35" s="42">
        <f>22.69055155*Deflactores!$U$5</f>
        <v>34.732436419563285</v>
      </c>
      <c r="F35" s="42">
        <f>23.534*Deflactores!$V$5</f>
        <v>34.106706402712973</v>
      </c>
      <c r="G35" s="42">
        <f>29.22694107*Deflactores!$W$5</f>
        <v>37.444497006132814</v>
      </c>
      <c r="H35" s="42">
        <f>29.9945*Deflactores!$X$5</f>
        <v>35.164591574221241</v>
      </c>
      <c r="I35" s="42">
        <f>33.032*Deflactores!$Y$5</f>
        <v>36.811463244803889</v>
      </c>
      <c r="J35" s="42">
        <f>38.078*Deflactores!$Z$5</f>
        <v>40.375267194169346</v>
      </c>
      <c r="K35" s="42">
        <f>33.195536331*Deflactores!$AA$5</f>
        <v>33.195536331</v>
      </c>
    </row>
    <row r="36" spans="1:11" x14ac:dyDescent="0.2">
      <c r="C36" s="88" t="s">
        <v>143</v>
      </c>
      <c r="D36" s="50">
        <f>65.340976861*Deflactores!$T$5</f>
        <v>101.62774076507408</v>
      </c>
      <c r="E36" s="50">
        <f>37.175760739*Deflactores!$U$5</f>
        <v>56.904951973995303</v>
      </c>
      <c r="F36" s="50">
        <f>140.242395277*Deflactores!$V$5</f>
        <v>203.24663044641198</v>
      </c>
      <c r="G36" s="50">
        <f>129.934163842*Deflactores!$W$5</f>
        <v>166.46693875090978</v>
      </c>
      <c r="H36" s="50">
        <f>85.554953356*Deflactores!$X$5</f>
        <v>100.30188841005148</v>
      </c>
      <c r="I36" s="50">
        <f>56.133921012*Deflactores!$Y$5</f>
        <v>62.556665358439183</v>
      </c>
      <c r="J36" s="50">
        <f>8.979918869*Deflactores!$Z$5</f>
        <v>9.5216824338945862</v>
      </c>
      <c r="K36" s="50">
        <f>12.990487646*Deflactores!$AA$5</f>
        <v>12.990487646</v>
      </c>
    </row>
    <row r="37" spans="1:11" x14ac:dyDescent="0.2">
      <c r="C37" s="87" t="s">
        <v>144</v>
      </c>
      <c r="D37" s="42">
        <f>0*Deflactores!$T$5</f>
        <v>0</v>
      </c>
      <c r="E37" s="42">
        <f>0*Deflactores!$U$5</f>
        <v>0</v>
      </c>
      <c r="F37" s="42">
        <f>0*Deflactores!$V$5</f>
        <v>0</v>
      </c>
      <c r="G37" s="42">
        <f>0*Deflactores!$W$5</f>
        <v>0</v>
      </c>
      <c r="H37" s="42">
        <f>0*Deflactores!$X$5</f>
        <v>0</v>
      </c>
      <c r="I37" s="42">
        <f>0*Deflactores!$Y$5</f>
        <v>0</v>
      </c>
      <c r="J37" s="42">
        <f>0*Deflactores!$Z$5</f>
        <v>0</v>
      </c>
      <c r="K37" s="42">
        <f>0*Deflactores!$AA$5</f>
        <v>0</v>
      </c>
    </row>
    <row r="38" spans="1:11" x14ac:dyDescent="0.2">
      <c r="C38" s="88" t="s">
        <v>145</v>
      </c>
      <c r="D38" s="50">
        <f>49.833491261*Deflactores!$T$5</f>
        <v>77.508255532590823</v>
      </c>
      <c r="E38" s="50">
        <f>30.764101275*Deflactores!$U$5</f>
        <v>47.090622243554215</v>
      </c>
      <c r="F38" s="50">
        <f>54.61645*Deflactores!$V$5</f>
        <v>79.153022219276494</v>
      </c>
      <c r="G38" s="50">
        <f>62.857344513*Deflactores!$W$5</f>
        <v>80.530550316345085</v>
      </c>
      <c r="H38" s="50">
        <f>92.715015196*Deflactores!$X$5</f>
        <v>108.69611569337899</v>
      </c>
      <c r="I38" s="50">
        <f>123.506622398*Deflactores!$Y$5</f>
        <v>137.63803254098605</v>
      </c>
      <c r="J38" s="50">
        <f>164.063830267*Deflactores!$Z$5</f>
        <v>173.96189358498273</v>
      </c>
      <c r="K38" s="50">
        <f>170.662621432*Deflactores!$AA$5</f>
        <v>170.66262143200001</v>
      </c>
    </row>
    <row r="39" spans="1:11" x14ac:dyDescent="0.2">
      <c r="C39" s="87" t="s">
        <v>146</v>
      </c>
      <c r="D39" s="42">
        <f>9.18*Deflactores!$T$5</f>
        <v>14.27806416497309</v>
      </c>
      <c r="E39" s="42">
        <f>3.126532629*Deflactores!$U$5</f>
        <v>4.7857847576399069</v>
      </c>
      <c r="F39" s="42">
        <f>1.166273946*Deflactores!$V$5</f>
        <v>1.6902253361670572</v>
      </c>
      <c r="G39" s="42">
        <f>4.308*Deflactores!$W$5</f>
        <v>5.5192533736620755</v>
      </c>
      <c r="H39" s="42">
        <f>30.520829316*Deflactores!$X$5</f>
        <v>35.781643214711309</v>
      </c>
      <c r="I39" s="42">
        <f>67.387371775*Deflactores!$Y$5</f>
        <v>75.097716131610198</v>
      </c>
      <c r="J39" s="42">
        <f>168.91291403*Deflactores!$Z$5</f>
        <v>179.10352530350875</v>
      </c>
      <c r="K39" s="42">
        <f>191.092961587*Deflactores!$AA$5</f>
        <v>191.09296158699999</v>
      </c>
    </row>
    <row r="40" spans="1:11" x14ac:dyDescent="0.2">
      <c r="C40" s="88" t="s">
        <v>162</v>
      </c>
      <c r="D40" s="50">
        <f>122.04812109*Deflactores!$T$5</f>
        <v>189.82689587553654</v>
      </c>
      <c r="E40" s="50">
        <f>120.039074013*Deflactores!$U$5</f>
        <v>183.74385906100969</v>
      </c>
      <c r="F40" s="50">
        <f>131.184513934*Deflactores!$V$5</f>
        <v>190.11947400907397</v>
      </c>
      <c r="G40" s="50">
        <f>157.6052207*Deflactores!$W$5</f>
        <v>201.91809332758376</v>
      </c>
      <c r="H40" s="50">
        <f>180.119216*Deflactores!$X$5</f>
        <v>211.1660026107765</v>
      </c>
      <c r="I40" s="50">
        <f>182.916876989*Deflactores!$Y$5</f>
        <v>203.84590379434758</v>
      </c>
      <c r="J40" s="50">
        <f>148.757396579*Deflactores!$Z$5</f>
        <v>157.73201412852927</v>
      </c>
      <c r="K40" s="50">
        <f>402.012049*Deflactores!$AA$5</f>
        <v>402.01204899999999</v>
      </c>
    </row>
    <row r="41" spans="1:11" x14ac:dyDescent="0.2">
      <c r="C41" s="87" t="s">
        <v>148</v>
      </c>
      <c r="D41" s="42">
        <f>0*Deflactores!$T$5</f>
        <v>0</v>
      </c>
      <c r="E41" s="42">
        <f>0*Deflactores!$U$5</f>
        <v>0</v>
      </c>
      <c r="F41" s="42">
        <f>0*Deflactores!$V$5</f>
        <v>0</v>
      </c>
      <c r="G41" s="42">
        <f>0*Deflactores!$W$5</f>
        <v>0</v>
      </c>
      <c r="H41" s="42">
        <f>0*Deflactores!$X$5</f>
        <v>0</v>
      </c>
      <c r="I41" s="42">
        <f>0*Deflactores!$Y$5</f>
        <v>0</v>
      </c>
      <c r="J41" s="42">
        <f>0*Deflactores!$Z$5</f>
        <v>0</v>
      </c>
      <c r="K41" s="42">
        <f>0*Deflactores!$AA$5</f>
        <v>0</v>
      </c>
    </row>
    <row r="42" spans="1:11" x14ac:dyDescent="0.2">
      <c r="C42" s="88" t="s">
        <v>149</v>
      </c>
      <c r="D42" s="50">
        <f>1126.589832872*Deflactores!$T$5</f>
        <v>1752.2355034153295</v>
      </c>
      <c r="E42" s="50">
        <f>1268.783313599*Deflactores!$U$5</f>
        <v>1942.1271304346103</v>
      </c>
      <c r="F42" s="50">
        <f>1606.674211183*Deflactores!$V$5</f>
        <v>2328.4764853245956</v>
      </c>
      <c r="G42" s="50">
        <f>1565.590897309*Deflactores!$W$5</f>
        <v>2005.7782826711546</v>
      </c>
      <c r="H42" s="50">
        <f>1495.299573094*Deflactores!$X$5</f>
        <v>1753.0413498794076</v>
      </c>
      <c r="I42" s="50">
        <f>2453.682613618*Deflactores!$Y$5</f>
        <v>2734.4286554133373</v>
      </c>
      <c r="J42" s="50">
        <f>1395.728136921*Deflactores!$Z$5</f>
        <v>1479.9332018122159</v>
      </c>
      <c r="K42" s="50">
        <f>1507.851472581*Deflactores!$AA$5</f>
        <v>1507.8514725810001</v>
      </c>
    </row>
    <row r="43" spans="1:11" x14ac:dyDescent="0.2">
      <c r="C43" s="87" t="s">
        <v>163</v>
      </c>
      <c r="D43" s="42">
        <f>1569.718*Deflactores!$T$5</f>
        <v>2441.452540840221</v>
      </c>
      <c r="E43" s="42">
        <f>1523.399885081*Deflactores!$U$5</f>
        <v>2331.8688192110453</v>
      </c>
      <c r="F43" s="42">
        <f>1612.14226607*Deflactores!$V$5</f>
        <v>2336.4010770907566</v>
      </c>
      <c r="G43" s="42">
        <f>1665.025032*Deflactores!$W$5</f>
        <v>2133.1696901341238</v>
      </c>
      <c r="H43" s="42">
        <f>2193.285850138*Deflactores!$X$5</f>
        <v>2571.3381161753455</v>
      </c>
      <c r="I43" s="42">
        <f>2160.31034*Deflactores!$Y$5</f>
        <v>2407.489243106073</v>
      </c>
      <c r="J43" s="42">
        <f>2942.420134867*Deflactores!$Z$5</f>
        <v>3119.9379994421693</v>
      </c>
      <c r="K43" s="42">
        <f>2916.330264*Deflactores!$AA$5</f>
        <v>2916.3302640000002</v>
      </c>
    </row>
    <row r="44" spans="1:11" x14ac:dyDescent="0.2">
      <c r="C44" s="88" t="s">
        <v>150</v>
      </c>
      <c r="D44" s="50">
        <f>2143.073694073*Deflactores!$T$5</f>
        <v>3333.2182695250763</v>
      </c>
      <c r="E44" s="50">
        <f>2137.772616813*Deflactores!$U$5</f>
        <v>3272.2894077442975</v>
      </c>
      <c r="F44" s="50">
        <f>2737.910385*Deflactores!$V$5</f>
        <v>3967.923245437828</v>
      </c>
      <c r="G44" s="50">
        <f>2614.371402011*Deflactores!$W$5</f>
        <v>3349.4378320693736</v>
      </c>
      <c r="H44" s="50">
        <f>2483.922056545*Deflactores!$X$5</f>
        <v>2912.0707003152115</v>
      </c>
      <c r="I44" s="50">
        <f>3168.695512848*Deflactores!$Y$5</f>
        <v>3531.2520708760953</v>
      </c>
      <c r="J44" s="50">
        <f>3780.044804515*Deflactores!$Z$5</f>
        <v>4008.097037350301</v>
      </c>
      <c r="K44" s="50">
        <f>5543.515783918*Deflactores!$AA$5</f>
        <v>5543.5157839180001</v>
      </c>
    </row>
    <row r="45" spans="1:11" x14ac:dyDescent="0.2">
      <c r="C45" s="87" t="s">
        <v>151</v>
      </c>
      <c r="D45" s="42">
        <f>0*Deflactores!$T$5</f>
        <v>0</v>
      </c>
      <c r="E45" s="42">
        <f>0*Deflactores!$U$5</f>
        <v>0</v>
      </c>
      <c r="F45" s="42">
        <f>0*Deflactores!$V$5</f>
        <v>0</v>
      </c>
      <c r="G45" s="42">
        <f>0*Deflactores!$W$5</f>
        <v>0</v>
      </c>
      <c r="H45" s="42">
        <f>0*Deflactores!$X$5</f>
        <v>0</v>
      </c>
      <c r="I45" s="42">
        <f>0*Deflactores!$Y$5</f>
        <v>0</v>
      </c>
      <c r="J45" s="42">
        <f>0*Deflactores!$Z$5</f>
        <v>0</v>
      </c>
      <c r="K45" s="42">
        <f>0*Deflactores!$AA$5</f>
        <v>0</v>
      </c>
    </row>
    <row r="46" spans="1:11" ht="21.75" customHeight="1" x14ac:dyDescent="0.2">
      <c r="C46" s="79" t="s">
        <v>202</v>
      </c>
      <c r="D46" s="44">
        <f t="shared" ref="D46:K46" si="0">+SUM(D15:D45)</f>
        <v>12953.856479898746</v>
      </c>
      <c r="E46" s="44">
        <f t="shared" si="0"/>
        <v>12446.050040221044</v>
      </c>
      <c r="F46" s="44">
        <f t="shared" si="0"/>
        <v>14774.096332893096</v>
      </c>
      <c r="G46" s="44">
        <f t="shared" si="0"/>
        <v>13312.609721554398</v>
      </c>
      <c r="H46" s="44">
        <f t="shared" si="0"/>
        <v>13346.746172304778</v>
      </c>
      <c r="I46" s="44">
        <f t="shared" si="0"/>
        <v>15063.281150828356</v>
      </c>
      <c r="J46" s="44">
        <f t="shared" si="0"/>
        <v>14615.36384696735</v>
      </c>
      <c r="K46" s="44">
        <f t="shared" si="0"/>
        <v>15962.397401221999</v>
      </c>
    </row>
    <row r="47" spans="1:11" s="31" customFormat="1" x14ac:dyDescent="0.2">
      <c r="A47" s="5"/>
      <c r="B47" s="5"/>
      <c r="C47" s="72" t="str">
        <f>+'C1 Aprop Resumen 2000-2026'!B20</f>
        <v>* Información con corte a 30 de Junio</v>
      </c>
      <c r="D47" s="121">
        <f>+D46-'C7 Ejec. Prop 19-26'!D32</f>
        <v>0</v>
      </c>
      <c r="E47" s="121">
        <f>+E46-'C7 Ejec. Prop 19-26'!E32</f>
        <v>0</v>
      </c>
      <c r="F47" s="121">
        <f>+F46-'C7 Ejec. Prop 19-26'!F32</f>
        <v>0</v>
      </c>
      <c r="G47" s="121">
        <f>+G46-'C7 Ejec. Prop 19-26'!G32</f>
        <v>0</v>
      </c>
      <c r="H47" s="121">
        <f>+H46-'C7 Ejec. Prop 19-26'!H32</f>
        <v>0</v>
      </c>
      <c r="I47" s="121">
        <f>+I46-'C7 Ejec. Prop 19-26'!I32</f>
        <v>0</v>
      </c>
      <c r="J47" s="121">
        <f>+J46-'C7 Ejec. Prop 19-26'!J32</f>
        <v>0</v>
      </c>
      <c r="K47" s="121">
        <f>+K46-'C7 Ejec. Prop 19-26'!K32</f>
        <v>0</v>
      </c>
    </row>
    <row r="48" spans="1:11" x14ac:dyDescent="0.2">
      <c r="C48" s="1" t="s">
        <v>52</v>
      </c>
      <c r="D48" s="10"/>
      <c r="E48" s="10"/>
      <c r="F48" s="10"/>
    </row>
    <row r="49" spans="3:11" x14ac:dyDescent="0.2">
      <c r="D49" s="10"/>
    </row>
    <row r="50" spans="3:11" x14ac:dyDescent="0.2">
      <c r="D50" s="10"/>
    </row>
    <row r="51" spans="3:11" x14ac:dyDescent="0.2">
      <c r="D51" s="10"/>
    </row>
    <row r="53" spans="3:11" ht="14.25" customHeight="1" x14ac:dyDescent="0.2">
      <c r="D53" s="164" t="s">
        <v>219</v>
      </c>
      <c r="E53" s="182"/>
      <c r="F53" s="182"/>
      <c r="G53" s="182"/>
      <c r="H53" s="182"/>
      <c r="I53" s="182"/>
      <c r="J53" s="182"/>
      <c r="K53" s="182"/>
    </row>
    <row r="54" spans="3:11" ht="11.25" hidden="1" customHeight="1" x14ac:dyDescent="0.2">
      <c r="D54" s="28"/>
    </row>
    <row r="55" spans="3:11" ht="15.75" customHeight="1" x14ac:dyDescent="0.2">
      <c r="C55" s="2"/>
      <c r="D55" s="2"/>
      <c r="E55" s="2"/>
      <c r="F55" s="2"/>
      <c r="G55" s="2"/>
      <c r="H55" s="2"/>
      <c r="I55" s="2"/>
      <c r="J55" s="2"/>
    </row>
    <row r="56" spans="3:11" ht="12" thickBot="1" x14ac:dyDescent="0.25">
      <c r="C56" s="181" t="s">
        <v>120</v>
      </c>
      <c r="D56" s="155">
        <v>2019</v>
      </c>
      <c r="E56" s="155">
        <v>2020</v>
      </c>
      <c r="F56" s="155">
        <v>2021</v>
      </c>
      <c r="G56" s="155">
        <v>2022</v>
      </c>
      <c r="H56" s="155">
        <v>2023</v>
      </c>
      <c r="I56" s="155">
        <v>2024</v>
      </c>
      <c r="J56" s="155">
        <v>2025</v>
      </c>
      <c r="K56" s="155" t="s">
        <v>36</v>
      </c>
    </row>
    <row r="57" spans="3:11" ht="12" customHeight="1" thickBot="1" x14ac:dyDescent="0.25">
      <c r="C57" s="162"/>
      <c r="D57" s="156"/>
      <c r="E57" s="156"/>
      <c r="F57" s="156"/>
      <c r="G57" s="156"/>
      <c r="H57" s="156"/>
      <c r="I57" s="156"/>
      <c r="J57" s="156"/>
      <c r="K57" s="156"/>
    </row>
    <row r="58" spans="3:11" x14ac:dyDescent="0.2">
      <c r="C58" s="87" t="s">
        <v>123</v>
      </c>
      <c r="D58" s="42">
        <f>52.99446910226*Deflactores!$T$5</f>
        <v>82.424665602478441</v>
      </c>
      <c r="E58" s="42">
        <f>75.33916343173*Deflactores!$U$5</f>
        <v>115.32168788535463</v>
      </c>
      <c r="F58" s="42">
        <f>74.29326591088*Deflactores!$V$5</f>
        <v>107.66969525457075</v>
      </c>
      <c r="G58" s="42">
        <f>57.28077929205*Deflactores!$W$5</f>
        <v>73.386057185153135</v>
      </c>
      <c r="H58" s="42">
        <f>61.19608403786*Deflactores!$X$5</f>
        <v>71.744329831571349</v>
      </c>
      <c r="I58" s="42">
        <f>105.38489283678*Deflactores!$Y$5</f>
        <v>117.44284660991536</v>
      </c>
      <c r="J58" s="42">
        <f>87.95719148905*Deflactores!$Z$5</f>
        <v>93.263698409031775</v>
      </c>
      <c r="K58" s="42">
        <f>38.3601037817*Deflactores!$AA$5</f>
        <v>38.360103781699998</v>
      </c>
    </row>
    <row r="59" spans="3:11" x14ac:dyDescent="0.2">
      <c r="C59" s="88" t="s">
        <v>124</v>
      </c>
      <c r="D59" s="50">
        <f>95.52390098196*Deflactores!$T$5</f>
        <v>148.57259123191295</v>
      </c>
      <c r="E59" s="50">
        <f>112.22837949245*Deflactores!$U$5</f>
        <v>171.78802580460589</v>
      </c>
      <c r="F59" s="50">
        <f>127.23429528279*Deflactores!$V$5</f>
        <v>184.39461007759866</v>
      </c>
      <c r="G59" s="50">
        <f>138.58533964589*Deflactores!$W$5</f>
        <v>177.55051146255408</v>
      </c>
      <c r="H59" s="50">
        <f>143.9613803473*Deflactores!$X$5</f>
        <v>168.77571362662906</v>
      </c>
      <c r="I59" s="50">
        <f>154.25854228965*Deflactores!$Y$5</f>
        <v>171.9085329284475</v>
      </c>
      <c r="J59" s="50">
        <f>159.40243966246*Deflactores!$Z$5</f>
        <v>169.01927865891801</v>
      </c>
      <c r="K59" s="50">
        <f>137.75851720287*Deflactores!$AA$5</f>
        <v>137.75851720287</v>
      </c>
    </row>
    <row r="60" spans="3:11" x14ac:dyDescent="0.2">
      <c r="C60" s="87" t="s">
        <v>125</v>
      </c>
      <c r="D60" s="42">
        <f>0*Deflactores!$T$5</f>
        <v>0</v>
      </c>
      <c r="E60" s="42">
        <f>0*Deflactores!$U$5</f>
        <v>0</v>
      </c>
      <c r="F60" s="42">
        <f>0*Deflactores!$V$5</f>
        <v>0</v>
      </c>
      <c r="G60" s="42">
        <f>0*Deflactores!$W$5</f>
        <v>0</v>
      </c>
      <c r="H60" s="42">
        <f>0*Deflactores!$X$5</f>
        <v>0</v>
      </c>
      <c r="I60" s="42">
        <f>0*Deflactores!$Y$5</f>
        <v>0</v>
      </c>
      <c r="J60" s="42">
        <f>0*Deflactores!$Z$5</f>
        <v>0</v>
      </c>
      <c r="K60" s="42">
        <f>0*Deflactores!$AA$5</f>
        <v>0</v>
      </c>
    </row>
    <row r="61" spans="3:11" x14ac:dyDescent="0.2">
      <c r="C61" s="88" t="s">
        <v>126</v>
      </c>
      <c r="D61" s="50">
        <f>141.76744512611*Deflactores!$T$5</f>
        <v>220.49724161382355</v>
      </c>
      <c r="E61" s="50">
        <f>164.06486242761*Deflactores!$U$5</f>
        <v>251.13415116396155</v>
      </c>
      <c r="F61" s="50">
        <f>154.33154204783*Deflactores!$V$5</f>
        <v>223.66536047009814</v>
      </c>
      <c r="G61" s="50">
        <f>168.041215336299*Deflactores!$W$5</f>
        <v>215.28831120221528</v>
      </c>
      <c r="H61" s="50">
        <f>173.864991200049*Deflactores!$X$5</f>
        <v>203.83374967428341</v>
      </c>
      <c r="I61" s="50">
        <f>141.97265949756*Deflactores!$Y$5</f>
        <v>158.21692107233858</v>
      </c>
      <c r="J61" s="50">
        <f>161.15828186113*Deflactores!$Z$5</f>
        <v>170.8810518067225</v>
      </c>
      <c r="K61" s="50">
        <f>90.48663202486*Deflactores!$AA$5</f>
        <v>90.48663202486</v>
      </c>
    </row>
    <row r="62" spans="3:11" x14ac:dyDescent="0.2">
      <c r="C62" s="87" t="s">
        <v>127</v>
      </c>
      <c r="D62" s="42">
        <f>0*Deflactores!$T$5</f>
        <v>0</v>
      </c>
      <c r="E62" s="42">
        <f>0*Deflactores!$U$5</f>
        <v>0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</row>
    <row r="63" spans="3:11" x14ac:dyDescent="0.2">
      <c r="C63" s="88" t="s">
        <v>128</v>
      </c>
      <c r="D63" s="50">
        <f>6.79108868*Deflactores!$T$5</f>
        <v>10.562483651749718</v>
      </c>
      <c r="E63" s="50">
        <f>7.57102028348999*Deflactores!$U$5</f>
        <v>11.588963804960487</v>
      </c>
      <c r="F63" s="50">
        <f>7.08108879167*Deflactores!$V$5</f>
        <v>10.262285052648519</v>
      </c>
      <c r="G63" s="50">
        <f>17.81294334801*Deflactores!$W$5</f>
        <v>22.821297044650791</v>
      </c>
      <c r="H63" s="50">
        <f>9.67606845721*Deflactores!$X$5</f>
        <v>11.343912895430654</v>
      </c>
      <c r="I63" s="50">
        <f>9.17440729615*Deflactores!$Y$5</f>
        <v>10.224126815666214</v>
      </c>
      <c r="J63" s="50">
        <f>14.91587759454*Deflactores!$Z$5</f>
        <v>15.815760893825212</v>
      </c>
      <c r="K63" s="50">
        <f>11.96303932259*Deflactores!$AA$5</f>
        <v>11.963039322589999</v>
      </c>
    </row>
    <row r="64" spans="3:11" x14ac:dyDescent="0.2">
      <c r="C64" s="87" t="s">
        <v>129</v>
      </c>
      <c r="D64" s="42">
        <f>74.5716027629199*Deflactores!$T$5</f>
        <v>115.98454565728267</v>
      </c>
      <c r="E64" s="42">
        <f>52.2971978626*Deflactores!$U$5</f>
        <v>80.051341884815301</v>
      </c>
      <c r="F64" s="42">
        <f>63.31590318633*Deflactores!$V$5</f>
        <v>91.76072578391927</v>
      </c>
      <c r="G64" s="42">
        <f>47.6381994606*Deflactores!$W$5</f>
        <v>61.032333585910727</v>
      </c>
      <c r="H64" s="42">
        <f>42.8521851908699*Deflactores!$X$5</f>
        <v>50.238530073841275</v>
      </c>
      <c r="I64" s="42">
        <f>75.46576116024*Deflactores!$Y$5</f>
        <v>84.10042059794516</v>
      </c>
      <c r="J64" s="42">
        <f>108.20363556238*Deflactores!$Z$5</f>
        <v>114.7316218606969</v>
      </c>
      <c r="K64" s="42">
        <f>41.61517264554*Deflactores!$AA$5</f>
        <v>41.61517264554</v>
      </c>
    </row>
    <row r="65" spans="3:11" x14ac:dyDescent="0.2">
      <c r="C65" s="88" t="s">
        <v>130</v>
      </c>
      <c r="D65" s="50">
        <f>0*Deflactores!$T$5</f>
        <v>0</v>
      </c>
      <c r="E65" s="50">
        <f>0*Deflactores!$U$5</f>
        <v>0</v>
      </c>
      <c r="F65" s="50">
        <f>0*Deflactores!$V$5</f>
        <v>0</v>
      </c>
      <c r="G65" s="50">
        <f>0*Deflactores!$W$5</f>
        <v>0</v>
      </c>
      <c r="H65" s="50">
        <f>0*Deflactores!$X$5</f>
        <v>0</v>
      </c>
      <c r="I65" s="50">
        <f>0*Deflactores!$Y$5</f>
        <v>0</v>
      </c>
      <c r="J65" s="50">
        <f>0*Deflactores!$Z$5</f>
        <v>0</v>
      </c>
      <c r="K65" s="50">
        <f>0*Deflactores!$AA$5</f>
        <v>0</v>
      </c>
    </row>
    <row r="66" spans="3:11" x14ac:dyDescent="0.2">
      <c r="C66" s="87" t="s">
        <v>131</v>
      </c>
      <c r="D66" s="42">
        <f>8.13565722717*Deflactores!$T$5</f>
        <v>12.653751188862779</v>
      </c>
      <c r="E66" s="42">
        <f>7.54931517670999*Deflactores!$U$5</f>
        <v>11.555739789248266</v>
      </c>
      <c r="F66" s="42">
        <f>9.43122209673*Deflactores!$V$5</f>
        <v>13.6682214273795</v>
      </c>
      <c r="G66" s="42">
        <f>10.90837428739*Deflactores!$W$5</f>
        <v>13.975413553121145</v>
      </c>
      <c r="H66" s="42">
        <f>14.3920010011799*Deflactores!$X$5</f>
        <v>16.872721236969259</v>
      </c>
      <c r="I66" s="42">
        <f>18.73817945851*Deflactores!$Y$5</f>
        <v>20.88216893955801</v>
      </c>
      <c r="J66" s="42">
        <f>20.18350086827*Deflactores!$Z$5</f>
        <v>21.401182847579971</v>
      </c>
      <c r="K66" s="42">
        <f>18.52925281821*Deflactores!$AA$5</f>
        <v>18.529252818210001</v>
      </c>
    </row>
    <row r="67" spans="3:11" x14ac:dyDescent="0.2">
      <c r="C67" s="88" t="s">
        <v>132</v>
      </c>
      <c r="D67" s="50">
        <f>283.36905985301*Deflactores!$T$5</f>
        <v>440.73655979840709</v>
      </c>
      <c r="E67" s="50">
        <f>167.47272491567*Deflactores!$U$5</f>
        <v>256.35056765045982</v>
      </c>
      <c r="F67" s="50">
        <f>198.21741044494*Deflactores!$V$5</f>
        <v>287.26706135597942</v>
      </c>
      <c r="G67" s="50">
        <f>212.18267025194*Deflactores!$W$5</f>
        <v>271.84074248390147</v>
      </c>
      <c r="H67" s="50">
        <f>279.10872777605*Deflactores!$X$5</f>
        <v>327.21813722666815</v>
      </c>
      <c r="I67" s="50">
        <f>315.00481654626*Deflactores!$Y$5</f>
        <v>351.04711268554257</v>
      </c>
      <c r="J67" s="50">
        <f>339.35868535974*Deflactores!$Z$5</f>
        <v>359.83238605130384</v>
      </c>
      <c r="K67" s="50">
        <f>214.32227272606*Deflactores!$AA$5</f>
        <v>214.32227272605999</v>
      </c>
    </row>
    <row r="68" spans="3:11" x14ac:dyDescent="0.2">
      <c r="C68" s="87" t="s">
        <v>133</v>
      </c>
      <c r="D68" s="42">
        <f>57.93673918914*Deflactores!$T$5</f>
        <v>90.11159909061567</v>
      </c>
      <c r="E68" s="42">
        <f>49.7250166587*Deflactores!$U$5</f>
        <v>76.11410307741167</v>
      </c>
      <c r="F68" s="42">
        <f>73.63814217955*Deflactores!$V$5</f>
        <v>106.72025560292114</v>
      </c>
      <c r="G68" s="42">
        <f>28.90595070693*Deflactores!$W$5</f>
        <v>37.033255793438499</v>
      </c>
      <c r="H68" s="42">
        <f>32.48254131161*Deflactores!$X$5</f>
        <v>38.081491557303323</v>
      </c>
      <c r="I68" s="42">
        <f>24.4516974965899*Deflactores!$Y$5</f>
        <v>27.249417645579516</v>
      </c>
      <c r="J68" s="42">
        <f>20.3861240393899*Deflactores!$Z$5</f>
        <v>21.616030388776885</v>
      </c>
      <c r="K68" s="42">
        <f>2.01829292072*Deflactores!$AA$5</f>
        <v>2.01829292072</v>
      </c>
    </row>
    <row r="69" spans="3:11" x14ac:dyDescent="0.2">
      <c r="C69" s="88" t="s">
        <v>134</v>
      </c>
      <c r="D69" s="50">
        <f>34.3570502878699*Deflactores!$T$5</f>
        <v>53.437055395360964</v>
      </c>
      <c r="E69" s="50">
        <f>43.79309448833*Deflactores!$U$5</f>
        <v>67.034107416038069</v>
      </c>
      <c r="F69" s="50">
        <f>47.89463380156*Deflactores!$V$5</f>
        <v>69.411413841049523</v>
      </c>
      <c r="G69" s="50">
        <f>76.02028209126*Deflactores!$W$5</f>
        <v>97.394428597708782</v>
      </c>
      <c r="H69" s="50">
        <f>68.99016391851*Deflactores!$X$5</f>
        <v>80.881859568686906</v>
      </c>
      <c r="I69" s="50">
        <f>70.84139698064*Deflactores!$Y$5</f>
        <v>78.946944816038723</v>
      </c>
      <c r="J69" s="50">
        <f>65.19567550329*Deflactores!$Z$5</f>
        <v>69.128967339400575</v>
      </c>
      <c r="K69" s="50">
        <f>50.34362531638*Deflactores!$AA$5</f>
        <v>50.343625316379999</v>
      </c>
    </row>
    <row r="70" spans="3:11" x14ac:dyDescent="0.2">
      <c r="C70" s="87" t="s">
        <v>135</v>
      </c>
      <c r="D70" s="42">
        <f>0*Deflactores!$T$5</f>
        <v>0</v>
      </c>
      <c r="E70" s="42">
        <f>0*Deflactores!$U$5</f>
        <v>0</v>
      </c>
      <c r="F70" s="42">
        <f>0*Deflactores!$V$5</f>
        <v>0</v>
      </c>
      <c r="G70" s="42">
        <f>0*Deflactores!$W$5</f>
        <v>0</v>
      </c>
      <c r="H70" s="42">
        <f>0*Deflactores!$X$5</f>
        <v>0</v>
      </c>
      <c r="I70" s="42">
        <f>3400.43015368833*Deflactores!$Y$5</f>
        <v>3789.5013810553651</v>
      </c>
      <c r="J70" s="42">
        <f>3238.38963056396*Deflactores!$Z$5</f>
        <v>3433.7635015717015</v>
      </c>
      <c r="K70" s="42">
        <f>2369.95623574309*Deflactores!$AA$5</f>
        <v>2369.95623574309</v>
      </c>
    </row>
    <row r="71" spans="3:11" x14ac:dyDescent="0.2">
      <c r="C71" s="88" t="s">
        <v>136</v>
      </c>
      <c r="D71" s="50">
        <f>1987.07040256264*Deflactores!$T$5</f>
        <v>3090.5793799682228</v>
      </c>
      <c r="E71" s="50">
        <f>1897.62677359805*Deflactores!$U$5</f>
        <v>2904.6980685692188</v>
      </c>
      <c r="F71" s="50">
        <f>2041.09323321575*Deflactores!$V$5</f>
        <v>2958.0593033846239</v>
      </c>
      <c r="G71" s="50">
        <f>2364.25351045392*Deflactores!$W$5</f>
        <v>3028.9958597412265</v>
      </c>
      <c r="H71" s="50">
        <f>2999.95383544231*Deflactores!$X$5</f>
        <v>3517.0498379652054</v>
      </c>
      <c r="I71" s="50">
        <f>0*Deflactores!$Y$5</f>
        <v>0</v>
      </c>
      <c r="J71" s="50">
        <f>0*Deflactores!$Z$5</f>
        <v>0</v>
      </c>
      <c r="K71" s="50">
        <f>0*Deflactores!$AA$5</f>
        <v>0</v>
      </c>
    </row>
    <row r="72" spans="3:11" x14ac:dyDescent="0.2">
      <c r="C72" s="87" t="s">
        <v>137</v>
      </c>
      <c r="D72" s="42">
        <f>35.61998725577*Deflactores!$T$5</f>
        <v>55.401357689913702</v>
      </c>
      <c r="E72" s="42">
        <f>26.94251347559*Deflactores!$U$5</f>
        <v>41.240916255918727</v>
      </c>
      <c r="F72" s="42">
        <f>54.96696780485*Deflactores!$V$5</f>
        <v>79.661010995470178</v>
      </c>
      <c r="G72" s="42">
        <f>26.3537798673299*Deflactores!$W$5</f>
        <v>33.763507066273966</v>
      </c>
      <c r="H72" s="42">
        <f>15.01367056997*Deflactores!$X$5</f>
        <v>17.601546737665256</v>
      </c>
      <c r="I72" s="42">
        <f>37.29178026117*Deflactores!$Y$5</f>
        <v>41.558640058651086</v>
      </c>
      <c r="J72" s="42">
        <f>38.28117597402*Deflactores!$Z$5</f>
        <v>40.59070088917678</v>
      </c>
      <c r="K72" s="42">
        <f>35.08793092783*Deflactores!$AA$5</f>
        <v>35.087930927830001</v>
      </c>
    </row>
    <row r="73" spans="3:11" x14ac:dyDescent="0.2">
      <c r="C73" s="88" t="s">
        <v>138</v>
      </c>
      <c r="D73" s="50">
        <f>0*Deflactores!$T$5</f>
        <v>0</v>
      </c>
      <c r="E73" s="50">
        <f>0*Deflactores!$U$5</f>
        <v>0</v>
      </c>
      <c r="F73" s="50">
        <f>0*Deflactores!$V$5</f>
        <v>0</v>
      </c>
      <c r="G73" s="50">
        <f>0*Deflactores!$W$5</f>
        <v>0</v>
      </c>
      <c r="H73" s="50">
        <f>0*Deflactores!$X$5</f>
        <v>0</v>
      </c>
      <c r="I73" s="50">
        <f>0*Deflactores!$Y$5</f>
        <v>0</v>
      </c>
      <c r="J73" s="50">
        <f>0*Deflactores!$Z$5</f>
        <v>0</v>
      </c>
      <c r="K73" s="50">
        <f>0*Deflactores!$AA$5</f>
        <v>0</v>
      </c>
    </row>
    <row r="74" spans="3:11" x14ac:dyDescent="0.2">
      <c r="C74" s="87" t="s">
        <v>160</v>
      </c>
      <c r="D74" s="42">
        <f>0*Deflactores!$T$5</f>
        <v>0</v>
      </c>
      <c r="E74" s="42">
        <f>0*Deflactores!$U$5</f>
        <v>0</v>
      </c>
      <c r="F74" s="42">
        <f>0*Deflactores!$V$5</f>
        <v>0</v>
      </c>
      <c r="G74" s="42">
        <f>0*Deflactores!$W$5</f>
        <v>0</v>
      </c>
      <c r="H74" s="42">
        <f>0*Deflactores!$X$5</f>
        <v>0</v>
      </c>
      <c r="I74" s="42">
        <f>0*Deflactores!$Y$5</f>
        <v>0</v>
      </c>
      <c r="J74" s="42">
        <f>0*Deflactores!$Z$5</f>
        <v>0</v>
      </c>
      <c r="K74" s="42">
        <f>0*Deflactores!$AA$5</f>
        <v>0</v>
      </c>
    </row>
    <row r="75" spans="3:11" x14ac:dyDescent="0.2">
      <c r="C75" s="88" t="s">
        <v>161</v>
      </c>
      <c r="D75" s="50">
        <f>60.1653825444499*Deflactores!$T$5</f>
        <v>93.577907677538946</v>
      </c>
      <c r="E75" s="50">
        <f>47.9459610823499*Deflactores!$U$5</f>
        <v>73.390901988346513</v>
      </c>
      <c r="F75" s="50">
        <f>61.0464557459599*Deflactores!$V$5</f>
        <v>88.471723593679982</v>
      </c>
      <c r="G75" s="50">
        <f>110.21591540949*Deflactores!$W$5</f>
        <v>141.20463392643489</v>
      </c>
      <c r="H75" s="50">
        <f>117.90687363022*Deflactores!$X$5</f>
        <v>138.23024404474165</v>
      </c>
      <c r="I75" s="50">
        <f>128.72155161436*Deflactores!$Y$5</f>
        <v>143.44964477071147</v>
      </c>
      <c r="J75" s="50">
        <f>175.96904509842*Deflactores!$Z$5</f>
        <v>186.58535673490056</v>
      </c>
      <c r="K75" s="50">
        <f>76.93267210327*Deflactores!$AA$5</f>
        <v>76.932672103269994</v>
      </c>
    </row>
    <row r="76" spans="3:11" x14ac:dyDescent="0.2">
      <c r="C76" s="87" t="s">
        <v>140</v>
      </c>
      <c r="D76" s="42">
        <f>300.855958318469*Deflactores!$T$5</f>
        <v>467.93471430126033</v>
      </c>
      <c r="E76" s="42">
        <f>148.775214438409*Deflactores!$U$5</f>
        <v>227.73028081324603</v>
      </c>
      <c r="F76" s="42">
        <f>408.49272431872*Deflactores!$V$5</f>
        <v>592.00906841093536</v>
      </c>
      <c r="G76" s="42">
        <f>372.61506255115*Deflactores!$W$5</f>
        <v>477.38090553916896</v>
      </c>
      <c r="H76" s="42">
        <f>276.27858146779*Deflactores!$X$5</f>
        <v>323.90016429745606</v>
      </c>
      <c r="I76" s="42">
        <f>532.11797702968*Deflactores!$Y$5</f>
        <v>593.00197848533139</v>
      </c>
      <c r="J76" s="42">
        <f>507.74777238349*Deflactores!$Z$5</f>
        <v>538.38048157013725</v>
      </c>
      <c r="K76" s="42">
        <f>136.62557939843*Deflactores!$AA$5</f>
        <v>136.62557939843001</v>
      </c>
    </row>
    <row r="77" spans="3:11" x14ac:dyDescent="0.2">
      <c r="C77" s="88" t="s">
        <v>141</v>
      </c>
      <c r="D77" s="50">
        <f>0*Deflactores!$T$5</f>
        <v>0</v>
      </c>
      <c r="E77" s="50">
        <f>0*Deflactores!$U$5</f>
        <v>0</v>
      </c>
      <c r="F77" s="50">
        <f>0*Deflactores!$V$5</f>
        <v>0</v>
      </c>
      <c r="G77" s="50">
        <f>0*Deflactores!$W$5</f>
        <v>0</v>
      </c>
      <c r="H77" s="50">
        <f>0*Deflactores!$X$5</f>
        <v>0</v>
      </c>
      <c r="I77" s="50">
        <f>0*Deflactores!$Y$5</f>
        <v>0</v>
      </c>
      <c r="J77" s="50">
        <f>0*Deflactores!$Z$5</f>
        <v>0</v>
      </c>
      <c r="K77" s="50">
        <f>0*Deflactores!$AA$5</f>
        <v>0</v>
      </c>
    </row>
    <row r="78" spans="3:11" x14ac:dyDescent="0.2">
      <c r="C78" s="87" t="s">
        <v>142</v>
      </c>
      <c r="D78" s="42">
        <f>20.8819897721699*Deflactores!$T$5</f>
        <v>32.47869170581194</v>
      </c>
      <c r="E78" s="42">
        <f>22.16671228639*Deflactores!$U$5</f>
        <v>33.930595447239931</v>
      </c>
      <c r="F78" s="42">
        <f>21.82949547329*Deflactores!$V$5</f>
        <v>31.636449096067555</v>
      </c>
      <c r="G78" s="42">
        <f>26.63360513328*Deflactores!$W$5</f>
        <v>34.12200904935915</v>
      </c>
      <c r="H78" s="42">
        <f>21.80015085601*Deflactores!$X$5</f>
        <v>25.557798966743945</v>
      </c>
      <c r="I78" s="42">
        <f>23.51406989715*Deflactores!$Y$5</f>
        <v>26.204508348107503</v>
      </c>
      <c r="J78" s="42">
        <f>17.39345321421*Deflactores!$Z$5</f>
        <v>18.442810046562641</v>
      </c>
      <c r="K78" s="42">
        <f>22.369504931*Deflactores!$AA$5</f>
        <v>22.369504931000002</v>
      </c>
    </row>
    <row r="79" spans="3:11" x14ac:dyDescent="0.2">
      <c r="C79" s="88" t="s">
        <v>143</v>
      </c>
      <c r="D79" s="50">
        <f>39.49830075943*Deflactores!$T$5</f>
        <v>61.433471966290512</v>
      </c>
      <c r="E79" s="50">
        <f>12.6386797227*Deflactores!$U$5</f>
        <v>19.346032154775962</v>
      </c>
      <c r="F79" s="50">
        <f>84.4626530222*Deflactores!$V$5</f>
        <v>122.40770411414944</v>
      </c>
      <c r="G79" s="50">
        <f>76.30782267257*Deflactores!$W$5</f>
        <v>97.76281516304303</v>
      </c>
      <c r="H79" s="50">
        <f>9.25250317*Deflactores!$X$5</f>
        <v>10.847338512468532</v>
      </c>
      <c r="I79" s="50">
        <f>9.98104586236*Deflactores!$Y$5</f>
        <v>11.123059545500338</v>
      </c>
      <c r="J79" s="50">
        <f>4.97713718202*Deflactores!$Z$5</f>
        <v>5.27741067246422</v>
      </c>
      <c r="K79" s="50">
        <f>5.03985092008*Deflactores!$AA$5</f>
        <v>5.0398509200800001</v>
      </c>
    </row>
    <row r="80" spans="3:11" x14ac:dyDescent="0.2">
      <c r="C80" s="87" t="s">
        <v>144</v>
      </c>
      <c r="D80" s="42">
        <f>0*Deflactores!$T$5</f>
        <v>0</v>
      </c>
      <c r="E80" s="42">
        <f>0*Deflactores!$U$5</f>
        <v>0</v>
      </c>
      <c r="F80" s="42">
        <f>0*Deflactores!$V$5</f>
        <v>0</v>
      </c>
      <c r="G80" s="42">
        <f>0*Deflactores!$W$5</f>
        <v>0</v>
      </c>
      <c r="H80" s="42">
        <f>0*Deflactores!$X$5</f>
        <v>0</v>
      </c>
      <c r="I80" s="42">
        <f>0*Deflactores!$Y$5</f>
        <v>0</v>
      </c>
      <c r="J80" s="42">
        <f>0*Deflactores!$Z$5</f>
        <v>0</v>
      </c>
      <c r="K80" s="42">
        <f>0*Deflactores!$AA$5</f>
        <v>0</v>
      </c>
    </row>
    <row r="81" spans="1:11" x14ac:dyDescent="0.2">
      <c r="C81" s="88" t="s">
        <v>145</v>
      </c>
      <c r="D81" s="50">
        <f>45.7857257453399*Deflactores!$T$5</f>
        <v>71.212584970786878</v>
      </c>
      <c r="E81" s="50">
        <f>30.407118087*Deflactores!$U$5</f>
        <v>46.544187933540137</v>
      </c>
      <c r="F81" s="50">
        <f>47.43195129993*Deflactores!$V$5</f>
        <v>68.740870106845094</v>
      </c>
      <c r="G81" s="50">
        <f>60.37814188999*Deflactores!$W$5</f>
        <v>77.354285822138991</v>
      </c>
      <c r="H81" s="50">
        <f>84.49051405357*Deflactores!$X$5</f>
        <v>99.053973848198467</v>
      </c>
      <c r="I81" s="50">
        <f>89.14451205531*Deflactores!$Y$5</f>
        <v>99.34427007144653</v>
      </c>
      <c r="J81" s="50">
        <f>153.2721841476*Deflactores!$Z$5</f>
        <v>162.51918137489568</v>
      </c>
      <c r="K81" s="50">
        <f>105.23581381394*Deflactores!$AA$5</f>
        <v>105.23581381394</v>
      </c>
    </row>
    <row r="82" spans="1:11" x14ac:dyDescent="0.2">
      <c r="C82" s="87" t="s">
        <v>146</v>
      </c>
      <c r="D82" s="42">
        <f>9.09581967061*Deflactores!$T$5</f>
        <v>14.147134737472111</v>
      </c>
      <c r="E82" s="42">
        <f>3.07043943761*Deflactores!$U$5</f>
        <v>4.6999228869299561</v>
      </c>
      <c r="F82" s="42">
        <f>1.166273946*Deflactores!$V$5</f>
        <v>1.6902253361670572</v>
      </c>
      <c r="G82" s="42">
        <f>1.072998397*Deflactores!$W$5</f>
        <v>1.374686634767003</v>
      </c>
      <c r="H82" s="42">
        <f>20.69546756214*Deflactores!$X$5</f>
        <v>24.262703637673482</v>
      </c>
      <c r="I82" s="42">
        <f>64.11114700902*Deflactores!$Y$5</f>
        <v>71.446631499901883</v>
      </c>
      <c r="J82" s="42">
        <f>146.918010181569*Deflactores!$Z$5</f>
        <v>155.78165651338151</v>
      </c>
      <c r="K82" s="42">
        <f>62.56900160696*Deflactores!$AA$5</f>
        <v>62.569001606960001</v>
      </c>
    </row>
    <row r="83" spans="1:11" x14ac:dyDescent="0.2">
      <c r="C83" s="88" t="s">
        <v>162</v>
      </c>
      <c r="D83" s="50">
        <f>101.77986335997*Deflactores!$T$5</f>
        <v>158.30276903658444</v>
      </c>
      <c r="E83" s="50">
        <f>110.16219848301*Deflactores!$U$5</f>
        <v>168.62532169917466</v>
      </c>
      <c r="F83" s="50">
        <f>114.34457334362*Deflactores!$V$5</f>
        <v>165.7141493912776</v>
      </c>
      <c r="G83" s="50">
        <f>133.91699893992*Deflactores!$W$5</f>
        <v>171.56960264388442</v>
      </c>
      <c r="H83" s="50">
        <f>147.08032132887*Deflactores!$X$5</f>
        <v>172.43226018553187</v>
      </c>
      <c r="I83" s="50">
        <f>157.10975908258*Deflactores!$Y$5</f>
        <v>175.08598092360103</v>
      </c>
      <c r="J83" s="50">
        <f>144.77329079927*Deflactores!$Z$5</f>
        <v>153.50754500235581</v>
      </c>
      <c r="K83" s="50">
        <f>153.5983001101*Deflactores!$AA$5</f>
        <v>153.59830011010001</v>
      </c>
    </row>
    <row r="84" spans="1:11" x14ac:dyDescent="0.2">
      <c r="C84" s="87" t="s">
        <v>148</v>
      </c>
      <c r="D84" s="42">
        <f>0*Deflactores!$T$5</f>
        <v>0</v>
      </c>
      <c r="E84" s="42">
        <f>0*Deflactores!$U$5</f>
        <v>0</v>
      </c>
      <c r="F84" s="42">
        <f>0*Deflactores!$V$5</f>
        <v>0</v>
      </c>
      <c r="G84" s="42">
        <f>0*Deflactores!$W$5</f>
        <v>0</v>
      </c>
      <c r="H84" s="42">
        <f>0*Deflactores!$X$5</f>
        <v>0</v>
      </c>
      <c r="I84" s="42">
        <f>0*Deflactores!$Y$5</f>
        <v>0</v>
      </c>
      <c r="J84" s="42">
        <f>0*Deflactores!$Z$5</f>
        <v>0</v>
      </c>
      <c r="K84" s="42">
        <f>0*Deflactores!$AA$5</f>
        <v>0</v>
      </c>
    </row>
    <row r="85" spans="1:11" x14ac:dyDescent="0.2">
      <c r="C85" s="88" t="s">
        <v>149</v>
      </c>
      <c r="D85" s="50">
        <f>1035.62759742803*Deflactores!$T$5</f>
        <v>1610.7578744111472</v>
      </c>
      <c r="E85" s="50">
        <f>1264.78092626601*Deflactores!$U$5</f>
        <v>1936.0006745279209</v>
      </c>
      <c r="F85" s="50">
        <f>1382.95297308313*Deflactores!$V$5</f>
        <v>2004.247940074162</v>
      </c>
      <c r="G85" s="50">
        <f>1379.46152380394*Deflactores!$W$5</f>
        <v>1767.3160791763983</v>
      </c>
      <c r="H85" s="50">
        <f>1466.14749357714*Deflactores!$X$5</f>
        <v>1718.8643851108802</v>
      </c>
      <c r="I85" s="50">
        <f>2286.69324919473*Deflactores!$Y$5</f>
        <v>2548.3326621116794</v>
      </c>
      <c r="J85" s="50">
        <f>1347.15316319945*Deflactores!$Z$5</f>
        <v>1428.427672557598</v>
      </c>
      <c r="K85" s="50">
        <f>1241.14529766272*Deflactores!$AA$5</f>
        <v>1241.1452976627199</v>
      </c>
    </row>
    <row r="86" spans="1:11" x14ac:dyDescent="0.2">
      <c r="C86" s="87" t="s">
        <v>163</v>
      </c>
      <c r="D86" s="42">
        <f>1544.70825739737*Deflactores!$T$5</f>
        <v>2402.5537707280409</v>
      </c>
      <c r="E86" s="42">
        <f>1491.842180145*Deflactores!$U$5</f>
        <v>2283.5634275231573</v>
      </c>
      <c r="F86" s="42">
        <f>1547.26310265894*Deflactores!$V$5</f>
        <v>2242.3747926463502</v>
      </c>
      <c r="G86" s="42">
        <f>1600.86659697166*Deflactores!$W$5</f>
        <v>2050.9722298325814</v>
      </c>
      <c r="H86" s="42">
        <f>2141.24066075306*Deflactores!$X$5</f>
        <v>2510.3220022836517</v>
      </c>
      <c r="I86" s="42">
        <f>2107.66708283078*Deflactores!$Y$5</f>
        <v>2348.8226371975147</v>
      </c>
      <c r="J86" s="42">
        <f>2847.29209029029*Deflactores!$Z$5</f>
        <v>3019.0708263384477</v>
      </c>
      <c r="K86" s="42">
        <f>1164.92380308934*Deflactores!$AA$5</f>
        <v>1164.92380308934</v>
      </c>
    </row>
    <row r="87" spans="1:11" x14ac:dyDescent="0.2">
      <c r="C87" s="88" t="s">
        <v>150</v>
      </c>
      <c r="D87" s="50">
        <f>2069.01280252454*Deflactores!$T$5</f>
        <v>3218.0280558383638</v>
      </c>
      <c r="E87" s="50">
        <f>2082.40446523776*Deflactores!$U$5</f>
        <v>3187.5373557715566</v>
      </c>
      <c r="F87" s="50">
        <f>2417.2948636805*Deflactores!$V$5</f>
        <v>3503.270425951257</v>
      </c>
      <c r="G87" s="50">
        <f>2343.1301913885*Deflactores!$W$5</f>
        <v>3001.9334293756829</v>
      </c>
      <c r="H87" s="50">
        <f>1632.25336534166*Deflactores!$X$5</f>
        <v>1913.6015915547052</v>
      </c>
      <c r="I87" s="50">
        <f>2804.82671950188*Deflactores!$Y$5</f>
        <v>3125.7500512529464</v>
      </c>
      <c r="J87" s="50">
        <f>3559.90286389328*Deflactores!$Z$5</f>
        <v>3774.6738094169823</v>
      </c>
      <c r="K87" s="50">
        <f>1732.96119567044*Deflactores!$AA$5</f>
        <v>1732.96119567044</v>
      </c>
    </row>
    <row r="88" spans="1:11" x14ac:dyDescent="0.2">
      <c r="C88" s="87" t="s">
        <v>151</v>
      </c>
      <c r="D88" s="42">
        <f>0*Deflactores!$T$5</f>
        <v>0</v>
      </c>
      <c r="E88" s="42">
        <f>0*Deflactores!$U$5</f>
        <v>0</v>
      </c>
      <c r="F88" s="42">
        <f>0*Deflactores!$V$5</f>
        <v>0</v>
      </c>
      <c r="G88" s="42">
        <f>0*Deflactores!$W$5</f>
        <v>0</v>
      </c>
      <c r="H88" s="42">
        <f>0*Deflactores!$X$5</f>
        <v>0</v>
      </c>
      <c r="I88" s="42">
        <f>0*Deflactores!$Y$5</f>
        <v>0</v>
      </c>
      <c r="J88" s="42">
        <f>0*Deflactores!$Z$5</f>
        <v>0</v>
      </c>
      <c r="K88" s="42">
        <f>0*Deflactores!$AA$5</f>
        <v>0</v>
      </c>
    </row>
    <row r="89" spans="1:11" x14ac:dyDescent="0.2">
      <c r="C89" s="79" t="s">
        <v>202</v>
      </c>
      <c r="D89" s="44">
        <f t="shared" ref="D89:K89" si="1">+SUM(D58:D88)</f>
        <v>12451.388206261927</v>
      </c>
      <c r="E89" s="44">
        <f t="shared" si="1"/>
        <v>11968.246374047882</v>
      </c>
      <c r="F89" s="44">
        <f t="shared" si="1"/>
        <v>12953.103291967151</v>
      </c>
      <c r="G89" s="44">
        <f t="shared" si="1"/>
        <v>11854.072394879615</v>
      </c>
      <c r="H89" s="44">
        <f t="shared" si="1"/>
        <v>11440.714292836306</v>
      </c>
      <c r="I89" s="44">
        <f t="shared" si="1"/>
        <v>13993.639937431786</v>
      </c>
      <c r="J89" s="44">
        <f t="shared" si="1"/>
        <v>13952.710930944861</v>
      </c>
      <c r="K89" s="44">
        <f t="shared" si="1"/>
        <v>7711.8420947361301</v>
      </c>
    </row>
    <row r="90" spans="1:11" s="31" customFormat="1" x14ac:dyDescent="0.2">
      <c r="A90" s="5"/>
      <c r="B90" s="5"/>
      <c r="C90" s="72" t="str">
        <f>+'C1 Aprop Resumen 2000-2026'!B20</f>
        <v>* Información con corte a 30 de Junio</v>
      </c>
      <c r="D90" s="121">
        <f>+D89-'C7 Ejec. Prop 19-26'!D65</f>
        <v>-1.8189894035458565E-11</v>
      </c>
      <c r="E90" s="121">
        <f>+E89-'C7 Ejec. Prop 19-26'!E65</f>
        <v>-3.092281986027956E-11</v>
      </c>
      <c r="F90" s="121">
        <f>+F89-'C7 Ejec. Prop 19-26'!F65</f>
        <v>0</v>
      </c>
      <c r="G90" s="121">
        <f>+G89-'C7 Ejec. Prop 19-26'!G65</f>
        <v>0</v>
      </c>
      <c r="H90" s="121">
        <f>+H89-'C7 Ejec. Prop 19-26'!H65</f>
        <v>0</v>
      </c>
      <c r="I90" s="121">
        <f>+I89-'C7 Ejec. Prop 19-26'!I65</f>
        <v>3.092281986027956E-11</v>
      </c>
      <c r="J90" s="121">
        <f>+J89-'C7 Ejec. Prop 19-26'!J65</f>
        <v>3.092281986027956E-11</v>
      </c>
      <c r="K90" s="121">
        <f>+K89-'C7 Ejec. Prop 19-26'!K65</f>
        <v>-1.0004441719502211E-11</v>
      </c>
    </row>
    <row r="91" spans="1:11" x14ac:dyDescent="0.2">
      <c r="C91" s="1" t="s">
        <v>52</v>
      </c>
      <c r="D91" s="11"/>
      <c r="E91" s="11"/>
      <c r="F91" s="11"/>
    </row>
    <row r="92" spans="1:11" x14ac:dyDescent="0.2">
      <c r="D92" s="11"/>
      <c r="E92" s="11"/>
      <c r="F92" s="11"/>
    </row>
    <row r="93" spans="1:11" x14ac:dyDescent="0.2">
      <c r="D93" s="11"/>
      <c r="E93" s="11"/>
      <c r="F93" s="11"/>
    </row>
    <row r="94" spans="1:11" x14ac:dyDescent="0.2">
      <c r="D94" s="11"/>
      <c r="E94" s="11"/>
      <c r="F94" s="11"/>
    </row>
    <row r="95" spans="1:11" ht="18" customHeight="1" x14ac:dyDescent="0.2">
      <c r="D95" s="131" t="s">
        <v>220</v>
      </c>
      <c r="E95" s="131"/>
      <c r="F95" s="131"/>
      <c r="G95" s="131"/>
      <c r="H95" s="131"/>
      <c r="I95" s="131"/>
      <c r="J95" s="131"/>
      <c r="K95" s="131"/>
    </row>
    <row r="96" spans="1:11" ht="1.5" customHeight="1" x14ac:dyDescent="0.2">
      <c r="D96" s="28"/>
      <c r="E96" s="28"/>
      <c r="F96" s="28"/>
    </row>
    <row r="97" spans="3:11" x14ac:dyDescent="0.2">
      <c r="E97" s="29"/>
      <c r="F97" s="29"/>
    </row>
    <row r="98" spans="3:11" x14ac:dyDescent="0.2">
      <c r="C98" s="181" t="s">
        <v>120</v>
      </c>
      <c r="D98" s="155">
        <v>2019</v>
      </c>
      <c r="E98" s="155">
        <v>2020</v>
      </c>
      <c r="F98" s="155">
        <v>2021</v>
      </c>
      <c r="G98" s="155">
        <v>2022</v>
      </c>
      <c r="H98" s="155">
        <v>2023</v>
      </c>
      <c r="I98" s="155">
        <v>2024</v>
      </c>
      <c r="J98" s="155">
        <v>2025</v>
      </c>
      <c r="K98" s="155" t="s">
        <v>36</v>
      </c>
    </row>
    <row r="99" spans="3:11" ht="12" customHeight="1" thickBot="1" x14ac:dyDescent="0.25">
      <c r="C99" s="162"/>
      <c r="D99" s="156"/>
      <c r="E99" s="156"/>
      <c r="F99" s="156"/>
      <c r="G99" s="156"/>
      <c r="H99" s="156"/>
      <c r="I99" s="156"/>
      <c r="J99" s="156"/>
      <c r="K99" s="156"/>
    </row>
    <row r="100" spans="3:11" x14ac:dyDescent="0.2">
      <c r="C100" s="87" t="s">
        <v>123</v>
      </c>
      <c r="D100" s="47">
        <f t="shared" ref="D100:K109" si="2">+IFERROR(IF(D58&gt;0,+((D58/D15)*100)," "),"")</f>
        <v>89.228861622892495</v>
      </c>
      <c r="E100" s="47">
        <f t="shared" si="2"/>
        <v>92.646479317258894</v>
      </c>
      <c r="F100" s="47">
        <f t="shared" si="2"/>
        <v>94.804338198785288</v>
      </c>
      <c r="G100" s="47">
        <f t="shared" si="2"/>
        <v>87.859819445377369</v>
      </c>
      <c r="H100" s="47">
        <f t="shared" si="2"/>
        <v>89.481707671399391</v>
      </c>
      <c r="I100" s="47">
        <f t="shared" si="2"/>
        <v>95.058092315595971</v>
      </c>
      <c r="J100" s="47">
        <f t="shared" si="2"/>
        <v>90.989200433816151</v>
      </c>
      <c r="K100" s="47">
        <f t="shared" si="2"/>
        <v>52.527736831738693</v>
      </c>
    </row>
    <row r="101" spans="3:11" x14ac:dyDescent="0.2">
      <c r="C101" s="88" t="s">
        <v>124</v>
      </c>
      <c r="D101" s="116">
        <f t="shared" si="2"/>
        <v>96.252697759781597</v>
      </c>
      <c r="E101" s="116">
        <f t="shared" si="2"/>
        <v>95.236132283467299</v>
      </c>
      <c r="F101" s="116">
        <f t="shared" si="2"/>
        <v>85.861552254707334</v>
      </c>
      <c r="G101" s="116">
        <f t="shared" si="2"/>
        <v>85.035545607123353</v>
      </c>
      <c r="H101" s="116">
        <f t="shared" si="2"/>
        <v>85.296698284342284</v>
      </c>
      <c r="I101" s="116">
        <f t="shared" si="2"/>
        <v>82.923729123003753</v>
      </c>
      <c r="J101" s="116">
        <f t="shared" si="2"/>
        <v>94.551598468291971</v>
      </c>
      <c r="K101" s="116">
        <f t="shared" si="2"/>
        <v>71.015139294918924</v>
      </c>
    </row>
    <row r="102" spans="3:11" x14ac:dyDescent="0.2">
      <c r="C102" s="87" t="s">
        <v>125</v>
      </c>
      <c r="D102" s="47" t="str">
        <f t="shared" si="2"/>
        <v xml:space="preserve"> </v>
      </c>
      <c r="E102" s="47" t="str">
        <f t="shared" si="2"/>
        <v xml:space="preserve"> </v>
      </c>
      <c r="F102" s="47" t="str">
        <f t="shared" si="2"/>
        <v xml:space="preserve"> </v>
      </c>
      <c r="G102" s="47" t="str">
        <f t="shared" si="2"/>
        <v xml:space="preserve"> </v>
      </c>
      <c r="H102" s="47" t="str">
        <f t="shared" si="2"/>
        <v xml:space="preserve"> </v>
      </c>
      <c r="I102" s="47" t="str">
        <f t="shared" si="2"/>
        <v xml:space="preserve"> </v>
      </c>
      <c r="J102" s="47" t="str">
        <f t="shared" si="2"/>
        <v xml:space="preserve"> </v>
      </c>
      <c r="K102" s="47" t="str">
        <f t="shared" si="2"/>
        <v xml:space="preserve"> </v>
      </c>
    </row>
    <row r="103" spans="3:11" x14ac:dyDescent="0.2">
      <c r="C103" s="88" t="s">
        <v>126</v>
      </c>
      <c r="D103" s="116">
        <f t="shared" si="2"/>
        <v>96.93788641389358</v>
      </c>
      <c r="E103" s="116">
        <f t="shared" si="2"/>
        <v>93.414628949907424</v>
      </c>
      <c r="F103" s="116">
        <f t="shared" si="2"/>
        <v>88.323346369632588</v>
      </c>
      <c r="G103" s="116">
        <f t="shared" si="2"/>
        <v>92.291134254056132</v>
      </c>
      <c r="H103" s="116">
        <f t="shared" si="2"/>
        <v>94.554843989478869</v>
      </c>
      <c r="I103" s="116">
        <f t="shared" si="2"/>
        <v>91.295231279435782</v>
      </c>
      <c r="J103" s="116">
        <f t="shared" si="2"/>
        <v>94.19894601747832</v>
      </c>
      <c r="K103" s="116">
        <f t="shared" si="2"/>
        <v>71.598010798531391</v>
      </c>
    </row>
    <row r="104" spans="3:11" x14ac:dyDescent="0.2">
      <c r="C104" s="87" t="s">
        <v>127</v>
      </c>
      <c r="D104" s="47" t="str">
        <f t="shared" si="2"/>
        <v xml:space="preserve"> </v>
      </c>
      <c r="E104" s="47" t="str">
        <f t="shared" si="2"/>
        <v xml:space="preserve"> </v>
      </c>
      <c r="F104" s="47" t="str">
        <f t="shared" si="2"/>
        <v xml:space="preserve"> </v>
      </c>
      <c r="G104" s="47" t="str">
        <f t="shared" si="2"/>
        <v xml:space="preserve"> </v>
      </c>
      <c r="H104" s="47" t="str">
        <f t="shared" si="2"/>
        <v xml:space="preserve"> </v>
      </c>
      <c r="I104" s="47" t="str">
        <f t="shared" si="2"/>
        <v xml:space="preserve"> </v>
      </c>
      <c r="J104" s="47" t="str">
        <f t="shared" si="2"/>
        <v xml:space="preserve"> </v>
      </c>
      <c r="K104" s="47" t="str">
        <f t="shared" si="2"/>
        <v xml:space="preserve"> </v>
      </c>
    </row>
    <row r="105" spans="3:11" x14ac:dyDescent="0.2">
      <c r="C105" s="88" t="s">
        <v>128</v>
      </c>
      <c r="D105" s="116">
        <f t="shared" si="2"/>
        <v>96.016160817433388</v>
      </c>
      <c r="E105" s="116">
        <f t="shared" si="2"/>
        <v>97.594459427335764</v>
      </c>
      <c r="F105" s="116">
        <f t="shared" si="2"/>
        <v>63.688908979380201</v>
      </c>
      <c r="G105" s="116">
        <f t="shared" si="2"/>
        <v>96.431140804564961</v>
      </c>
      <c r="H105" s="116">
        <f t="shared" si="2"/>
        <v>80.922230729701155</v>
      </c>
      <c r="I105" s="116">
        <f t="shared" si="2"/>
        <v>61.431380182176419</v>
      </c>
      <c r="J105" s="116">
        <f t="shared" si="2"/>
        <v>95.08468537614803</v>
      </c>
      <c r="K105" s="116">
        <f t="shared" si="2"/>
        <v>61.143333766015253</v>
      </c>
    </row>
    <row r="106" spans="3:11" x14ac:dyDescent="0.2">
      <c r="C106" s="87" t="s">
        <v>129</v>
      </c>
      <c r="D106" s="47">
        <f t="shared" si="2"/>
        <v>97.146536508570776</v>
      </c>
      <c r="E106" s="47">
        <f t="shared" si="2"/>
        <v>96.02156312631945</v>
      </c>
      <c r="F106" s="47">
        <f t="shared" si="2"/>
        <v>83.787369555228622</v>
      </c>
      <c r="G106" s="47">
        <f t="shared" si="2"/>
        <v>79.406938202765048</v>
      </c>
      <c r="H106" s="47">
        <f t="shared" si="2"/>
        <v>68.484602043837342</v>
      </c>
      <c r="I106" s="47">
        <f t="shared" si="2"/>
        <v>83.494602097981954</v>
      </c>
      <c r="J106" s="47">
        <f t="shared" si="2"/>
        <v>99.002943228148226</v>
      </c>
      <c r="K106" s="47">
        <f t="shared" si="2"/>
        <v>32.747481995876583</v>
      </c>
    </row>
    <row r="107" spans="3:11" x14ac:dyDescent="0.2">
      <c r="C107" s="88" t="s">
        <v>130</v>
      </c>
      <c r="D107" s="116" t="str">
        <f t="shared" si="2"/>
        <v xml:space="preserve"> </v>
      </c>
      <c r="E107" s="116" t="str">
        <f t="shared" si="2"/>
        <v xml:space="preserve"> </v>
      </c>
      <c r="F107" s="116" t="str">
        <f t="shared" si="2"/>
        <v xml:space="preserve"> </v>
      </c>
      <c r="G107" s="116" t="str">
        <f t="shared" si="2"/>
        <v xml:space="preserve"> </v>
      </c>
      <c r="H107" s="116" t="str">
        <f t="shared" si="2"/>
        <v xml:space="preserve"> </v>
      </c>
      <c r="I107" s="116" t="str">
        <f t="shared" si="2"/>
        <v xml:space="preserve"> </v>
      </c>
      <c r="J107" s="116" t="str">
        <f t="shared" si="2"/>
        <v xml:space="preserve"> </v>
      </c>
      <c r="K107" s="116" t="str">
        <f t="shared" si="2"/>
        <v xml:space="preserve"> </v>
      </c>
    </row>
    <row r="108" spans="3:11" x14ac:dyDescent="0.2">
      <c r="C108" s="87" t="s">
        <v>131</v>
      </c>
      <c r="D108" s="47">
        <f t="shared" si="2"/>
        <v>87.113723236318847</v>
      </c>
      <c r="E108" s="47">
        <f t="shared" si="2"/>
        <v>76.352883556179023</v>
      </c>
      <c r="F108" s="47">
        <f t="shared" si="2"/>
        <v>82.31800987864986</v>
      </c>
      <c r="G108" s="47">
        <f t="shared" si="2"/>
        <v>87.253869851229354</v>
      </c>
      <c r="H108" s="47">
        <f t="shared" si="2"/>
        <v>86.183348417483614</v>
      </c>
      <c r="I108" s="47">
        <f t="shared" si="2"/>
        <v>97.902223915911804</v>
      </c>
      <c r="J108" s="47">
        <f t="shared" si="2"/>
        <v>91.963416582156711</v>
      </c>
      <c r="K108" s="47">
        <f t="shared" si="2"/>
        <v>43.984413693225335</v>
      </c>
    </row>
    <row r="109" spans="3:11" x14ac:dyDescent="0.2">
      <c r="C109" s="88" t="s">
        <v>132</v>
      </c>
      <c r="D109" s="116">
        <f t="shared" si="2"/>
        <v>92.469131334045443</v>
      </c>
      <c r="E109" s="116">
        <f t="shared" si="2"/>
        <v>69.907584100247163</v>
      </c>
      <c r="F109" s="116">
        <f t="shared" si="2"/>
        <v>63.077944230405848</v>
      </c>
      <c r="G109" s="116">
        <f t="shared" si="2"/>
        <v>66.807285966725843</v>
      </c>
      <c r="H109" s="116">
        <f t="shared" si="2"/>
        <v>74.792437558294353</v>
      </c>
      <c r="I109" s="116">
        <f t="shared" si="2"/>
        <v>88.271182034666552</v>
      </c>
      <c r="J109" s="116">
        <f t="shared" si="2"/>
        <v>89.17627944410799</v>
      </c>
      <c r="K109" s="116">
        <f t="shared" si="2"/>
        <v>53.390654154295646</v>
      </c>
    </row>
    <row r="110" spans="3:11" x14ac:dyDescent="0.2">
      <c r="C110" s="87" t="s">
        <v>133</v>
      </c>
      <c r="D110" s="47">
        <f t="shared" ref="D110:K119" si="3">+IFERROR(IF(D68&gt;0,+((D68/D25)*100)," "),"")</f>
        <v>99.537400249355727</v>
      </c>
      <c r="E110" s="47">
        <f t="shared" si="3"/>
        <v>97.419092679527282</v>
      </c>
      <c r="F110" s="47">
        <f t="shared" si="3"/>
        <v>93.7282336267414</v>
      </c>
      <c r="G110" s="47">
        <f t="shared" si="3"/>
        <v>97.238228788513609</v>
      </c>
      <c r="H110" s="47">
        <f t="shared" si="3"/>
        <v>79.58141538796761</v>
      </c>
      <c r="I110" s="47">
        <f t="shared" si="3"/>
        <v>85.900914701153184</v>
      </c>
      <c r="J110" s="47">
        <f t="shared" si="3"/>
        <v>99.587101665081235</v>
      </c>
      <c r="K110" s="47">
        <f t="shared" si="3"/>
        <v>12.316565457229036</v>
      </c>
    </row>
    <row r="111" spans="3:11" x14ac:dyDescent="0.2">
      <c r="C111" s="88" t="s">
        <v>134</v>
      </c>
      <c r="D111" s="116">
        <f t="shared" si="3"/>
        <v>91.606586556112262</v>
      </c>
      <c r="E111" s="116">
        <f t="shared" si="3"/>
        <v>94.802158254766482</v>
      </c>
      <c r="F111" s="116">
        <f t="shared" si="3"/>
        <v>64.422998226568382</v>
      </c>
      <c r="G111" s="116">
        <f t="shared" si="3"/>
        <v>93.382698622970906</v>
      </c>
      <c r="H111" s="116">
        <f t="shared" si="3"/>
        <v>85.376383305378042</v>
      </c>
      <c r="I111" s="116">
        <f t="shared" si="3"/>
        <v>94.832688370716753</v>
      </c>
      <c r="J111" s="116">
        <f t="shared" si="3"/>
        <v>94.798843765228511</v>
      </c>
      <c r="K111" s="116">
        <f t="shared" si="3"/>
        <v>62.453891396013027</v>
      </c>
    </row>
    <row r="112" spans="3:11" x14ac:dyDescent="0.2">
      <c r="C112" s="87" t="s">
        <v>135</v>
      </c>
      <c r="D112" s="47" t="str">
        <f t="shared" si="3"/>
        <v xml:space="preserve"> </v>
      </c>
      <c r="E112" s="47" t="str">
        <f t="shared" si="3"/>
        <v xml:space="preserve"> </v>
      </c>
      <c r="F112" s="47" t="str">
        <f t="shared" si="3"/>
        <v xml:space="preserve"> </v>
      </c>
      <c r="G112" s="47" t="str">
        <f t="shared" si="3"/>
        <v xml:space="preserve"> </v>
      </c>
      <c r="H112" s="47" t="str">
        <f t="shared" si="3"/>
        <v xml:space="preserve"> </v>
      </c>
      <c r="I112" s="47">
        <f t="shared" si="3"/>
        <v>98.067291859483348</v>
      </c>
      <c r="J112" s="47">
        <f t="shared" si="3"/>
        <v>99.700502053481458</v>
      </c>
      <c r="K112" s="47">
        <f t="shared" si="3"/>
        <v>70.646073955203391</v>
      </c>
    </row>
    <row r="113" spans="3:11" x14ac:dyDescent="0.2">
      <c r="C113" s="88" t="s">
        <v>136</v>
      </c>
      <c r="D113" s="116">
        <f t="shared" si="3"/>
        <v>99.009710364186603</v>
      </c>
      <c r="E113" s="116">
        <f t="shared" si="3"/>
        <v>97.469092843537993</v>
      </c>
      <c r="F113" s="116">
        <f t="shared" si="3"/>
        <v>90.963929979947395</v>
      </c>
      <c r="G113" s="116">
        <f t="shared" si="3"/>
        <v>96.404800903185148</v>
      </c>
      <c r="H113" s="116">
        <f t="shared" si="3"/>
        <v>98.735706305171277</v>
      </c>
      <c r="I113" s="116" t="str">
        <f t="shared" si="3"/>
        <v xml:space="preserve"> </v>
      </c>
      <c r="J113" s="116" t="str">
        <f t="shared" si="3"/>
        <v xml:space="preserve"> </v>
      </c>
      <c r="K113" s="116" t="str">
        <f t="shared" si="3"/>
        <v xml:space="preserve"> </v>
      </c>
    </row>
    <row r="114" spans="3:11" x14ac:dyDescent="0.2">
      <c r="C114" s="87" t="s">
        <v>137</v>
      </c>
      <c r="D114" s="47">
        <f t="shared" si="3"/>
        <v>86.438571259448679</v>
      </c>
      <c r="E114" s="47">
        <f t="shared" si="3"/>
        <v>82.52449642745178</v>
      </c>
      <c r="F114" s="47">
        <f t="shared" si="3"/>
        <v>54.805052373578235</v>
      </c>
      <c r="G114" s="47">
        <f t="shared" si="3"/>
        <v>30.45715026734883</v>
      </c>
      <c r="H114" s="47">
        <f t="shared" si="3"/>
        <v>30.214654118065454</v>
      </c>
      <c r="I114" s="47">
        <f t="shared" si="3"/>
        <v>65.350763878859681</v>
      </c>
      <c r="J114" s="47">
        <f t="shared" si="3"/>
        <v>74.714054705444383</v>
      </c>
      <c r="K114" s="47">
        <f t="shared" si="3"/>
        <v>66.468959756515659</v>
      </c>
    </row>
    <row r="115" spans="3:11" x14ac:dyDescent="0.2">
      <c r="C115" s="88" t="s">
        <v>138</v>
      </c>
      <c r="D115" s="116" t="str">
        <f t="shared" si="3"/>
        <v xml:space="preserve"> </v>
      </c>
      <c r="E115" s="116" t="str">
        <f t="shared" si="3"/>
        <v xml:space="preserve"> </v>
      </c>
      <c r="F115" s="116" t="str">
        <f t="shared" si="3"/>
        <v xml:space="preserve"> </v>
      </c>
      <c r="G115" s="116" t="str">
        <f t="shared" si="3"/>
        <v xml:space="preserve"> </v>
      </c>
      <c r="H115" s="116" t="str">
        <f t="shared" si="3"/>
        <v xml:space="preserve"> </v>
      </c>
      <c r="I115" s="116" t="str">
        <f t="shared" si="3"/>
        <v xml:space="preserve"> </v>
      </c>
      <c r="J115" s="116" t="str">
        <f t="shared" si="3"/>
        <v xml:space="preserve"> </v>
      </c>
      <c r="K115" s="116" t="str">
        <f t="shared" si="3"/>
        <v xml:space="preserve"> </v>
      </c>
    </row>
    <row r="116" spans="3:11" x14ac:dyDescent="0.2">
      <c r="C116" s="87" t="s">
        <v>160</v>
      </c>
      <c r="D116" s="47" t="str">
        <f t="shared" si="3"/>
        <v xml:space="preserve"> </v>
      </c>
      <c r="E116" s="47" t="str">
        <f t="shared" si="3"/>
        <v xml:space="preserve"> </v>
      </c>
      <c r="F116" s="47" t="str">
        <f t="shared" si="3"/>
        <v xml:space="preserve"> </v>
      </c>
      <c r="G116" s="47" t="str">
        <f t="shared" si="3"/>
        <v xml:space="preserve"> </v>
      </c>
      <c r="H116" s="47" t="str">
        <f t="shared" si="3"/>
        <v xml:space="preserve"> </v>
      </c>
      <c r="I116" s="47" t="str">
        <f t="shared" si="3"/>
        <v xml:space="preserve"> </v>
      </c>
      <c r="J116" s="47" t="str">
        <f t="shared" si="3"/>
        <v xml:space="preserve"> </v>
      </c>
      <c r="K116" s="47" t="str">
        <f t="shared" si="3"/>
        <v xml:space="preserve"> </v>
      </c>
    </row>
    <row r="117" spans="3:11" x14ac:dyDescent="0.2">
      <c r="C117" s="88" t="s">
        <v>161</v>
      </c>
      <c r="D117" s="116">
        <f t="shared" si="3"/>
        <v>95.790578870547122</v>
      </c>
      <c r="E117" s="116">
        <f t="shared" si="3"/>
        <v>91.669424032448504</v>
      </c>
      <c r="F117" s="116">
        <f t="shared" si="3"/>
        <v>88.123185821462457</v>
      </c>
      <c r="G117" s="116">
        <f t="shared" si="3"/>
        <v>56.153332190361368</v>
      </c>
      <c r="H117" s="116">
        <f t="shared" si="3"/>
        <v>76.159600307630697</v>
      </c>
      <c r="I117" s="116">
        <f t="shared" si="3"/>
        <v>90.751974146925136</v>
      </c>
      <c r="J117" s="116">
        <f t="shared" si="3"/>
        <v>67.525327220255377</v>
      </c>
      <c r="K117" s="116">
        <f t="shared" si="3"/>
        <v>41.910487948271388</v>
      </c>
    </row>
    <row r="118" spans="3:11" x14ac:dyDescent="0.2">
      <c r="C118" s="87" t="s">
        <v>140</v>
      </c>
      <c r="D118" s="47">
        <f t="shared" si="3"/>
        <v>97.33065904694935</v>
      </c>
      <c r="E118" s="47">
        <f t="shared" si="3"/>
        <v>86.675346013468996</v>
      </c>
      <c r="F118" s="47">
        <f t="shared" si="3"/>
        <v>80.599221983551999</v>
      </c>
      <c r="G118" s="47">
        <f t="shared" si="3"/>
        <v>74.983136246367692</v>
      </c>
      <c r="H118" s="47">
        <f t="shared" si="3"/>
        <v>50.87303208364942</v>
      </c>
      <c r="I118" s="47">
        <f t="shared" si="3"/>
        <v>93.711574127228758</v>
      </c>
      <c r="J118" s="47">
        <f t="shared" si="3"/>
        <v>97.104592380400845</v>
      </c>
      <c r="K118" s="47">
        <f t="shared" si="3"/>
        <v>26.680606042236256</v>
      </c>
    </row>
    <row r="119" spans="3:11" x14ac:dyDescent="0.2">
      <c r="C119" s="88" t="s">
        <v>141</v>
      </c>
      <c r="D119" s="116" t="str">
        <f t="shared" si="3"/>
        <v xml:space="preserve"> </v>
      </c>
      <c r="E119" s="116" t="str">
        <f t="shared" si="3"/>
        <v xml:space="preserve"> </v>
      </c>
      <c r="F119" s="116" t="str">
        <f t="shared" si="3"/>
        <v xml:space="preserve"> </v>
      </c>
      <c r="G119" s="116" t="str">
        <f t="shared" si="3"/>
        <v xml:space="preserve"> </v>
      </c>
      <c r="H119" s="116" t="str">
        <f t="shared" si="3"/>
        <v xml:space="preserve"> </v>
      </c>
      <c r="I119" s="116" t="str">
        <f t="shared" si="3"/>
        <v xml:space="preserve"> </v>
      </c>
      <c r="J119" s="116" t="str">
        <f t="shared" si="3"/>
        <v xml:space="preserve"> </v>
      </c>
      <c r="K119" s="116" t="str">
        <f t="shared" si="3"/>
        <v xml:space="preserve"> </v>
      </c>
    </row>
    <row r="120" spans="3:11" x14ac:dyDescent="0.2">
      <c r="C120" s="87" t="s">
        <v>142</v>
      </c>
      <c r="D120" s="47">
        <f t="shared" ref="D120:K129" si="4">+IFERROR(IF(D78&gt;0,+((D78/D35)*100)," "),"")</f>
        <v>92.635698332196313</v>
      </c>
      <c r="E120" s="47">
        <f t="shared" si="4"/>
        <v>97.691377124722194</v>
      </c>
      <c r="F120" s="47">
        <f t="shared" si="4"/>
        <v>92.757268094204122</v>
      </c>
      <c r="G120" s="47">
        <f t="shared" si="4"/>
        <v>91.126899217715504</v>
      </c>
      <c r="H120" s="47">
        <f t="shared" si="4"/>
        <v>72.680494277317507</v>
      </c>
      <c r="I120" s="47">
        <f t="shared" si="4"/>
        <v>71.185728678705516</v>
      </c>
      <c r="J120" s="47">
        <f t="shared" si="4"/>
        <v>45.678484201402377</v>
      </c>
      <c r="K120" s="47">
        <f t="shared" si="4"/>
        <v>67.387086950331948</v>
      </c>
    </row>
    <row r="121" spans="3:11" x14ac:dyDescent="0.2">
      <c r="C121" s="88" t="s">
        <v>143</v>
      </c>
      <c r="D121" s="116">
        <f t="shared" si="4"/>
        <v>60.449510639326398</v>
      </c>
      <c r="E121" s="116">
        <f t="shared" si="4"/>
        <v>33.997097763331396</v>
      </c>
      <c r="F121" s="116">
        <f t="shared" si="4"/>
        <v>60.226191128134573</v>
      </c>
      <c r="G121" s="116">
        <f t="shared" si="4"/>
        <v>58.728066904221087</v>
      </c>
      <c r="H121" s="116">
        <f t="shared" si="4"/>
        <v>10.814690216123084</v>
      </c>
      <c r="I121" s="116">
        <f t="shared" si="4"/>
        <v>17.780774409516674</v>
      </c>
      <c r="J121" s="116">
        <f t="shared" si="4"/>
        <v>55.425190969172434</v>
      </c>
      <c r="K121" s="116">
        <f t="shared" si="4"/>
        <v>38.796472137301627</v>
      </c>
    </row>
    <row r="122" spans="3:11" x14ac:dyDescent="0.2">
      <c r="C122" s="87" t="s">
        <v>144</v>
      </c>
      <c r="D122" s="47" t="str">
        <f t="shared" si="4"/>
        <v xml:space="preserve"> </v>
      </c>
      <c r="E122" s="47" t="str">
        <f t="shared" si="4"/>
        <v xml:space="preserve"> </v>
      </c>
      <c r="F122" s="47" t="str">
        <f t="shared" si="4"/>
        <v xml:space="preserve"> </v>
      </c>
      <c r="G122" s="47" t="str">
        <f t="shared" si="4"/>
        <v xml:space="preserve"> </v>
      </c>
      <c r="H122" s="47" t="str">
        <f t="shared" si="4"/>
        <v xml:space="preserve"> </v>
      </c>
      <c r="I122" s="47" t="str">
        <f t="shared" si="4"/>
        <v xml:space="preserve"> </v>
      </c>
      <c r="J122" s="47" t="str">
        <f t="shared" si="4"/>
        <v xml:space="preserve"> </v>
      </c>
      <c r="K122" s="47" t="str">
        <f t="shared" si="4"/>
        <v xml:space="preserve"> </v>
      </c>
    </row>
    <row r="123" spans="3:11" x14ac:dyDescent="0.2">
      <c r="C123" s="88" t="s">
        <v>145</v>
      </c>
      <c r="D123" s="116">
        <f t="shared" si="4"/>
        <v>91.877419355468888</v>
      </c>
      <c r="E123" s="116">
        <f t="shared" si="4"/>
        <v>98.839611192249905</v>
      </c>
      <c r="F123" s="116">
        <f t="shared" si="4"/>
        <v>86.845540674888241</v>
      </c>
      <c r="G123" s="116">
        <f t="shared" si="4"/>
        <v>96.055826662392235</v>
      </c>
      <c r="H123" s="116">
        <f t="shared" si="4"/>
        <v>91.129267330600811</v>
      </c>
      <c r="I123" s="116">
        <f t="shared" si="4"/>
        <v>72.177920766096136</v>
      </c>
      <c r="J123" s="116">
        <f t="shared" si="4"/>
        <v>93.422288080293214</v>
      </c>
      <c r="K123" s="116">
        <f t="shared" si="4"/>
        <v>61.663071228441716</v>
      </c>
    </row>
    <row r="124" spans="3:11" x14ac:dyDescent="0.2">
      <c r="C124" s="87" t="s">
        <v>146</v>
      </c>
      <c r="D124" s="47">
        <f t="shared" si="4"/>
        <v>99.083002947821356</v>
      </c>
      <c r="E124" s="47">
        <f t="shared" si="4"/>
        <v>98.205897777310554</v>
      </c>
      <c r="F124" s="47">
        <f t="shared" si="4"/>
        <v>100</v>
      </c>
      <c r="G124" s="47">
        <f t="shared" si="4"/>
        <v>24.907112279480039</v>
      </c>
      <c r="H124" s="47">
        <f t="shared" si="4"/>
        <v>67.807684214172937</v>
      </c>
      <c r="I124" s="47">
        <f t="shared" si="4"/>
        <v>95.138221480251516</v>
      </c>
      <c r="J124" s="47">
        <f t="shared" si="4"/>
        <v>86.978554023095853</v>
      </c>
      <c r="K124" s="47">
        <f t="shared" si="4"/>
        <v>32.742703387572888</v>
      </c>
    </row>
    <row r="125" spans="3:11" x14ac:dyDescent="0.2">
      <c r="C125" s="88" t="s">
        <v>162</v>
      </c>
      <c r="D125" s="116">
        <f t="shared" si="4"/>
        <v>83.39322428807904</v>
      </c>
      <c r="E125" s="116">
        <f t="shared" si="4"/>
        <v>91.771949582916335</v>
      </c>
      <c r="F125" s="116">
        <f t="shared" si="4"/>
        <v>87.163164244483681</v>
      </c>
      <c r="G125" s="116">
        <f t="shared" si="4"/>
        <v>84.969900327622867</v>
      </c>
      <c r="H125" s="116">
        <f t="shared" si="4"/>
        <v>81.657207151551248</v>
      </c>
      <c r="I125" s="116">
        <f t="shared" si="4"/>
        <v>85.89134128505161</v>
      </c>
      <c r="J125" s="116">
        <f t="shared" si="4"/>
        <v>97.321742735922257</v>
      </c>
      <c r="K125" s="116">
        <f t="shared" si="4"/>
        <v>38.207387189556599</v>
      </c>
    </row>
    <row r="126" spans="3:11" x14ac:dyDescent="0.2">
      <c r="C126" s="87" t="s">
        <v>148</v>
      </c>
      <c r="D126" s="47" t="str">
        <f t="shared" si="4"/>
        <v xml:space="preserve"> </v>
      </c>
      <c r="E126" s="47" t="str">
        <f t="shared" si="4"/>
        <v xml:space="preserve"> </v>
      </c>
      <c r="F126" s="47" t="str">
        <f t="shared" si="4"/>
        <v xml:space="preserve"> </v>
      </c>
      <c r="G126" s="47" t="str">
        <f t="shared" si="4"/>
        <v xml:space="preserve"> </v>
      </c>
      <c r="H126" s="47" t="str">
        <f t="shared" si="4"/>
        <v xml:space="preserve"> </v>
      </c>
      <c r="I126" s="47" t="str">
        <f t="shared" si="4"/>
        <v xml:space="preserve"> </v>
      </c>
      <c r="J126" s="47" t="str">
        <f t="shared" si="4"/>
        <v xml:space="preserve"> </v>
      </c>
      <c r="K126" s="47" t="str">
        <f t="shared" si="4"/>
        <v xml:space="preserve"> </v>
      </c>
    </row>
    <row r="127" spans="3:11" x14ac:dyDescent="0.2">
      <c r="C127" s="88" t="s">
        <v>149</v>
      </c>
      <c r="D127" s="116">
        <f t="shared" si="4"/>
        <v>91.925878186555153</v>
      </c>
      <c r="E127" s="116">
        <f t="shared" si="4"/>
        <v>99.684549182662494</v>
      </c>
      <c r="F127" s="116">
        <f t="shared" si="4"/>
        <v>86.075506998077529</v>
      </c>
      <c r="G127" s="116">
        <f t="shared" si="4"/>
        <v>88.111238138584838</v>
      </c>
      <c r="H127" s="116">
        <f t="shared" si="4"/>
        <v>98.050418789558023</v>
      </c>
      <c r="I127" s="116">
        <f t="shared" si="4"/>
        <v>93.194337218005501</v>
      </c>
      <c r="J127" s="116">
        <f t="shared" si="4"/>
        <v>96.519739594223026</v>
      </c>
      <c r="K127" s="116">
        <f t="shared" si="4"/>
        <v>82.31217200313786</v>
      </c>
    </row>
    <row r="128" spans="3:11" x14ac:dyDescent="0.2">
      <c r="C128" s="87" t="s">
        <v>163</v>
      </c>
      <c r="D128" s="47">
        <f t="shared" si="4"/>
        <v>98.406736585639592</v>
      </c>
      <c r="E128" s="47">
        <f t="shared" si="4"/>
        <v>97.92846873332131</v>
      </c>
      <c r="F128" s="47">
        <f t="shared" si="4"/>
        <v>95.975593173348202</v>
      </c>
      <c r="G128" s="47">
        <f t="shared" si="4"/>
        <v>96.14669847027622</v>
      </c>
      <c r="H128" s="47">
        <f t="shared" si="4"/>
        <v>97.627067653691142</v>
      </c>
      <c r="I128" s="47">
        <f t="shared" si="4"/>
        <v>97.563162283006989</v>
      </c>
      <c r="J128" s="47">
        <f t="shared" si="4"/>
        <v>96.767013539315329</v>
      </c>
      <c r="K128" s="47">
        <f t="shared" si="4"/>
        <v>39.944851838952758</v>
      </c>
    </row>
    <row r="129" spans="1:11" x14ac:dyDescent="0.2">
      <c r="C129" s="88" t="s">
        <v>150</v>
      </c>
      <c r="D129" s="116">
        <f t="shared" si="4"/>
        <v>96.54417429725882</v>
      </c>
      <c r="E129" s="116">
        <f t="shared" si="4"/>
        <v>97.410007447013584</v>
      </c>
      <c r="F129" s="116">
        <f t="shared" si="4"/>
        <v>88.28977299344659</v>
      </c>
      <c r="G129" s="116">
        <f t="shared" si="4"/>
        <v>89.624993204337429</v>
      </c>
      <c r="H129" s="116">
        <f t="shared" si="4"/>
        <v>65.712744932585977</v>
      </c>
      <c r="I129" s="116">
        <f t="shared" si="4"/>
        <v>88.516763700685203</v>
      </c>
      <c r="J129" s="116">
        <f t="shared" si="4"/>
        <v>94.176208166665759</v>
      </c>
      <c r="K129" s="116">
        <f t="shared" si="4"/>
        <v>31.261049182864092</v>
      </c>
    </row>
    <row r="130" spans="1:11" x14ac:dyDescent="0.2">
      <c r="C130" s="87" t="s">
        <v>151</v>
      </c>
      <c r="D130" s="47" t="str">
        <f t="shared" ref="D130:K131" si="5">+IFERROR(IF(D88&gt;0,+((D88/D45)*100)," "),"")</f>
        <v xml:space="preserve"> </v>
      </c>
      <c r="E130" s="47" t="str">
        <f t="shared" si="5"/>
        <v xml:space="preserve"> </v>
      </c>
      <c r="F130" s="47" t="str">
        <f t="shared" si="5"/>
        <v xml:space="preserve"> </v>
      </c>
      <c r="G130" s="47" t="str">
        <f t="shared" si="5"/>
        <v xml:space="preserve"> </v>
      </c>
      <c r="H130" s="47" t="str">
        <f t="shared" si="5"/>
        <v xml:space="preserve"> </v>
      </c>
      <c r="I130" s="47" t="str">
        <f t="shared" si="5"/>
        <v xml:space="preserve"> </v>
      </c>
      <c r="J130" s="47" t="str">
        <f t="shared" si="5"/>
        <v xml:space="preserve"> </v>
      </c>
      <c r="K130" s="47" t="str">
        <f t="shared" si="5"/>
        <v xml:space="preserve"> </v>
      </c>
    </row>
    <row r="131" spans="1:11" x14ac:dyDescent="0.2">
      <c r="C131" s="91" t="s">
        <v>202</v>
      </c>
      <c r="D131" s="64">
        <f t="shared" si="5"/>
        <v>96.121091240924827</v>
      </c>
      <c r="E131" s="64">
        <f t="shared" si="5"/>
        <v>96.161001565725059</v>
      </c>
      <c r="F131" s="64">
        <f t="shared" si="5"/>
        <v>87.67442014797426</v>
      </c>
      <c r="G131" s="64">
        <f t="shared" si="5"/>
        <v>89.043941367008827</v>
      </c>
      <c r="H131" s="64">
        <f t="shared" si="5"/>
        <v>85.719126932798119</v>
      </c>
      <c r="I131" s="64">
        <f t="shared" si="5"/>
        <v>92.89901580747069</v>
      </c>
      <c r="J131" s="64">
        <f t="shared" si="5"/>
        <v>95.466052552910014</v>
      </c>
      <c r="K131" s="64">
        <f t="shared" si="5"/>
        <v>48.312555444495771</v>
      </c>
    </row>
    <row r="132" spans="1:11" s="31" customFormat="1" x14ac:dyDescent="0.2">
      <c r="A132" s="5"/>
      <c r="B132" s="5"/>
      <c r="C132" s="72" t="str">
        <f>+'C1 Aprop Resumen 2000-2026'!B20</f>
        <v>* Información con corte a 30 de Junio</v>
      </c>
      <c r="D132" s="47"/>
      <c r="E132" s="47"/>
      <c r="F132" s="47"/>
      <c r="G132" s="47"/>
      <c r="H132" s="47"/>
      <c r="I132" s="47"/>
    </row>
    <row r="133" spans="1:11" x14ac:dyDescent="0.2">
      <c r="C133" s="1" t="s">
        <v>52</v>
      </c>
      <c r="D133" s="11"/>
      <c r="E133" s="11"/>
      <c r="F133" s="11"/>
    </row>
    <row r="134" spans="1:11" x14ac:dyDescent="0.2">
      <c r="D134" s="11"/>
      <c r="E134" s="11"/>
      <c r="F134" s="11"/>
    </row>
    <row r="135" spans="1:11" x14ac:dyDescent="0.2">
      <c r="E135" s="3"/>
      <c r="F135" s="3"/>
    </row>
    <row r="136" spans="1:11" x14ac:dyDescent="0.2">
      <c r="E136" s="3"/>
      <c r="F136" s="3"/>
    </row>
    <row r="137" spans="1:11" x14ac:dyDescent="0.2">
      <c r="E137" s="3"/>
      <c r="F137" s="3"/>
    </row>
    <row r="138" spans="1:11" ht="18" customHeight="1" x14ac:dyDescent="0.2">
      <c r="D138" s="164" t="s">
        <v>221</v>
      </c>
      <c r="E138" s="182"/>
      <c r="F138" s="182"/>
      <c r="G138" s="182"/>
      <c r="H138" s="182"/>
      <c r="I138" s="182"/>
      <c r="J138" s="182"/>
      <c r="K138" s="182"/>
    </row>
    <row r="139" spans="1:11" ht="15.75" customHeight="1" x14ac:dyDescent="0.2">
      <c r="C139" s="150"/>
      <c r="D139" s="150"/>
      <c r="E139" s="150"/>
      <c r="F139" s="150"/>
      <c r="G139" s="150"/>
      <c r="H139" s="150"/>
      <c r="I139" s="150"/>
      <c r="J139" s="150"/>
    </row>
    <row r="140" spans="1:11" x14ac:dyDescent="0.2">
      <c r="C140" s="181" t="s">
        <v>120</v>
      </c>
      <c r="D140" s="155">
        <v>2019</v>
      </c>
      <c r="E140" s="155">
        <v>2020</v>
      </c>
      <c r="F140" s="155">
        <v>2021</v>
      </c>
      <c r="G140" s="155">
        <v>2022</v>
      </c>
      <c r="H140" s="155">
        <v>2023</v>
      </c>
      <c r="I140" s="155">
        <v>2024</v>
      </c>
      <c r="J140" s="155">
        <v>2025</v>
      </c>
      <c r="K140" s="155" t="s">
        <v>36</v>
      </c>
    </row>
    <row r="141" spans="1:11" ht="12" customHeight="1" thickBot="1" x14ac:dyDescent="0.25">
      <c r="C141" s="162"/>
      <c r="D141" s="156"/>
      <c r="E141" s="156"/>
      <c r="F141" s="156"/>
      <c r="G141" s="156"/>
      <c r="H141" s="156"/>
      <c r="I141" s="156"/>
      <c r="J141" s="156"/>
      <c r="K141" s="156"/>
    </row>
    <row r="142" spans="1:11" x14ac:dyDescent="0.2">
      <c r="C142" s="87" t="s">
        <v>123</v>
      </c>
      <c r="D142" s="42">
        <f>41.96409278742*Deflactores!$T$5</f>
        <v>65.268628479702315</v>
      </c>
      <c r="E142" s="42">
        <f>74.51742666377*Deflactores!$U$5</f>
        <v>114.06385508283785</v>
      </c>
      <c r="F142" s="42">
        <f>74.01519493988*Deflactores!$V$5</f>
        <v>107.26670022750294</v>
      </c>
      <c r="G142" s="42">
        <f>56.764231846*Deflactores!$W$5</f>
        <v>72.724275329473471</v>
      </c>
      <c r="H142" s="42">
        <f>50.56056516597*Deflactores!$X$5</f>
        <v>59.275587985235049</v>
      </c>
      <c r="I142" s="42">
        <f>85.3398991934599*Deflactores!$Y$5</f>
        <v>95.104340108843502</v>
      </c>
      <c r="J142" s="42">
        <f>77.13760286199*Deflactores!$Z$5</f>
        <v>81.79135790405401</v>
      </c>
      <c r="K142" s="42">
        <f>15.76701661888*Deflactores!$AA$5</f>
        <v>15.76701661888</v>
      </c>
    </row>
    <row r="143" spans="1:11" x14ac:dyDescent="0.2">
      <c r="C143" s="88" t="s">
        <v>124</v>
      </c>
      <c r="D143" s="50">
        <f>93.01623465735*Deflactores!$T$5</f>
        <v>144.67230575401274</v>
      </c>
      <c r="E143" s="50">
        <f>104.99752546672*Deflactores!$U$5</f>
        <v>160.71975462775077</v>
      </c>
      <c r="F143" s="50">
        <f>117.46250216216*Deflactores!$V$5</f>
        <v>170.2328152703675</v>
      </c>
      <c r="G143" s="50">
        <f>126.96314278802*Deflactores!$W$5</f>
        <v>162.66057431836563</v>
      </c>
      <c r="H143" s="50">
        <f>124.859215757469*Deflactores!$X$5</f>
        <v>146.38094738665311</v>
      </c>
      <c r="I143" s="50">
        <f>132.997247495129*Deflactores!$Y$5</f>
        <v>148.21455824131229</v>
      </c>
      <c r="J143" s="50">
        <f>147.051085313179*Deflactores!$Z$5</f>
        <v>155.92276014265963</v>
      </c>
      <c r="K143" s="50">
        <f>54.8928733283399*Deflactores!$AA$5</f>
        <v>54.892873328339903</v>
      </c>
    </row>
    <row r="144" spans="1:11" x14ac:dyDescent="0.2">
      <c r="C144" s="87" t="s">
        <v>125</v>
      </c>
      <c r="D144" s="42">
        <f>0*Deflactores!$T$5</f>
        <v>0</v>
      </c>
      <c r="E144" s="42">
        <f>0*Deflactores!$U$5</f>
        <v>0</v>
      </c>
      <c r="F144" s="42">
        <f>0*Deflactores!$V$5</f>
        <v>0</v>
      </c>
      <c r="G144" s="42">
        <f>0*Deflactores!$W$5</f>
        <v>0</v>
      </c>
      <c r="H144" s="42">
        <f>0*Deflactores!$X$5</f>
        <v>0</v>
      </c>
      <c r="I144" s="42">
        <f>0*Deflactores!$Y$5</f>
        <v>0</v>
      </c>
      <c r="J144" s="42">
        <f>0*Deflactores!$Z$5</f>
        <v>0</v>
      </c>
      <c r="K144" s="42">
        <f>0*Deflactores!$AA$5</f>
        <v>0</v>
      </c>
    </row>
    <row r="145" spans="3:11" x14ac:dyDescent="0.2">
      <c r="C145" s="88" t="s">
        <v>126</v>
      </c>
      <c r="D145" s="50">
        <f>140.16522040577*Deflactores!$T$5</f>
        <v>218.00522991842914</v>
      </c>
      <c r="E145" s="50">
        <f>161.05927759773*Deflactores!$U$5</f>
        <v>246.53350125127085</v>
      </c>
      <c r="F145" s="50">
        <f>153.05495956203*Deflactores!$V$5</f>
        <v>221.8152702159116</v>
      </c>
      <c r="G145" s="50">
        <f>163.9514972188*Deflactores!$W$5</f>
        <v>210.04871266058734</v>
      </c>
      <c r="H145" s="50">
        <f>168.824329373229*Deflactores!$X$5</f>
        <v>197.92423911721818</v>
      </c>
      <c r="I145" s="50">
        <f>137.52569783*Deflactores!$Y$5</f>
        <v>153.26114588535518</v>
      </c>
      <c r="J145" s="50">
        <f>157.36177427804*Deflactores!$Z$5</f>
        <v>166.85549878209019</v>
      </c>
      <c r="K145" s="50">
        <f>38.2422676586499*Deflactores!$AA$5</f>
        <v>38.242267658649901</v>
      </c>
    </row>
    <row r="146" spans="3:11" x14ac:dyDescent="0.2">
      <c r="C146" s="87" t="s">
        <v>127</v>
      </c>
      <c r="D146" s="42">
        <f>0*Deflactores!$T$5</f>
        <v>0</v>
      </c>
      <c r="E146" s="42">
        <f>0*Deflactores!$U$5</f>
        <v>0</v>
      </c>
      <c r="F146" s="42">
        <f>0*Deflactores!$V$5</f>
        <v>0</v>
      </c>
      <c r="G146" s="42">
        <f>0*Deflactores!$W$5</f>
        <v>0</v>
      </c>
      <c r="H146" s="42">
        <f>0*Deflactores!$X$5</f>
        <v>0</v>
      </c>
      <c r="I146" s="42">
        <f>0*Deflactores!$Y$5</f>
        <v>0</v>
      </c>
      <c r="J146" s="42">
        <f>0*Deflactores!$Z$5</f>
        <v>0</v>
      </c>
      <c r="K146" s="42">
        <f>0*Deflactores!$AA$5</f>
        <v>0</v>
      </c>
    </row>
    <row r="147" spans="3:11" x14ac:dyDescent="0.2">
      <c r="C147" s="88" t="s">
        <v>128</v>
      </c>
      <c r="D147" s="50">
        <f>6.43345982875*Deflactores!$T$5</f>
        <v>10.006247520443278</v>
      </c>
      <c r="E147" s="50">
        <f>7.06908484053999*Deflactores!$U$5</f>
        <v>10.820651019765709</v>
      </c>
      <c r="F147" s="50">
        <f>6.34034872044*Deflactores!$V$5</f>
        <v>9.1887657133876068</v>
      </c>
      <c r="G147" s="50">
        <f>8.65721675975*Deflactores!$W$5</f>
        <v>11.09131216522146</v>
      </c>
      <c r="H147" s="50">
        <f>8.33769585292*Deflactores!$X$5</f>
        <v>9.7748477000120033</v>
      </c>
      <c r="I147" s="50">
        <f>7.87208562*Deflactores!$Y$5</f>
        <v>8.7727957877385343</v>
      </c>
      <c r="J147" s="50">
        <f>13.68878103386*Deflactores!$Z$5</f>
        <v>14.514632906260182</v>
      </c>
      <c r="K147" s="50">
        <f>3.28781722297*Deflactores!$AA$5</f>
        <v>3.2878172229699998</v>
      </c>
    </row>
    <row r="148" spans="3:11" x14ac:dyDescent="0.2">
      <c r="C148" s="87" t="s">
        <v>129</v>
      </c>
      <c r="D148" s="42">
        <f>63.55062831185*Deflactores!$T$5</f>
        <v>98.843131673306075</v>
      </c>
      <c r="E148" s="42">
        <f>47.07621252714*Deflactores!$U$5</f>
        <v>72.059577523700128</v>
      </c>
      <c r="F148" s="42">
        <f>49.97892776228*Deflactores!$V$5</f>
        <v>72.432081903224457</v>
      </c>
      <c r="G148" s="42">
        <f>33.39282977019*Deflactores!$W$5</f>
        <v>42.781682536036335</v>
      </c>
      <c r="H148" s="42">
        <f>24.98206550353*Deflactores!$X$5</f>
        <v>29.288173835605669</v>
      </c>
      <c r="I148" s="42">
        <f>52.1461506156199*Deflactores!$Y$5</f>
        <v>58.112621298888961</v>
      </c>
      <c r="J148" s="42">
        <f>78.91646559043*Deflactores!$Z$5</f>
        <v>83.677540423159883</v>
      </c>
      <c r="K148" s="42">
        <f>6.10009646837*Deflactores!$AA$5</f>
        <v>6.1000964683700003</v>
      </c>
    </row>
    <row r="149" spans="3:11" x14ac:dyDescent="0.2">
      <c r="C149" s="88" t="s">
        <v>130</v>
      </c>
      <c r="D149" s="50">
        <f>0*Deflactores!$T$5</f>
        <v>0</v>
      </c>
      <c r="E149" s="50">
        <f>0*Deflactores!$U$5</f>
        <v>0</v>
      </c>
      <c r="F149" s="50">
        <f>0*Deflactores!$V$5</f>
        <v>0</v>
      </c>
      <c r="G149" s="50">
        <f>0*Deflactores!$W$5</f>
        <v>0</v>
      </c>
      <c r="H149" s="50">
        <f>0*Deflactores!$X$5</f>
        <v>0</v>
      </c>
      <c r="I149" s="50">
        <f>0*Deflactores!$Y$5</f>
        <v>0</v>
      </c>
      <c r="J149" s="50">
        <f>0*Deflactores!$Z$5</f>
        <v>0</v>
      </c>
      <c r="K149" s="50">
        <f>0*Deflactores!$AA$5</f>
        <v>0</v>
      </c>
    </row>
    <row r="150" spans="3:11" x14ac:dyDescent="0.2">
      <c r="C150" s="87" t="s">
        <v>131</v>
      </c>
      <c r="D150" s="42">
        <f>6.97506142078*Deflactores!$T$5</f>
        <v>10.848624675438476</v>
      </c>
      <c r="E150" s="42">
        <f>4.10223496773999*Deflactores!$U$5</f>
        <v>6.2792927215177565</v>
      </c>
      <c r="F150" s="42">
        <f>5.91489194552*Deflactores!$V$5</f>
        <v>8.5721714536254936</v>
      </c>
      <c r="G150" s="42">
        <f>7.38269753014*Deflactores!$W$5</f>
        <v>9.4584443477139892</v>
      </c>
      <c r="H150" s="42">
        <f>10.80001355219*Deflactores!$X$5</f>
        <v>12.66159014348683</v>
      </c>
      <c r="I150" s="42">
        <f>14.13271113693*Deflactores!$Y$5</f>
        <v>15.749751046455842</v>
      </c>
      <c r="J150" s="42">
        <f>15.17574406081*Deflactores!$Z$5</f>
        <v>16.091305250421041</v>
      </c>
      <c r="K150" s="42">
        <f>5.24360669664*Deflactores!$AA$5</f>
        <v>5.2436066966399997</v>
      </c>
    </row>
    <row r="151" spans="3:11" x14ac:dyDescent="0.2">
      <c r="C151" s="88" t="s">
        <v>132</v>
      </c>
      <c r="D151" s="50">
        <f>257.78253857751*Deflactores!$T$5</f>
        <v>400.94070004567965</v>
      </c>
      <c r="E151" s="50">
        <f>149.984414030639*Deflactores!$U$5</f>
        <v>229.58120311732242</v>
      </c>
      <c r="F151" s="50">
        <f>185.60806173229*Deflactores!$V$5</f>
        <v>268.99293224610517</v>
      </c>
      <c r="G151" s="50">
        <f>192.06985516198*Deflactores!$W$5</f>
        <v>246.07293316656089</v>
      </c>
      <c r="H151" s="50">
        <f>229.79695981942*Deflactores!$X$5</f>
        <v>269.4065991114249</v>
      </c>
      <c r="I151" s="50">
        <f>300.272933158819*Deflactores!$Y$5</f>
        <v>334.62963315528344</v>
      </c>
      <c r="J151" s="50">
        <f>309.75434429697*Deflactores!$Z$5</f>
        <v>328.4419984123349</v>
      </c>
      <c r="K151" s="50">
        <f>98.98868953564*Deflactores!$AA$5</f>
        <v>98.988689535640006</v>
      </c>
    </row>
    <row r="152" spans="3:11" x14ac:dyDescent="0.2">
      <c r="C152" s="87" t="s">
        <v>133</v>
      </c>
      <c r="D152" s="42">
        <f>47.4381466298499*Deflactores!$T$5</f>
        <v>73.782669003093559</v>
      </c>
      <c r="E152" s="42">
        <f>36.82885806522*Deflactores!$U$5</f>
        <v>56.373947911168081</v>
      </c>
      <c r="F152" s="42">
        <f>65.17971098343*Deflactores!$V$5</f>
        <v>94.461853740355778</v>
      </c>
      <c r="G152" s="42">
        <f>20.57370866746*Deflactores!$W$5</f>
        <v>26.358289454879127</v>
      </c>
      <c r="H152" s="42">
        <f>29.56197196587*Deflactores!$X$5</f>
        <v>34.65750955369807</v>
      </c>
      <c r="I152" s="42">
        <f>23.7866736446599*Deflactores!$Y$5</f>
        <v>26.508302936139</v>
      </c>
      <c r="J152" s="42">
        <f>16.8153209250399*Deflactores!$Z$5</f>
        <v>17.82979871065163</v>
      </c>
      <c r="K152" s="42">
        <f>1.65916857087*Deflactores!$AA$5</f>
        <v>1.6591685708699999</v>
      </c>
    </row>
    <row r="153" spans="3:11" x14ac:dyDescent="0.2">
      <c r="C153" s="88" t="s">
        <v>134</v>
      </c>
      <c r="D153" s="50">
        <f>31.7587157341499*Deflactores!$T$5</f>
        <v>49.395749569644089</v>
      </c>
      <c r="E153" s="50">
        <f>40.6305887834199*Deflactores!$U$5</f>
        <v>62.193258656577399</v>
      </c>
      <c r="F153" s="50">
        <f>44.29888647475*Deflactores!$V$5</f>
        <v>64.200268333534922</v>
      </c>
      <c r="G153" s="50">
        <f>74.98013620281*Deflactores!$W$5</f>
        <v>96.061831405524842</v>
      </c>
      <c r="H153" s="50">
        <f>68.05730207318*Deflactores!$X$5</f>
        <v>79.788202205296813</v>
      </c>
      <c r="I153" s="50">
        <f>69.92424229421*Deflactores!$Y$5</f>
        <v>77.924850906214388</v>
      </c>
      <c r="J153" s="50">
        <f>62.17346713813*Deflactores!$Z$5</f>
        <v>65.924427440776981</v>
      </c>
      <c r="K153" s="50">
        <f>34.9590777178*Deflactores!$AA$5</f>
        <v>34.9590777178</v>
      </c>
    </row>
    <row r="154" spans="3:11" x14ac:dyDescent="0.2">
      <c r="C154" s="87" t="s">
        <v>135</v>
      </c>
      <c r="D154" s="42">
        <f>0*Deflactores!$T$5</f>
        <v>0</v>
      </c>
      <c r="E154" s="42">
        <f>0*Deflactores!$U$5</f>
        <v>0</v>
      </c>
      <c r="F154" s="42">
        <f>0*Deflactores!$V$5</f>
        <v>0</v>
      </c>
      <c r="G154" s="42">
        <f>0*Deflactores!$W$5</f>
        <v>0</v>
      </c>
      <c r="H154" s="42">
        <f>0*Deflactores!$X$5</f>
        <v>0</v>
      </c>
      <c r="I154" s="42">
        <f>3101.40622420866*Deflactores!$Y$5</f>
        <v>3456.2636603797264</v>
      </c>
      <c r="J154" s="42">
        <f>3096.04990098183*Deflactores!$Z$5</f>
        <v>3282.8363359058494</v>
      </c>
      <c r="K154" s="42">
        <f>1411.43565520247*Deflactores!$AA$5</f>
        <v>1411.4356552024699</v>
      </c>
    </row>
    <row r="155" spans="3:11" x14ac:dyDescent="0.2">
      <c r="C155" s="88" t="s">
        <v>136</v>
      </c>
      <c r="D155" s="50">
        <f>1886.99029474324*Deflactores!$T$5</f>
        <v>2934.9203166694406</v>
      </c>
      <c r="E155" s="50">
        <f>1786.79249784525*Deflactores!$U$5</f>
        <v>2735.0439979218054</v>
      </c>
      <c r="F155" s="50">
        <f>1919.03908744725*Deflactores!$V$5</f>
        <v>2781.1720375156615</v>
      </c>
      <c r="G155" s="50">
        <f>2258.97120529057*Deflactores!$W$5</f>
        <v>2894.1119883485294</v>
      </c>
      <c r="H155" s="50">
        <f>2797.75054855696*Deflactores!$X$5</f>
        <v>3279.9931776345311</v>
      </c>
      <c r="I155" s="50">
        <f>0*Deflactores!$Y$5</f>
        <v>0</v>
      </c>
      <c r="J155" s="50">
        <f>0*Deflactores!$Z$5</f>
        <v>0</v>
      </c>
      <c r="K155" s="50">
        <f>0*Deflactores!$AA$5</f>
        <v>0</v>
      </c>
    </row>
    <row r="156" spans="3:11" x14ac:dyDescent="0.2">
      <c r="C156" s="87" t="s">
        <v>137</v>
      </c>
      <c r="D156" s="42">
        <f>24.27991061919*Deflactores!$T$5</f>
        <v>37.763629819238162</v>
      </c>
      <c r="E156" s="42">
        <f>23.34472846097*Deflactores!$U$5</f>
        <v>35.733785281328259</v>
      </c>
      <c r="F156" s="42">
        <f>52.57937800436*Deflactores!$V$5</f>
        <v>76.200790704171453</v>
      </c>
      <c r="G156" s="42">
        <f>25.50644994554*Deflactores!$W$5</f>
        <v>32.677938698250813</v>
      </c>
      <c r="H156" s="42">
        <f>10.18298531601*Deflactores!$X$5</f>
        <v>11.9382059925581</v>
      </c>
      <c r="I156" s="42">
        <f>35.98745374019*Deflactores!$Y$5</f>
        <v>40.105074795080064</v>
      </c>
      <c r="J156" s="42">
        <f>35.75969092246*Deflactores!$Z$5</f>
        <v>37.917093223783674</v>
      </c>
      <c r="K156" s="42">
        <f>19.54249252896*Deflactores!$AA$5</f>
        <v>19.54249252896</v>
      </c>
    </row>
    <row r="157" spans="3:11" x14ac:dyDescent="0.2">
      <c r="C157" s="88" t="s">
        <v>138</v>
      </c>
      <c r="D157" s="50">
        <f>0*Deflactores!$T$5</f>
        <v>0</v>
      </c>
      <c r="E157" s="50">
        <f>0*Deflactores!$U$5</f>
        <v>0</v>
      </c>
      <c r="F157" s="50">
        <f>0*Deflactores!$V$5</f>
        <v>0</v>
      </c>
      <c r="G157" s="50">
        <f>0*Deflactores!$W$5</f>
        <v>0</v>
      </c>
      <c r="H157" s="50">
        <f>0*Deflactores!$X$5</f>
        <v>0</v>
      </c>
      <c r="I157" s="50">
        <f>0*Deflactores!$Y$5</f>
        <v>0</v>
      </c>
      <c r="J157" s="50">
        <f>0*Deflactores!$Z$5</f>
        <v>0</v>
      </c>
      <c r="K157" s="50">
        <f>0*Deflactores!$AA$5</f>
        <v>0</v>
      </c>
    </row>
    <row r="158" spans="3:11" x14ac:dyDescent="0.2">
      <c r="C158" s="87" t="s">
        <v>160</v>
      </c>
      <c r="D158" s="42">
        <f>0*Deflactores!$T$5</f>
        <v>0</v>
      </c>
      <c r="E158" s="42">
        <f>0*Deflactores!$U$5</f>
        <v>0</v>
      </c>
      <c r="F158" s="42">
        <f>0*Deflactores!$V$5</f>
        <v>0</v>
      </c>
      <c r="G158" s="42">
        <f>0*Deflactores!$W$5</f>
        <v>0</v>
      </c>
      <c r="H158" s="42">
        <f>0*Deflactores!$X$5</f>
        <v>0</v>
      </c>
      <c r="I158" s="42">
        <f>0*Deflactores!$Y$5</f>
        <v>0</v>
      </c>
      <c r="J158" s="42">
        <f>0*Deflactores!$Z$5</f>
        <v>0</v>
      </c>
      <c r="K158" s="42">
        <f>0*Deflactores!$AA$5</f>
        <v>0</v>
      </c>
    </row>
    <row r="159" spans="3:11" x14ac:dyDescent="0.2">
      <c r="C159" s="88" t="s">
        <v>161</v>
      </c>
      <c r="D159" s="50">
        <f>47.11096594972*Deflactores!$T$5</f>
        <v>73.273790272763023</v>
      </c>
      <c r="E159" s="50">
        <f>31.40012886251*Deflactores!$U$5</f>
        <v>48.064189928570634</v>
      </c>
      <c r="F159" s="50">
        <f>43.2827121*Deflactores!$V$5</f>
        <v>62.727575163926751</v>
      </c>
      <c r="G159" s="50">
        <f>86.3323813789099*Deflactores!$W$5</f>
        <v>110.6059162446215</v>
      </c>
      <c r="H159" s="50">
        <f>91.05007594703*Deflactores!$X$5</f>
        <v>106.74419421824452</v>
      </c>
      <c r="I159" s="50">
        <f>111.12206657677*Deflactores!$Y$5</f>
        <v>123.83645766158331</v>
      </c>
      <c r="J159" s="50">
        <f>154.43816694783*Deflactores!$Z$5</f>
        <v>163.75550857440962</v>
      </c>
      <c r="K159" s="50">
        <f>25.6809220376*Deflactores!$AA$5</f>
        <v>25.680922037599998</v>
      </c>
    </row>
    <row r="160" spans="3:11" x14ac:dyDescent="0.2">
      <c r="C160" s="87" t="s">
        <v>140</v>
      </c>
      <c r="D160" s="42">
        <f>252.911817751409*Deflactores!$T$5</f>
        <v>393.36505031967295</v>
      </c>
      <c r="E160" s="42">
        <f>123.47086796256*Deflactores!$U$5</f>
        <v>188.99690744528903</v>
      </c>
      <c r="F160" s="42">
        <f>324.929206469159*Deflactores!$V$5</f>
        <v>470.90443811974632</v>
      </c>
      <c r="G160" s="42">
        <f>336.997520192819*Deflactores!$W$5</f>
        <v>431.74900191271348</v>
      </c>
      <c r="H160" s="42">
        <f>213.09474133983*Deflactores!$X$5</f>
        <v>249.8254528606725</v>
      </c>
      <c r="I160" s="42">
        <f>402.88132446838*Deflactores!$Y$5</f>
        <v>448.97829582482689</v>
      </c>
      <c r="J160" s="42">
        <f>387.752853259039*Deflactores!$Z$5</f>
        <v>411.14620136654338</v>
      </c>
      <c r="K160" s="42">
        <f>32.1135864768*Deflactores!$AA$5</f>
        <v>32.113586476800002</v>
      </c>
    </row>
    <row r="161" spans="1:11" x14ac:dyDescent="0.2">
      <c r="C161" s="88" t="s">
        <v>141</v>
      </c>
      <c r="D161" s="50">
        <f>0*Deflactores!$T$5</f>
        <v>0</v>
      </c>
      <c r="E161" s="50">
        <f>0*Deflactores!$U$5</f>
        <v>0</v>
      </c>
      <c r="F161" s="50">
        <f>0*Deflactores!$V$5</f>
        <v>0</v>
      </c>
      <c r="G161" s="50">
        <f>0*Deflactores!$W$5</f>
        <v>0</v>
      </c>
      <c r="H161" s="50">
        <f>0*Deflactores!$X$5</f>
        <v>0</v>
      </c>
      <c r="I161" s="50">
        <f>0*Deflactores!$Y$5</f>
        <v>0</v>
      </c>
      <c r="J161" s="50">
        <f>0*Deflactores!$Z$5</f>
        <v>0</v>
      </c>
      <c r="K161" s="50">
        <f>0*Deflactores!$AA$5</f>
        <v>0</v>
      </c>
    </row>
    <row r="162" spans="1:11" x14ac:dyDescent="0.2">
      <c r="C162" s="87" t="s">
        <v>142</v>
      </c>
      <c r="D162" s="42">
        <f>19.60636776143*Deflactores!$T$5</f>
        <v>30.494659797359191</v>
      </c>
      <c r="E162" s="42">
        <f>21.66352296682*Deflactores!$U$5</f>
        <v>33.160363352596633</v>
      </c>
      <c r="F162" s="42">
        <f>19.1582703819899*Deflactores!$V$5</f>
        <v>27.765169673762269</v>
      </c>
      <c r="G162" s="42">
        <f>25.93439401915*Deflactores!$W$5</f>
        <v>33.226205126294147</v>
      </c>
      <c r="H162" s="42">
        <f>20.39367335491*Deflactores!$X$5</f>
        <v>23.90888977057422</v>
      </c>
      <c r="I162" s="42">
        <f>23.22626359915*Deflactores!$Y$5</f>
        <v>25.883771760542409</v>
      </c>
      <c r="J162" s="42">
        <f>16.39045546012*Deflactores!$Z$5</f>
        <v>17.379300872852482</v>
      </c>
      <c r="K162" s="42">
        <f>10.41473926923*Deflactores!$AA$5</f>
        <v>10.414739269229999</v>
      </c>
    </row>
    <row r="163" spans="1:11" x14ac:dyDescent="0.2">
      <c r="C163" s="88" t="s">
        <v>143</v>
      </c>
      <c r="D163" s="50">
        <f>34.30997968523*Deflactores!$T$5</f>
        <v>53.363844383947402</v>
      </c>
      <c r="E163" s="50">
        <f>9.04283904153*Deflactores!$U$5</f>
        <v>13.841877372182491</v>
      </c>
      <c r="F163" s="50">
        <f>49.19915078136*Deflactores!$V$5</f>
        <v>71.301988228208202</v>
      </c>
      <c r="G163" s="50">
        <f>69.58122759627*Deflactores!$W$5</f>
        <v>89.14494548613321</v>
      </c>
      <c r="H163" s="50">
        <f>6.69139617581*Deflactores!$X$5</f>
        <v>7.8447786622102242</v>
      </c>
      <c r="I163" s="50">
        <f>9.3469045964*Deflactores!$Y$5</f>
        <v>10.416360953108112</v>
      </c>
      <c r="J163" s="50">
        <f>4.44491553261*Deflactores!$Z$5</f>
        <v>4.7130797910773223</v>
      </c>
      <c r="K163" s="50">
        <f>1.74264593479999*Deflactores!$AA$5</f>
        <v>1.7426459347999901</v>
      </c>
    </row>
    <row r="164" spans="1:11" x14ac:dyDescent="0.2">
      <c r="C164" s="87" t="s">
        <v>144</v>
      </c>
      <c r="D164" s="42">
        <f>0*Deflactores!$T$5</f>
        <v>0</v>
      </c>
      <c r="E164" s="42">
        <f>0*Deflactores!$U$5</f>
        <v>0</v>
      </c>
      <c r="F164" s="42">
        <f>0*Deflactores!$V$5</f>
        <v>0</v>
      </c>
      <c r="G164" s="42">
        <f>0*Deflactores!$W$5</f>
        <v>0</v>
      </c>
      <c r="H164" s="42">
        <f>0*Deflactores!$X$5</f>
        <v>0</v>
      </c>
      <c r="I164" s="42">
        <f>0*Deflactores!$Y$5</f>
        <v>0</v>
      </c>
      <c r="J164" s="42">
        <f>0*Deflactores!$Z$5</f>
        <v>0</v>
      </c>
      <c r="K164" s="42">
        <f>0*Deflactores!$AA$5</f>
        <v>0</v>
      </c>
    </row>
    <row r="165" spans="1:11" x14ac:dyDescent="0.2">
      <c r="C165" s="88" t="s">
        <v>145</v>
      </c>
      <c r="D165" s="50">
        <f>45.6700444313399*Deflactores!$T$5</f>
        <v>71.032660654449145</v>
      </c>
      <c r="E165" s="50">
        <f>30.363787967*Deflactores!$U$5</f>
        <v>46.477862501360327</v>
      </c>
      <c r="F165" s="50">
        <f>28.8154713565799*Deflactores!$V$5</f>
        <v>41.760891536273299</v>
      </c>
      <c r="G165" s="50">
        <f>48.76373414399*Deflactores!$W$5</f>
        <v>62.474327805612198</v>
      </c>
      <c r="H165" s="50">
        <f>72.4427048444*Deflactores!$X$5</f>
        <v>84.929508022643645</v>
      </c>
      <c r="I165" s="50">
        <f>55.58991133205*Deflactores!$Y$5</f>
        <v>61.950411049335983</v>
      </c>
      <c r="J165" s="50">
        <f>99.78353205347*Deflactores!$Z$5</f>
        <v>105.80352876298159</v>
      </c>
      <c r="K165" s="50">
        <f>34.658028317*Deflactores!$AA$5</f>
        <v>34.658028317000003</v>
      </c>
    </row>
    <row r="166" spans="1:11" x14ac:dyDescent="0.2">
      <c r="C166" s="87" t="s">
        <v>146</v>
      </c>
      <c r="D166" s="42">
        <f>9.07949346261*Deflactores!$T$5</f>
        <v>14.121741856710161</v>
      </c>
      <c r="E166" s="42">
        <f>3.07043943761*Deflactores!$U$5</f>
        <v>4.6999228869299561</v>
      </c>
      <c r="F166" s="42">
        <f>1.14634178*Deflactores!$V$5</f>
        <v>1.6613385963976963</v>
      </c>
      <c r="G166" s="42">
        <f>1.072998397*Deflactores!$W$5</f>
        <v>1.374686634767003</v>
      </c>
      <c r="H166" s="42">
        <f>17.83676064037*Deflactores!$X$5</f>
        <v>20.911247159504441</v>
      </c>
      <c r="I166" s="42">
        <f>52.23924751814*Deflactores!$Y$5</f>
        <v>58.216370184978921</v>
      </c>
      <c r="J166" s="42">
        <f>136.0220349676*Deflactores!$Z$5</f>
        <v>144.22832097566825</v>
      </c>
      <c r="K166" s="42">
        <f>37.4356344020899*Deflactores!$AA$5</f>
        <v>37.435634402089903</v>
      </c>
    </row>
    <row r="167" spans="1:11" x14ac:dyDescent="0.2">
      <c r="C167" s="88" t="s">
        <v>162</v>
      </c>
      <c r="D167" s="50">
        <f>96.6940808097099*Deflactores!$T$5</f>
        <v>150.39262420197505</v>
      </c>
      <c r="E167" s="50">
        <f>104.48842286789*Deflactores!$U$5</f>
        <v>159.94047107415651</v>
      </c>
      <c r="F167" s="50">
        <f>109.73119487096*Deflactores!$V$5</f>
        <v>159.02819948511583</v>
      </c>
      <c r="G167" s="50">
        <f>120.330471537979*Deflactores!$W$5</f>
        <v>154.16303644158285</v>
      </c>
      <c r="H167" s="50">
        <f>134.09033492299*Deflactores!$X$5</f>
        <v>157.20321597684503</v>
      </c>
      <c r="I167" s="50">
        <f>140.23862329668*Deflactores!$Y$5</f>
        <v>156.28447950434835</v>
      </c>
      <c r="J167" s="50">
        <f>134.63957693876*Deflactores!$Z$5</f>
        <v>142.76245847503432</v>
      </c>
      <c r="K167" s="50">
        <f>86.23652771085*Deflactores!$AA$5</f>
        <v>86.236527710849998</v>
      </c>
    </row>
    <row r="168" spans="1:11" x14ac:dyDescent="0.2">
      <c r="C168" s="87" t="s">
        <v>148</v>
      </c>
      <c r="D168" s="42">
        <f>0*Deflactores!$T$5</f>
        <v>0</v>
      </c>
      <c r="E168" s="42">
        <f>0*Deflactores!$U$5</f>
        <v>0</v>
      </c>
      <c r="F168" s="42">
        <f>0*Deflactores!$V$5</f>
        <v>0</v>
      </c>
      <c r="G168" s="42">
        <f>0*Deflactores!$W$5</f>
        <v>0</v>
      </c>
      <c r="H168" s="42">
        <f>0*Deflactores!$X$5</f>
        <v>0</v>
      </c>
      <c r="I168" s="42">
        <f>0*Deflactores!$Y$5</f>
        <v>0</v>
      </c>
      <c r="J168" s="42">
        <f>0*Deflactores!$Z$5</f>
        <v>0</v>
      </c>
      <c r="K168" s="42">
        <f>0*Deflactores!$AA$5</f>
        <v>0</v>
      </c>
    </row>
    <row r="169" spans="1:11" x14ac:dyDescent="0.2">
      <c r="C169" s="88" t="s">
        <v>149</v>
      </c>
      <c r="D169" s="50">
        <f>990.050903790369*Deflactores!$T$5</f>
        <v>1539.8704064170468</v>
      </c>
      <c r="E169" s="50">
        <f>1194.63780418195*Deflactores!$U$5</f>
        <v>1828.6325692314995</v>
      </c>
      <c r="F169" s="50">
        <f>1257.11616873044*Deflactores!$V$5</f>
        <v>1821.8786471059955</v>
      </c>
      <c r="G169" s="50">
        <f>1234.44921388694*Deflactores!$W$5</f>
        <v>1581.5315664716784</v>
      </c>
      <c r="H169" s="50">
        <f>1328.28218429712*Deflactores!$X$5</f>
        <v>1557.2355100475986</v>
      </c>
      <c r="I169" s="50">
        <f>1965.83308838625*Deflactores!$Y$5</f>
        <v>2190.7602469892763</v>
      </c>
      <c r="J169" s="50">
        <f>941.40905160411*Deflactores!$Z$5</f>
        <v>998.20479010256577</v>
      </c>
      <c r="K169" s="50">
        <f>739.39630484422*Deflactores!$AA$5</f>
        <v>739.39630484422003</v>
      </c>
    </row>
    <row r="170" spans="1:11" x14ac:dyDescent="0.2">
      <c r="C170" s="87" t="s">
        <v>163</v>
      </c>
      <c r="D170" s="42">
        <f>1369.79069781851*Deflactores!$T$5</f>
        <v>2130.4966749494497</v>
      </c>
      <c r="E170" s="42">
        <f>1387.69065948355*Deflactores!$U$5</f>
        <v>2124.1386527924328</v>
      </c>
      <c r="F170" s="42">
        <f>1436.03947994498*Deflactores!$V$5</f>
        <v>2081.1836885012344</v>
      </c>
      <c r="G170" s="42">
        <f>1553.04516680285*Deflactores!$W$5</f>
        <v>1989.705147708034</v>
      </c>
      <c r="H170" s="42">
        <f>2021.83341377527*Deflactores!$X$5</f>
        <v>2370.3327685582635</v>
      </c>
      <c r="I170" s="42">
        <f>1962.80050854738*Deflactores!$Y$5</f>
        <v>2187.3806847079886</v>
      </c>
      <c r="J170" s="42">
        <f>2565.12459232146*Deflactores!$Z$5</f>
        <v>2719.880004236401</v>
      </c>
      <c r="K170" s="42">
        <f>796.73184890807*Deflactores!$AA$5</f>
        <v>796.73184890806999</v>
      </c>
    </row>
    <row r="171" spans="1:11" x14ac:dyDescent="0.2">
      <c r="C171" s="88" t="s">
        <v>150</v>
      </c>
      <c r="D171" s="50">
        <f>1493.82307332468*Deflactores!$T$5</f>
        <v>2323.4097703754992</v>
      </c>
      <c r="E171" s="50">
        <f>1387.25391226702*Deflactores!$U$5</f>
        <v>2123.4701236517412</v>
      </c>
      <c r="F171" s="50">
        <f>1655.13366344163*Deflactores!$V$5</f>
        <v>2398.7064636802252</v>
      </c>
      <c r="G171" s="50">
        <f>1216.39529260637*Deflactores!$W$5</f>
        <v>1558.401537238713</v>
      </c>
      <c r="H171" s="50">
        <f>929.26088947263*Deflactores!$X$5</f>
        <v>1089.4357180217235</v>
      </c>
      <c r="I171" s="50">
        <f>1508.90228064791*Deflactores!$Y$5</f>
        <v>1681.5482212421684</v>
      </c>
      <c r="J171" s="50">
        <f>2099.74257744593*Deflactores!$Z$5</f>
        <v>2226.4212301946854</v>
      </c>
      <c r="K171" s="50">
        <f>538.03270991238*Deflactores!$AA$5</f>
        <v>538.03270991238003</v>
      </c>
    </row>
    <row r="172" spans="1:11" x14ac:dyDescent="0.2">
      <c r="C172" s="87" t="s">
        <v>151</v>
      </c>
      <c r="D172" s="42">
        <f>0*Deflactores!$T$5</f>
        <v>0</v>
      </c>
      <c r="E172" s="42">
        <f>0*Deflactores!$U$5</f>
        <v>0</v>
      </c>
      <c r="F172" s="42">
        <f>0*Deflactores!$V$5</f>
        <v>0</v>
      </c>
      <c r="G172" s="42">
        <f>0*Deflactores!$W$5</f>
        <v>0</v>
      </c>
      <c r="H172" s="42">
        <f>0*Deflactores!$X$5</f>
        <v>0</v>
      </c>
      <c r="I172" s="42">
        <f>0*Deflactores!$Y$5</f>
        <v>0</v>
      </c>
      <c r="J172" s="42">
        <f>0*Deflactores!$Z$5</f>
        <v>0</v>
      </c>
      <c r="K172" s="42">
        <f>0*Deflactores!$AA$5</f>
        <v>0</v>
      </c>
    </row>
    <row r="173" spans="1:11" x14ac:dyDescent="0.2">
      <c r="C173" s="79" t="s">
        <v>202</v>
      </c>
      <c r="D173" s="44">
        <f t="shared" ref="D173:K173" si="6">+SUM(D142:D172)</f>
        <v>10824.268456357302</v>
      </c>
      <c r="E173" s="44">
        <f t="shared" si="6"/>
        <v>10300.825765351803</v>
      </c>
      <c r="F173" s="44">
        <f t="shared" si="6"/>
        <v>11011.454087414731</v>
      </c>
      <c r="G173" s="44">
        <f t="shared" si="6"/>
        <v>9816.424353501292</v>
      </c>
      <c r="H173" s="44">
        <f t="shared" si="6"/>
        <v>9799.4603639640009</v>
      </c>
      <c r="I173" s="44">
        <f t="shared" si="6"/>
        <v>11359.902034419194</v>
      </c>
      <c r="J173" s="44">
        <f t="shared" si="6"/>
        <v>11186.097172454261</v>
      </c>
      <c r="K173" s="44">
        <f t="shared" si="6"/>
        <v>3992.5617093626297</v>
      </c>
    </row>
    <row r="174" spans="1:11" s="31" customFormat="1" x14ac:dyDescent="0.2">
      <c r="A174" s="5"/>
      <c r="B174" s="5"/>
      <c r="C174" s="72" t="str">
        <f>+'C1 Aprop Resumen 2000-2026'!B20</f>
        <v>* Información con corte a 30 de Junio</v>
      </c>
      <c r="D174" s="121">
        <f>+D173-'C7 Ejec. Prop 19-26'!D97</f>
        <v>-1.8189894035458565E-11</v>
      </c>
      <c r="E174" s="121">
        <f>+E173-'C7 Ejec. Prop 19-26'!E97</f>
        <v>-3.2741809263825417E-11</v>
      </c>
      <c r="F174" s="121">
        <f>+F173-'C7 Ejec. Prop 19-26'!F97</f>
        <v>-4.7293724492192268E-11</v>
      </c>
      <c r="G174" s="121">
        <f>+G173-'C7 Ejec. Prop 19-26'!G97</f>
        <v>-2.9103830456733704E-11</v>
      </c>
      <c r="H174" s="121">
        <f>+H173-'C7 Ejec. Prop 19-26'!H97</f>
        <v>0</v>
      </c>
      <c r="I174" s="121">
        <f>+I173-'C7 Ejec. Prop 19-26'!I97</f>
        <v>-1.4551915228366852E-11</v>
      </c>
      <c r="J174" s="121">
        <f>+J173-'C7 Ejec. Prop 19-26'!J97</f>
        <v>7.2759576141834259E-11</v>
      </c>
      <c r="K174" s="121">
        <f>+K173-'C7 Ejec. Prop 19-26'!K97</f>
        <v>0</v>
      </c>
    </row>
    <row r="175" spans="1:11" x14ac:dyDescent="0.2">
      <c r="C175" s="1" t="s">
        <v>52</v>
      </c>
      <c r="D175" s="11"/>
      <c r="E175" s="11"/>
      <c r="F175" s="11"/>
    </row>
    <row r="176" spans="1:11" x14ac:dyDescent="0.2">
      <c r="B176" s="9"/>
      <c r="D176" s="11"/>
      <c r="E176" s="11"/>
      <c r="F176" s="11"/>
    </row>
    <row r="177" spans="3:11" x14ac:dyDescent="0.2">
      <c r="D177" s="11"/>
      <c r="E177" s="11"/>
      <c r="F177" s="11"/>
    </row>
    <row r="178" spans="3:11" x14ac:dyDescent="0.2">
      <c r="D178" s="11"/>
      <c r="E178" s="11"/>
      <c r="F178" s="11"/>
    </row>
    <row r="179" spans="3:11" ht="17.25" customHeight="1" x14ac:dyDescent="0.2">
      <c r="D179" s="131" t="s">
        <v>222</v>
      </c>
      <c r="E179" s="131"/>
      <c r="F179" s="131"/>
      <c r="G179" s="131"/>
      <c r="H179" s="131"/>
      <c r="I179" s="131"/>
      <c r="J179" s="131"/>
      <c r="K179" s="131"/>
    </row>
    <row r="180" spans="3:11" hidden="1" x14ac:dyDescent="0.2">
      <c r="D180" s="28"/>
      <c r="E180" s="28"/>
      <c r="F180" s="28"/>
    </row>
    <row r="181" spans="3:11" x14ac:dyDescent="0.2">
      <c r="E181" s="29"/>
      <c r="F181" s="29"/>
    </row>
    <row r="182" spans="3:11" ht="12" thickBot="1" x14ac:dyDescent="0.25">
      <c r="C182" s="181" t="s">
        <v>120</v>
      </c>
      <c r="D182" s="155">
        <v>2019</v>
      </c>
      <c r="E182" s="155">
        <v>2020</v>
      </c>
      <c r="F182" s="155">
        <v>2021</v>
      </c>
      <c r="G182" s="155">
        <v>2022</v>
      </c>
      <c r="H182" s="155">
        <v>2023</v>
      </c>
      <c r="I182" s="155">
        <v>2024</v>
      </c>
      <c r="J182" s="155">
        <v>2025</v>
      </c>
      <c r="K182" s="155" t="s">
        <v>36</v>
      </c>
    </row>
    <row r="183" spans="3:11" ht="12" customHeight="1" thickBot="1" x14ac:dyDescent="0.25">
      <c r="C183" s="162"/>
      <c r="D183" s="156"/>
      <c r="E183" s="156"/>
      <c r="F183" s="156"/>
      <c r="G183" s="156"/>
      <c r="H183" s="156"/>
      <c r="I183" s="156"/>
      <c r="J183" s="156"/>
      <c r="K183" s="156"/>
    </row>
    <row r="184" spans="3:11" x14ac:dyDescent="0.2">
      <c r="C184" s="87" t="s">
        <v>123</v>
      </c>
      <c r="D184" s="47">
        <f t="shared" ref="D184:K193" si="7">+IFERROR(IF(D142&gt;0,+((D142/D15)*100)," "),"")</f>
        <v>70.656585335982484</v>
      </c>
      <c r="E184" s="47">
        <f t="shared" si="7"/>
        <v>91.635968780517601</v>
      </c>
      <c r="F184" s="47">
        <f t="shared" si="7"/>
        <v>94.449496692563557</v>
      </c>
      <c r="G184" s="47">
        <f t="shared" si="7"/>
        <v>87.06751588551252</v>
      </c>
      <c r="H184" s="47">
        <f t="shared" si="7"/>
        <v>73.930314055439638</v>
      </c>
      <c r="I184" s="47">
        <f t="shared" si="7"/>
        <v>76.977333253066973</v>
      </c>
      <c r="J184" s="47">
        <f t="shared" si="7"/>
        <v>79.79664526541292</v>
      </c>
      <c r="K184" s="47">
        <f t="shared" si="7"/>
        <v>21.590288292527543</v>
      </c>
    </row>
    <row r="185" spans="3:11" x14ac:dyDescent="0.2">
      <c r="C185" s="88" t="s">
        <v>124</v>
      </c>
      <c r="D185" s="116">
        <f t="shared" si="7"/>
        <v>93.725899269101717</v>
      </c>
      <c r="E185" s="116">
        <f t="shared" si="7"/>
        <v>89.100085646857082</v>
      </c>
      <c r="F185" s="116">
        <f t="shared" si="7"/>
        <v>79.26725058640038</v>
      </c>
      <c r="G185" s="116">
        <f t="shared" si="7"/>
        <v>77.904200736968605</v>
      </c>
      <c r="H185" s="116">
        <f t="shared" si="7"/>
        <v>73.978721437594018</v>
      </c>
      <c r="I185" s="116">
        <f t="shared" si="7"/>
        <v>71.494437596089838</v>
      </c>
      <c r="J185" s="116">
        <f t="shared" si="7"/>
        <v>87.225234458771467</v>
      </c>
      <c r="K185" s="116">
        <f t="shared" si="7"/>
        <v>28.297524718342309</v>
      </c>
    </row>
    <row r="186" spans="3:11" x14ac:dyDescent="0.2">
      <c r="C186" s="87" t="s">
        <v>125</v>
      </c>
      <c r="D186" s="47" t="str">
        <f t="shared" si="7"/>
        <v xml:space="preserve"> </v>
      </c>
      <c r="E186" s="47" t="str">
        <f t="shared" si="7"/>
        <v xml:space="preserve"> </v>
      </c>
      <c r="F186" s="47" t="str">
        <f t="shared" si="7"/>
        <v xml:space="preserve"> </v>
      </c>
      <c r="G186" s="47" t="str">
        <f t="shared" si="7"/>
        <v xml:space="preserve"> </v>
      </c>
      <c r="H186" s="47" t="str">
        <f t="shared" si="7"/>
        <v xml:space="preserve"> </v>
      </c>
      <c r="I186" s="47" t="str">
        <f t="shared" si="7"/>
        <v xml:space="preserve"> </v>
      </c>
      <c r="J186" s="47" t="str">
        <f t="shared" si="7"/>
        <v xml:space="preserve"> </v>
      </c>
      <c r="K186" s="47" t="str">
        <f t="shared" si="7"/>
        <v xml:space="preserve"> </v>
      </c>
    </row>
    <row r="187" spans="3:11" x14ac:dyDescent="0.2">
      <c r="C187" s="88" t="s">
        <v>126</v>
      </c>
      <c r="D187" s="116">
        <f t="shared" si="7"/>
        <v>95.84231558088824</v>
      </c>
      <c r="E187" s="116">
        <f t="shared" si="7"/>
        <v>91.703320461872138</v>
      </c>
      <c r="F187" s="116">
        <f t="shared" si="7"/>
        <v>87.592763135858021</v>
      </c>
      <c r="G187" s="116">
        <f t="shared" si="7"/>
        <v>90.044990514331516</v>
      </c>
      <c r="H187" s="116">
        <f t="shared" si="7"/>
        <v>91.81352735437612</v>
      </c>
      <c r="I187" s="116">
        <f t="shared" si="7"/>
        <v>88.435621581572434</v>
      </c>
      <c r="J187" s="116">
        <f t="shared" si="7"/>
        <v>91.979841862579178</v>
      </c>
      <c r="K187" s="116">
        <f t="shared" si="7"/>
        <v>30.259390050367823</v>
      </c>
    </row>
    <row r="188" spans="3:11" x14ac:dyDescent="0.2">
      <c r="C188" s="87" t="s">
        <v>127</v>
      </c>
      <c r="D188" s="47" t="str">
        <f t="shared" si="7"/>
        <v xml:space="preserve"> </v>
      </c>
      <c r="E188" s="47" t="str">
        <f t="shared" si="7"/>
        <v xml:space="preserve"> </v>
      </c>
      <c r="F188" s="47" t="str">
        <f t="shared" si="7"/>
        <v xml:space="preserve"> </v>
      </c>
      <c r="G188" s="47" t="str">
        <f t="shared" si="7"/>
        <v xml:space="preserve"> </v>
      </c>
      <c r="H188" s="47" t="str">
        <f t="shared" si="7"/>
        <v xml:space="preserve"> </v>
      </c>
      <c r="I188" s="47" t="str">
        <f t="shared" si="7"/>
        <v xml:space="preserve"> </v>
      </c>
      <c r="J188" s="47" t="str">
        <f t="shared" si="7"/>
        <v xml:space="preserve"> </v>
      </c>
      <c r="K188" s="47" t="str">
        <f t="shared" si="7"/>
        <v xml:space="preserve"> </v>
      </c>
    </row>
    <row r="189" spans="3:11" x14ac:dyDescent="0.2">
      <c r="C189" s="88" t="s">
        <v>128</v>
      </c>
      <c r="D189" s="116">
        <f t="shared" si="7"/>
        <v>90.959806687395144</v>
      </c>
      <c r="E189" s="116">
        <f t="shared" si="7"/>
        <v>91.124245851373104</v>
      </c>
      <c r="F189" s="116">
        <f t="shared" si="7"/>
        <v>57.026525783529756</v>
      </c>
      <c r="G189" s="116">
        <f t="shared" si="7"/>
        <v>46.866218121574825</v>
      </c>
      <c r="H189" s="116">
        <f t="shared" si="7"/>
        <v>69.729244945690397</v>
      </c>
      <c r="I189" s="116">
        <f t="shared" si="7"/>
        <v>52.711098269182109</v>
      </c>
      <c r="J189" s="116">
        <f t="shared" si="7"/>
        <v>87.262276693931341</v>
      </c>
      <c r="K189" s="116">
        <f t="shared" si="7"/>
        <v>16.804099727909737</v>
      </c>
    </row>
    <row r="190" spans="3:11" x14ac:dyDescent="0.2">
      <c r="C190" s="87" t="s">
        <v>129</v>
      </c>
      <c r="D190" s="47">
        <f t="shared" si="7"/>
        <v>82.789201313902566</v>
      </c>
      <c r="E190" s="47">
        <f t="shared" si="7"/>
        <v>86.43544391802854</v>
      </c>
      <c r="F190" s="47">
        <f t="shared" si="7"/>
        <v>66.138247733254147</v>
      </c>
      <c r="G190" s="47">
        <f t="shared" si="7"/>
        <v>55.66168327100609</v>
      </c>
      <c r="H190" s="47">
        <f t="shared" si="7"/>
        <v>39.925310847551621</v>
      </c>
      <c r="I190" s="47">
        <f t="shared" si="7"/>
        <v>57.69400625732419</v>
      </c>
      <c r="J190" s="47">
        <f t="shared" si="7"/>
        <v>72.206098455085979</v>
      </c>
      <c r="K190" s="47">
        <f t="shared" si="7"/>
        <v>4.8002395898378181</v>
      </c>
    </row>
    <row r="191" spans="3:11" x14ac:dyDescent="0.2">
      <c r="C191" s="88" t="s">
        <v>130</v>
      </c>
      <c r="D191" s="116" t="str">
        <f t="shared" si="7"/>
        <v xml:space="preserve"> </v>
      </c>
      <c r="E191" s="116" t="str">
        <f t="shared" si="7"/>
        <v xml:space="preserve"> </v>
      </c>
      <c r="F191" s="116" t="str">
        <f t="shared" si="7"/>
        <v xml:space="preserve"> </v>
      </c>
      <c r="G191" s="116" t="str">
        <f t="shared" si="7"/>
        <v xml:space="preserve"> </v>
      </c>
      <c r="H191" s="116" t="str">
        <f t="shared" si="7"/>
        <v xml:space="preserve"> </v>
      </c>
      <c r="I191" s="116" t="str">
        <f t="shared" si="7"/>
        <v xml:space="preserve"> </v>
      </c>
      <c r="J191" s="116" t="str">
        <f t="shared" si="7"/>
        <v xml:space="preserve"> </v>
      </c>
      <c r="K191" s="116" t="str">
        <f t="shared" si="7"/>
        <v xml:space="preserve"> </v>
      </c>
    </row>
    <row r="192" spans="3:11" x14ac:dyDescent="0.2">
      <c r="C192" s="87" t="s">
        <v>131</v>
      </c>
      <c r="D192" s="47">
        <f t="shared" si="7"/>
        <v>74.68647623659983</v>
      </c>
      <c r="E192" s="47">
        <f t="shared" si="7"/>
        <v>41.489520768483565</v>
      </c>
      <c r="F192" s="47">
        <f t="shared" si="7"/>
        <v>51.626621514011525</v>
      </c>
      <c r="G192" s="47">
        <f t="shared" si="7"/>
        <v>59.052697723297086</v>
      </c>
      <c r="H192" s="47">
        <f t="shared" si="7"/>
        <v>64.673517657873106</v>
      </c>
      <c r="I192" s="47">
        <f t="shared" si="7"/>
        <v>73.839822770949311</v>
      </c>
      <c r="J192" s="47">
        <f t="shared" si="7"/>
        <v>69.146243861116844</v>
      </c>
      <c r="K192" s="47">
        <f t="shared" si="7"/>
        <v>12.447181138513976</v>
      </c>
    </row>
    <row r="193" spans="3:11" x14ac:dyDescent="0.2">
      <c r="C193" s="88" t="s">
        <v>132</v>
      </c>
      <c r="D193" s="116">
        <f t="shared" si="7"/>
        <v>84.119725095295038</v>
      </c>
      <c r="E193" s="116">
        <f t="shared" si="7"/>
        <v>62.607496491460779</v>
      </c>
      <c r="F193" s="116">
        <f t="shared" si="7"/>
        <v>59.065320954312696</v>
      </c>
      <c r="G193" s="116">
        <f t="shared" si="7"/>
        <v>60.474617103074621</v>
      </c>
      <c r="H193" s="116">
        <f t="shared" si="7"/>
        <v>61.57842108818015</v>
      </c>
      <c r="I193" s="116">
        <f t="shared" si="7"/>
        <v>84.1429887757063</v>
      </c>
      <c r="J193" s="116">
        <f t="shared" si="7"/>
        <v>81.396885235960042</v>
      </c>
      <c r="K193" s="116">
        <f t="shared" si="7"/>
        <v>24.659457092168449</v>
      </c>
    </row>
    <row r="194" spans="3:11" x14ac:dyDescent="0.2">
      <c r="C194" s="87" t="s">
        <v>133</v>
      </c>
      <c r="D194" s="47">
        <f t="shared" ref="D194:K203" si="8">+IFERROR(IF(D152&gt;0,+((D152/D25)*100)," "),"")</f>
        <v>81.500440899305744</v>
      </c>
      <c r="E194" s="47">
        <f t="shared" si="8"/>
        <v>72.153498947276603</v>
      </c>
      <c r="F194" s="47">
        <f t="shared" si="8"/>
        <v>82.962157897500362</v>
      </c>
      <c r="G194" s="47">
        <f t="shared" si="8"/>
        <v>69.208967064179035</v>
      </c>
      <c r="H194" s="47">
        <f t="shared" si="8"/>
        <v>72.426093393822214</v>
      </c>
      <c r="I194" s="47">
        <f t="shared" si="8"/>
        <v>83.564628756717696</v>
      </c>
      <c r="J194" s="47">
        <f t="shared" si="8"/>
        <v>82.143573307868095</v>
      </c>
      <c r="K194" s="47">
        <f t="shared" si="8"/>
        <v>10.125021050169213</v>
      </c>
    </row>
    <row r="195" spans="3:11" x14ac:dyDescent="0.2">
      <c r="C195" s="88" t="s">
        <v>134</v>
      </c>
      <c r="D195" s="116">
        <f t="shared" si="8"/>
        <v>84.678618141980806</v>
      </c>
      <c r="E195" s="116">
        <f t="shared" si="8"/>
        <v>87.956047701917043</v>
      </c>
      <c r="F195" s="116">
        <f t="shared" si="8"/>
        <v>59.586364030385774</v>
      </c>
      <c r="G195" s="116">
        <f t="shared" si="8"/>
        <v>92.104991840609244</v>
      </c>
      <c r="H195" s="116">
        <f t="shared" si="8"/>
        <v>84.221952500257302</v>
      </c>
      <c r="I195" s="116">
        <f t="shared" si="8"/>
        <v>93.604928215313166</v>
      </c>
      <c r="J195" s="116">
        <f t="shared" si="8"/>
        <v>90.404352007561045</v>
      </c>
      <c r="K195" s="116">
        <f t="shared" si="8"/>
        <v>43.368558171393417</v>
      </c>
    </row>
    <row r="196" spans="3:11" x14ac:dyDescent="0.2">
      <c r="C196" s="87" t="s">
        <v>135</v>
      </c>
      <c r="D196" s="47" t="str">
        <f t="shared" si="8"/>
        <v xml:space="preserve"> </v>
      </c>
      <c r="E196" s="47" t="str">
        <f t="shared" si="8"/>
        <v xml:space="preserve"> </v>
      </c>
      <c r="F196" s="47" t="str">
        <f t="shared" si="8"/>
        <v xml:space="preserve"> </v>
      </c>
      <c r="G196" s="47" t="str">
        <f t="shared" si="8"/>
        <v xml:space="preserve"> </v>
      </c>
      <c r="H196" s="47" t="str">
        <f t="shared" si="8"/>
        <v xml:space="preserve"> </v>
      </c>
      <c r="I196" s="47">
        <f t="shared" si="8"/>
        <v>89.443539675235385</v>
      </c>
      <c r="J196" s="47">
        <f t="shared" si="8"/>
        <v>95.31827998620544</v>
      </c>
      <c r="K196" s="47">
        <f t="shared" si="8"/>
        <v>42.073514344529762</v>
      </c>
    </row>
    <row r="197" spans="3:11" x14ac:dyDescent="0.2">
      <c r="C197" s="88" t="s">
        <v>136</v>
      </c>
      <c r="D197" s="116">
        <f t="shared" si="8"/>
        <v>94.02302117811837</v>
      </c>
      <c r="E197" s="116">
        <f t="shared" si="8"/>
        <v>91.776236659224793</v>
      </c>
      <c r="F197" s="116">
        <f t="shared" si="8"/>
        <v>85.524430897411094</v>
      </c>
      <c r="G197" s="116">
        <f t="shared" si="8"/>
        <v>92.11180963849101</v>
      </c>
      <c r="H197" s="116">
        <f t="shared" si="8"/>
        <v>92.080709114219957</v>
      </c>
      <c r="I197" s="116" t="str">
        <f t="shared" si="8"/>
        <v xml:space="preserve"> </v>
      </c>
      <c r="J197" s="116" t="str">
        <f t="shared" si="8"/>
        <v xml:space="preserve"> </v>
      </c>
      <c r="K197" s="116" t="str">
        <f t="shared" si="8"/>
        <v xml:space="preserve"> </v>
      </c>
    </row>
    <row r="198" spans="3:11" x14ac:dyDescent="0.2">
      <c r="C198" s="87" t="s">
        <v>137</v>
      </c>
      <c r="D198" s="47">
        <f t="shared" si="8"/>
        <v>58.919751126242545</v>
      </c>
      <c r="E198" s="47">
        <f t="shared" si="8"/>
        <v>71.504537326206645</v>
      </c>
      <c r="F198" s="47">
        <f t="shared" si="8"/>
        <v>52.424495663100032</v>
      </c>
      <c r="G198" s="47">
        <f t="shared" si="8"/>
        <v>29.477888283531151</v>
      </c>
      <c r="H198" s="47">
        <f t="shared" si="8"/>
        <v>20.493015200958709</v>
      </c>
      <c r="I198" s="47">
        <f t="shared" si="8"/>
        <v>63.065039413668281</v>
      </c>
      <c r="J198" s="47">
        <f t="shared" si="8"/>
        <v>69.792827306132835</v>
      </c>
      <c r="K198" s="47">
        <f t="shared" si="8"/>
        <v>37.020397472886394</v>
      </c>
    </row>
    <row r="199" spans="3:11" x14ac:dyDescent="0.2">
      <c r="C199" s="88" t="s">
        <v>138</v>
      </c>
      <c r="D199" s="116" t="str">
        <f t="shared" si="8"/>
        <v xml:space="preserve"> </v>
      </c>
      <c r="E199" s="116" t="str">
        <f t="shared" si="8"/>
        <v xml:space="preserve"> </v>
      </c>
      <c r="F199" s="116" t="str">
        <f t="shared" si="8"/>
        <v xml:space="preserve"> </v>
      </c>
      <c r="G199" s="116" t="str">
        <f t="shared" si="8"/>
        <v xml:space="preserve"> </v>
      </c>
      <c r="H199" s="116" t="str">
        <f t="shared" si="8"/>
        <v xml:space="preserve"> </v>
      </c>
      <c r="I199" s="116" t="str">
        <f t="shared" si="8"/>
        <v xml:space="preserve"> </v>
      </c>
      <c r="J199" s="116" t="str">
        <f t="shared" si="8"/>
        <v xml:space="preserve"> </v>
      </c>
      <c r="K199" s="116" t="str">
        <f t="shared" si="8"/>
        <v xml:space="preserve"> </v>
      </c>
    </row>
    <row r="200" spans="3:11" x14ac:dyDescent="0.2">
      <c r="C200" s="87" t="s">
        <v>160</v>
      </c>
      <c r="D200" s="47" t="str">
        <f t="shared" si="8"/>
        <v xml:space="preserve"> </v>
      </c>
      <c r="E200" s="47" t="str">
        <f t="shared" si="8"/>
        <v xml:space="preserve"> </v>
      </c>
      <c r="F200" s="47" t="str">
        <f t="shared" si="8"/>
        <v xml:space="preserve"> </v>
      </c>
      <c r="G200" s="47" t="str">
        <f t="shared" si="8"/>
        <v xml:space="preserve"> </v>
      </c>
      <c r="H200" s="47" t="str">
        <f t="shared" si="8"/>
        <v xml:space="preserve"> </v>
      </c>
      <c r="I200" s="47" t="str">
        <f t="shared" si="8"/>
        <v xml:space="preserve"> </v>
      </c>
      <c r="J200" s="47" t="str">
        <f t="shared" si="8"/>
        <v xml:space="preserve"> </v>
      </c>
      <c r="K200" s="47" t="str">
        <f t="shared" si="8"/>
        <v xml:space="preserve"> </v>
      </c>
    </row>
    <row r="201" spans="3:11" x14ac:dyDescent="0.2">
      <c r="C201" s="88" t="s">
        <v>161</v>
      </c>
      <c r="D201" s="116">
        <f t="shared" si="8"/>
        <v>75.006365930446606</v>
      </c>
      <c r="E201" s="116">
        <f t="shared" si="8"/>
        <v>60.034915608993302</v>
      </c>
      <c r="F201" s="116">
        <f t="shared" si="8"/>
        <v>62.480457458786844</v>
      </c>
      <c r="G201" s="116">
        <f t="shared" si="8"/>
        <v>43.985034941128646</v>
      </c>
      <c r="H201" s="116">
        <f t="shared" si="8"/>
        <v>58.811985922489299</v>
      </c>
      <c r="I201" s="116">
        <f t="shared" si="8"/>
        <v>78.343888701252283</v>
      </c>
      <c r="J201" s="116">
        <f t="shared" si="8"/>
        <v>59.263194572749796</v>
      </c>
      <c r="K201" s="116">
        <f t="shared" si="8"/>
        <v>13.990154561544003</v>
      </c>
    </row>
    <row r="202" spans="3:11" x14ac:dyDescent="0.2">
      <c r="C202" s="87" t="s">
        <v>140</v>
      </c>
      <c r="D202" s="47">
        <f t="shared" si="8"/>
        <v>81.820130936045501</v>
      </c>
      <c r="E202" s="47">
        <f t="shared" si="8"/>
        <v>71.933219815110206</v>
      </c>
      <c r="F202" s="47">
        <f t="shared" si="8"/>
        <v>64.111401946815477</v>
      </c>
      <c r="G202" s="47">
        <f t="shared" si="8"/>
        <v>67.815645450021023</v>
      </c>
      <c r="H202" s="47">
        <f t="shared" si="8"/>
        <v>39.238566940094188</v>
      </c>
      <c r="I202" s="47">
        <f t="shared" si="8"/>
        <v>70.951639922304025</v>
      </c>
      <c r="J202" s="47">
        <f t="shared" si="8"/>
        <v>74.156076713652737</v>
      </c>
      <c r="K202" s="47">
        <f t="shared" si="8"/>
        <v>6.2712264655225489</v>
      </c>
    </row>
    <row r="203" spans="3:11" x14ac:dyDescent="0.2">
      <c r="C203" s="88" t="s">
        <v>141</v>
      </c>
      <c r="D203" s="116" t="str">
        <f t="shared" si="8"/>
        <v xml:space="preserve"> </v>
      </c>
      <c r="E203" s="116" t="str">
        <f t="shared" si="8"/>
        <v xml:space="preserve"> </v>
      </c>
      <c r="F203" s="116" t="str">
        <f t="shared" si="8"/>
        <v xml:space="preserve"> </v>
      </c>
      <c r="G203" s="116" t="str">
        <f t="shared" si="8"/>
        <v xml:space="preserve"> </v>
      </c>
      <c r="H203" s="116" t="str">
        <f t="shared" si="8"/>
        <v xml:space="preserve"> </v>
      </c>
      <c r="I203" s="116" t="str">
        <f t="shared" si="8"/>
        <v xml:space="preserve"> </v>
      </c>
      <c r="J203" s="116" t="str">
        <f t="shared" si="8"/>
        <v xml:space="preserve"> </v>
      </c>
      <c r="K203" s="116" t="str">
        <f t="shared" si="8"/>
        <v xml:space="preserve"> </v>
      </c>
    </row>
    <row r="204" spans="3:11" x14ac:dyDescent="0.2">
      <c r="C204" s="87" t="s">
        <v>142</v>
      </c>
      <c r="D204" s="47">
        <f t="shared" ref="D204:K213" si="9">+IFERROR(IF(D162&gt;0,+((D162/D35)*100)," "),"")</f>
        <v>86.976844120405772</v>
      </c>
      <c r="E204" s="47">
        <f t="shared" si="9"/>
        <v>95.4737610457953</v>
      </c>
      <c r="F204" s="47">
        <f t="shared" si="9"/>
        <v>81.40677480237062</v>
      </c>
      <c r="G204" s="47">
        <f t="shared" si="9"/>
        <v>88.734547885239905</v>
      </c>
      <c r="H204" s="47">
        <f t="shared" si="9"/>
        <v>67.991376268682586</v>
      </c>
      <c r="I204" s="47">
        <f t="shared" si="9"/>
        <v>70.314433274249225</v>
      </c>
      <c r="J204" s="47">
        <f t="shared" si="9"/>
        <v>43.044423184305899</v>
      </c>
      <c r="K204" s="47">
        <f t="shared" si="9"/>
        <v>31.373914749809558</v>
      </c>
    </row>
    <row r="205" spans="3:11" x14ac:dyDescent="0.2">
      <c r="C205" s="88" t="s">
        <v>143</v>
      </c>
      <c r="D205" s="116">
        <f t="shared" si="9"/>
        <v>52.509131839607612</v>
      </c>
      <c r="E205" s="116">
        <f t="shared" si="9"/>
        <v>24.324556812749826</v>
      </c>
      <c r="F205" s="116">
        <f t="shared" si="9"/>
        <v>35.081510611811936</v>
      </c>
      <c r="G205" s="116">
        <f t="shared" si="9"/>
        <v>53.5511412386359</v>
      </c>
      <c r="H205" s="116">
        <f t="shared" si="9"/>
        <v>7.8211674641053737</v>
      </c>
      <c r="I205" s="116">
        <f t="shared" si="9"/>
        <v>16.651080893497301</v>
      </c>
      <c r="J205" s="116">
        <f t="shared" si="9"/>
        <v>49.498392997229637</v>
      </c>
      <c r="K205" s="116">
        <f t="shared" si="9"/>
        <v>13.414784589218879</v>
      </c>
    </row>
    <row r="206" spans="3:11" x14ac:dyDescent="0.2">
      <c r="C206" s="87" t="s">
        <v>144</v>
      </c>
      <c r="D206" s="47" t="str">
        <f t="shared" si="9"/>
        <v xml:space="preserve"> </v>
      </c>
      <c r="E206" s="47" t="str">
        <f t="shared" si="9"/>
        <v xml:space="preserve"> </v>
      </c>
      <c r="F206" s="47" t="str">
        <f t="shared" si="9"/>
        <v xml:space="preserve"> </v>
      </c>
      <c r="G206" s="47" t="str">
        <f t="shared" si="9"/>
        <v xml:space="preserve"> </v>
      </c>
      <c r="H206" s="47" t="str">
        <f t="shared" si="9"/>
        <v xml:space="preserve"> </v>
      </c>
      <c r="I206" s="47" t="str">
        <f t="shared" si="9"/>
        <v xml:space="preserve"> </v>
      </c>
      <c r="J206" s="47" t="str">
        <f t="shared" si="9"/>
        <v xml:space="preserve"> </v>
      </c>
      <c r="K206" s="47" t="str">
        <f t="shared" si="9"/>
        <v xml:space="preserve"> </v>
      </c>
    </row>
    <row r="207" spans="3:11" x14ac:dyDescent="0.2">
      <c r="C207" s="88" t="s">
        <v>145</v>
      </c>
      <c r="D207" s="116">
        <f t="shared" si="9"/>
        <v>91.64528367508052</v>
      </c>
      <c r="E207" s="116">
        <f t="shared" si="9"/>
        <v>98.698764821953986</v>
      </c>
      <c r="F207" s="116">
        <f t="shared" si="9"/>
        <v>52.759693016627587</v>
      </c>
      <c r="G207" s="116">
        <f t="shared" si="9"/>
        <v>77.578419072261013</v>
      </c>
      <c r="H207" s="116">
        <f t="shared" si="9"/>
        <v>78.134814184364615</v>
      </c>
      <c r="I207" s="116">
        <f t="shared" si="9"/>
        <v>45.009660415545611</v>
      </c>
      <c r="J207" s="116">
        <f t="shared" si="9"/>
        <v>60.819945438967729</v>
      </c>
      <c r="K207" s="116">
        <f t="shared" si="9"/>
        <v>20.30791981641357</v>
      </c>
    </row>
    <row r="208" spans="3:11" x14ac:dyDescent="0.2">
      <c r="C208" s="87" t="s">
        <v>146</v>
      </c>
      <c r="D208" s="47">
        <f t="shared" si="9"/>
        <v>98.905157544771242</v>
      </c>
      <c r="E208" s="47">
        <f t="shared" si="9"/>
        <v>98.205897777310554</v>
      </c>
      <c r="F208" s="47">
        <f t="shared" si="9"/>
        <v>98.290953333188838</v>
      </c>
      <c r="G208" s="47">
        <f t="shared" si="9"/>
        <v>24.907112279480039</v>
      </c>
      <c r="H208" s="47">
        <f t="shared" si="9"/>
        <v>58.44127122397488</v>
      </c>
      <c r="I208" s="47">
        <f t="shared" si="9"/>
        <v>77.520826442915535</v>
      </c>
      <c r="J208" s="47">
        <f t="shared" si="9"/>
        <v>80.527907382760347</v>
      </c>
      <c r="K208" s="47">
        <f t="shared" si="9"/>
        <v>19.590273807675729</v>
      </c>
    </row>
    <row r="209" spans="1:11" x14ac:dyDescent="0.2">
      <c r="C209" s="88" t="s">
        <v>162</v>
      </c>
      <c r="D209" s="116">
        <f t="shared" si="9"/>
        <v>79.226193689951458</v>
      </c>
      <c r="E209" s="116">
        <f t="shared" si="9"/>
        <v>87.045342299603277</v>
      </c>
      <c r="F209" s="116">
        <f t="shared" si="9"/>
        <v>83.646454585460191</v>
      </c>
      <c r="G209" s="116">
        <f t="shared" si="9"/>
        <v>76.349292874648413</v>
      </c>
      <c r="H209" s="116">
        <f t="shared" si="9"/>
        <v>74.445324547154371</v>
      </c>
      <c r="I209" s="116">
        <f t="shared" si="9"/>
        <v>76.667951916275868</v>
      </c>
      <c r="J209" s="116">
        <f t="shared" si="9"/>
        <v>90.509500727419294</v>
      </c>
      <c r="K209" s="116">
        <f t="shared" si="9"/>
        <v>21.451229614973556</v>
      </c>
    </row>
    <row r="210" spans="1:11" x14ac:dyDescent="0.2">
      <c r="C210" s="87" t="s">
        <v>148</v>
      </c>
      <c r="D210" s="47" t="str">
        <f t="shared" si="9"/>
        <v xml:space="preserve"> </v>
      </c>
      <c r="E210" s="47" t="str">
        <f t="shared" si="9"/>
        <v xml:space="preserve"> </v>
      </c>
      <c r="F210" s="47" t="str">
        <f t="shared" si="9"/>
        <v xml:space="preserve"> </v>
      </c>
      <c r="G210" s="47" t="str">
        <f t="shared" si="9"/>
        <v xml:space="preserve"> </v>
      </c>
      <c r="H210" s="47" t="str">
        <f t="shared" si="9"/>
        <v xml:space="preserve"> </v>
      </c>
      <c r="I210" s="47" t="str">
        <f t="shared" si="9"/>
        <v xml:space="preserve"> </v>
      </c>
      <c r="J210" s="47" t="str">
        <f t="shared" si="9"/>
        <v xml:space="preserve"> </v>
      </c>
      <c r="K210" s="47" t="str">
        <f t="shared" si="9"/>
        <v xml:space="preserve"> </v>
      </c>
    </row>
    <row r="211" spans="1:11" x14ac:dyDescent="0.2">
      <c r="C211" s="88" t="s">
        <v>149</v>
      </c>
      <c r="D211" s="116">
        <f t="shared" si="9"/>
        <v>87.880333631845929</v>
      </c>
      <c r="E211" s="116">
        <f t="shared" si="9"/>
        <v>94.156172403723488</v>
      </c>
      <c r="F211" s="116">
        <f t="shared" si="9"/>
        <v>78.243377529836678</v>
      </c>
      <c r="G211" s="116">
        <f t="shared" si="9"/>
        <v>78.848773074036174</v>
      </c>
      <c r="H211" s="116">
        <f t="shared" si="9"/>
        <v>88.830506488322229</v>
      </c>
      <c r="I211" s="116">
        <f t="shared" si="9"/>
        <v>80.117659777015476</v>
      </c>
      <c r="J211" s="116">
        <f t="shared" si="9"/>
        <v>67.449313852830556</v>
      </c>
      <c r="K211" s="116">
        <f t="shared" si="9"/>
        <v>49.036414944675563</v>
      </c>
    </row>
    <row r="212" spans="1:11" x14ac:dyDescent="0.2">
      <c r="C212" s="87" t="s">
        <v>163</v>
      </c>
      <c r="D212" s="47">
        <f t="shared" si="9"/>
        <v>87.263489226632416</v>
      </c>
      <c r="E212" s="47">
        <f t="shared" si="9"/>
        <v>91.091687289300651</v>
      </c>
      <c r="F212" s="47">
        <f t="shared" si="9"/>
        <v>89.076473594708574</v>
      </c>
      <c r="G212" s="47">
        <f t="shared" si="9"/>
        <v>93.27458368222598</v>
      </c>
      <c r="H212" s="47">
        <f t="shared" si="9"/>
        <v>92.182850386239323</v>
      </c>
      <c r="I212" s="47">
        <f t="shared" si="9"/>
        <v>90.857339901793011</v>
      </c>
      <c r="J212" s="47">
        <f t="shared" si="9"/>
        <v>87.177373547894319</v>
      </c>
      <c r="K212" s="47">
        <f t="shared" si="9"/>
        <v>27.319671531827233</v>
      </c>
    </row>
    <row r="213" spans="1:11" x14ac:dyDescent="0.2">
      <c r="C213" s="88" t="s">
        <v>150</v>
      </c>
      <c r="D213" s="116">
        <f t="shared" si="9"/>
        <v>69.704699257709976</v>
      </c>
      <c r="E213" s="116">
        <f t="shared" si="9"/>
        <v>64.892491435087436</v>
      </c>
      <c r="F213" s="116">
        <f t="shared" si="9"/>
        <v>60.452441121137348</v>
      </c>
      <c r="G213" s="116">
        <f t="shared" si="9"/>
        <v>46.527256673275538</v>
      </c>
      <c r="H213" s="116">
        <f t="shared" si="9"/>
        <v>37.411032565376914</v>
      </c>
      <c r="I213" s="116">
        <f t="shared" si="9"/>
        <v>47.619036746503916</v>
      </c>
      <c r="J213" s="116">
        <f t="shared" si="9"/>
        <v>55.548087021030369</v>
      </c>
      <c r="K213" s="116">
        <f t="shared" si="9"/>
        <v>9.7056224043456005</v>
      </c>
    </row>
    <row r="214" spans="1:11" x14ac:dyDescent="0.2">
      <c r="C214" s="87" t="s">
        <v>151</v>
      </c>
      <c r="D214" s="47" t="str">
        <f t="shared" ref="D214:K215" si="10">+IFERROR(IF(D172&gt;0,+((D172/D45)*100)," "),"")</f>
        <v xml:space="preserve"> </v>
      </c>
      <c r="E214" s="47" t="str">
        <f t="shared" si="10"/>
        <v xml:space="preserve"> </v>
      </c>
      <c r="F214" s="47" t="str">
        <f t="shared" si="10"/>
        <v xml:space="preserve"> </v>
      </c>
      <c r="G214" s="47" t="str">
        <f t="shared" si="10"/>
        <v xml:space="preserve"> </v>
      </c>
      <c r="H214" s="47" t="str">
        <f t="shared" si="10"/>
        <v xml:space="preserve"> </v>
      </c>
      <c r="I214" s="47" t="str">
        <f t="shared" si="10"/>
        <v xml:space="preserve"> </v>
      </c>
      <c r="J214" s="47" t="str">
        <f t="shared" si="10"/>
        <v xml:space="preserve"> </v>
      </c>
      <c r="K214" s="47" t="str">
        <f t="shared" si="10"/>
        <v xml:space="preserve"> </v>
      </c>
    </row>
    <row r="215" spans="1:11" x14ac:dyDescent="0.2">
      <c r="C215" s="91" t="s">
        <v>202</v>
      </c>
      <c r="D215" s="64">
        <f t="shared" si="10"/>
        <v>83.560200571574569</v>
      </c>
      <c r="E215" s="64">
        <f t="shared" si="10"/>
        <v>82.763814479801496</v>
      </c>
      <c r="F215" s="64">
        <f t="shared" si="10"/>
        <v>74.532166565739757</v>
      </c>
      <c r="G215" s="64">
        <f t="shared" si="10"/>
        <v>73.737791153056591</v>
      </c>
      <c r="H215" s="64">
        <f t="shared" si="10"/>
        <v>73.422092826627747</v>
      </c>
      <c r="I215" s="64">
        <f t="shared" si="10"/>
        <v>75.414525697772646</v>
      </c>
      <c r="J215" s="64">
        <f t="shared" si="10"/>
        <v>76.536563096069273</v>
      </c>
      <c r="K215" s="64">
        <f t="shared" si="10"/>
        <v>25.01229363614879</v>
      </c>
    </row>
    <row r="216" spans="1:11" s="31" customFormat="1" x14ac:dyDescent="0.2">
      <c r="A216" s="5"/>
      <c r="B216" s="5"/>
      <c r="C216" s="72" t="str">
        <f>+'C1 Aprop Resumen 2000-2026'!B20</f>
        <v>* Información con corte a 30 de Junio</v>
      </c>
      <c r="D216" s="47"/>
      <c r="E216" s="47"/>
      <c r="F216" s="47"/>
      <c r="G216" s="47"/>
      <c r="H216" s="47"/>
      <c r="I216" s="47"/>
      <c r="J216" s="47"/>
    </row>
    <row r="217" spans="1:11" x14ac:dyDescent="0.2">
      <c r="C217" s="1" t="s">
        <v>52</v>
      </c>
      <c r="D217" s="11"/>
      <c r="E217" s="11"/>
      <c r="F217" s="11"/>
    </row>
    <row r="218" spans="1:11" x14ac:dyDescent="0.2">
      <c r="E218" s="3"/>
      <c r="F218" s="3"/>
    </row>
    <row r="219" spans="1:11" x14ac:dyDescent="0.2">
      <c r="E219" s="3"/>
      <c r="F219" s="3"/>
    </row>
    <row r="220" spans="1:11" x14ac:dyDescent="0.2">
      <c r="E220" s="3"/>
      <c r="F220" s="3"/>
    </row>
    <row r="221" spans="1:11" ht="18" customHeight="1" x14ac:dyDescent="0.2">
      <c r="D221" s="164" t="s">
        <v>223</v>
      </c>
      <c r="E221" s="182"/>
      <c r="F221" s="182"/>
      <c r="G221" s="182"/>
      <c r="H221" s="182"/>
      <c r="I221" s="182"/>
      <c r="J221" s="182"/>
      <c r="K221" s="182"/>
    </row>
    <row r="222" spans="1:11" ht="15.75" customHeight="1" x14ac:dyDescent="0.2">
      <c r="C222" s="150"/>
      <c r="D222" s="150"/>
      <c r="E222" s="150"/>
      <c r="F222" s="150"/>
      <c r="G222" s="150"/>
      <c r="H222" s="150"/>
      <c r="I222" s="150"/>
      <c r="J222" s="150"/>
    </row>
    <row r="223" spans="1:11" x14ac:dyDescent="0.2">
      <c r="C223" s="181" t="s">
        <v>120</v>
      </c>
      <c r="D223" s="155">
        <v>2019</v>
      </c>
      <c r="E223" s="155">
        <v>2020</v>
      </c>
      <c r="F223" s="155">
        <v>2021</v>
      </c>
      <c r="G223" s="155">
        <v>2022</v>
      </c>
      <c r="H223" s="155">
        <v>2023</v>
      </c>
      <c r="I223" s="155">
        <v>2024</v>
      </c>
      <c r="J223" s="155">
        <v>2025</v>
      </c>
      <c r="K223" s="155" t="s">
        <v>36</v>
      </c>
    </row>
    <row r="224" spans="1:11" ht="12" customHeight="1" thickBot="1" x14ac:dyDescent="0.25">
      <c r="C224" s="162"/>
      <c r="D224" s="156"/>
      <c r="E224" s="156"/>
      <c r="F224" s="156"/>
      <c r="G224" s="156"/>
      <c r="H224" s="156"/>
      <c r="I224" s="156"/>
      <c r="J224" s="156"/>
      <c r="K224" s="156"/>
    </row>
    <row r="225" spans="3:11" x14ac:dyDescent="0.2">
      <c r="C225" s="87" t="s">
        <v>123</v>
      </c>
      <c r="D225" s="42">
        <f>39.39956667542*Deflactores!$T$5</f>
        <v>61.279906433963205</v>
      </c>
      <c r="E225" s="42">
        <f>74.2382047217699*Deflactores!$U$5</f>
        <v>113.63644994347422</v>
      </c>
      <c r="F225" s="42">
        <f>73.2417728361499*Deflactores!$V$5</f>
        <v>106.14581637361957</v>
      </c>
      <c r="G225" s="42">
        <f>55.98159254651*Deflactores!$W$5</f>
        <v>71.721586240784816</v>
      </c>
      <c r="H225" s="42">
        <f>41.54506841056*Deflactores!$X$5</f>
        <v>48.706108205851848</v>
      </c>
      <c r="I225" s="42">
        <f>72.27460350785*Deflactores!$Y$5</f>
        <v>80.544136309094057</v>
      </c>
      <c r="J225" s="42">
        <f>72.22324009489*Deflactores!$Z$5</f>
        <v>76.580508862330703</v>
      </c>
      <c r="K225" s="42">
        <f>12.86707058888*Deflactores!$AA$5</f>
        <v>12.867070588880001</v>
      </c>
    </row>
    <row r="226" spans="3:11" x14ac:dyDescent="0.2">
      <c r="C226" s="88" t="s">
        <v>124</v>
      </c>
      <c r="D226" s="50">
        <f>90.28605973814*Deflactores!$T$5</f>
        <v>140.4259427171848</v>
      </c>
      <c r="E226" s="50">
        <f>102.78713362297*Deflactores!$U$5</f>
        <v>157.33630694001187</v>
      </c>
      <c r="F226" s="50">
        <f>114.03426772062*Deflactores!$V$5</f>
        <v>165.26443821685879</v>
      </c>
      <c r="G226" s="50">
        <f>126.09207630802*Deflactores!$W$5</f>
        <v>161.54459553275191</v>
      </c>
      <c r="H226" s="50">
        <f>122.448192265869*Deflactores!$X$5</f>
        <v>143.55434063014886</v>
      </c>
      <c r="I226" s="50">
        <f>128.56640378353*Deflactores!$Y$5</f>
        <v>143.2767451984146</v>
      </c>
      <c r="J226" s="50">
        <f>146.22140397215*Deflactores!$Z$5</f>
        <v>155.04302365886159</v>
      </c>
      <c r="K226" s="50">
        <f>54.8098996213399*Deflactores!$AA$5</f>
        <v>54.809899621339902</v>
      </c>
    </row>
    <row r="227" spans="3:11" x14ac:dyDescent="0.2">
      <c r="C227" s="87" t="s">
        <v>125</v>
      </c>
      <c r="D227" s="42">
        <f>0*Deflactores!$T$5</f>
        <v>0</v>
      </c>
      <c r="E227" s="42">
        <f>0*Deflactores!$U$5</f>
        <v>0</v>
      </c>
      <c r="F227" s="42">
        <f>0*Deflactores!$V$5</f>
        <v>0</v>
      </c>
      <c r="G227" s="42">
        <f>0*Deflactores!$W$5</f>
        <v>0</v>
      </c>
      <c r="H227" s="42">
        <f>0*Deflactores!$X$5</f>
        <v>0</v>
      </c>
      <c r="I227" s="42">
        <f>0*Deflactores!$Y$5</f>
        <v>0</v>
      </c>
      <c r="J227" s="42">
        <f>0*Deflactores!$Z$5</f>
        <v>0</v>
      </c>
      <c r="K227" s="42">
        <f>0*Deflactores!$AA$5</f>
        <v>0</v>
      </c>
    </row>
    <row r="228" spans="3:11" x14ac:dyDescent="0.2">
      <c r="C228" s="88" t="s">
        <v>126</v>
      </c>
      <c r="D228" s="50">
        <f>133.48549471671*Deflactores!$T$5</f>
        <v>207.61595410221807</v>
      </c>
      <c r="E228" s="50">
        <f>153.13202393237*Deflactores!$U$5</f>
        <v>234.39925086484226</v>
      </c>
      <c r="F228" s="50">
        <f>149.131139351079*Deflactores!$V$5</f>
        <v>216.12866428781027</v>
      </c>
      <c r="G228" s="50">
        <f>157.94779750798*Deflactores!$W$5</f>
        <v>202.35699031068083</v>
      </c>
      <c r="H228" s="50">
        <f>163.06114303008*Deflactores!$X$5</f>
        <v>191.1676639476716</v>
      </c>
      <c r="I228" s="50">
        <f>116.292618579829*Deflactores!$Y$5</f>
        <v>129.59861511544483</v>
      </c>
      <c r="J228" s="50">
        <f>146.30920537991*Deflactores!$Z$5</f>
        <v>155.13612217502143</v>
      </c>
      <c r="K228" s="50">
        <f>37.8586143940499*Deflactores!$AA$5</f>
        <v>37.858614394049901</v>
      </c>
    </row>
    <row r="229" spans="3:11" x14ac:dyDescent="0.2">
      <c r="C229" s="87" t="s">
        <v>127</v>
      </c>
      <c r="D229" s="42">
        <f>0*Deflactores!$T$5</f>
        <v>0</v>
      </c>
      <c r="E229" s="42">
        <f>0*Deflactores!$U$5</f>
        <v>0</v>
      </c>
      <c r="F229" s="42">
        <f>0*Deflactores!$V$5</f>
        <v>0</v>
      </c>
      <c r="G229" s="42">
        <f>0*Deflactores!$W$5</f>
        <v>0</v>
      </c>
      <c r="H229" s="42">
        <f>0*Deflactores!$X$5</f>
        <v>0</v>
      </c>
      <c r="I229" s="42">
        <f>0*Deflactores!$Y$5</f>
        <v>0</v>
      </c>
      <c r="J229" s="42">
        <f>0*Deflactores!$Z$5</f>
        <v>0</v>
      </c>
      <c r="K229" s="42">
        <f>0*Deflactores!$AA$5</f>
        <v>0</v>
      </c>
    </row>
    <row r="230" spans="3:11" x14ac:dyDescent="0.2">
      <c r="C230" s="88" t="s">
        <v>128</v>
      </c>
      <c r="D230" s="50">
        <f>6.42943748775*Deflactores!$T$5</f>
        <v>9.9999913937666545</v>
      </c>
      <c r="E230" s="50">
        <f>6.88070290043*Deflactores!$U$5</f>
        <v>10.532294707974593</v>
      </c>
      <c r="F230" s="50">
        <f>6.15438454497*Deflactores!$V$5</f>
        <v>8.9192566824460808</v>
      </c>
      <c r="G230" s="50">
        <f>8.43880989837*Deflactores!$W$5</f>
        <v>10.811497214779836</v>
      </c>
      <c r="H230" s="50">
        <f>7.73608470925*Deflactores!$X$5</f>
        <v>9.0695380547885236</v>
      </c>
      <c r="I230" s="50">
        <f>7.18737162679999*Deflactores!$Y$5</f>
        <v>8.0097380257536397</v>
      </c>
      <c r="J230" s="50">
        <f>13.18610025686*Deflactores!$Z$5</f>
        <v>13.981625114759902</v>
      </c>
      <c r="K230" s="50">
        <f>3.27392917297*Deflactores!$AA$5</f>
        <v>3.27392917297</v>
      </c>
    </row>
    <row r="231" spans="3:11" x14ac:dyDescent="0.2">
      <c r="C231" s="87" t="s">
        <v>129</v>
      </c>
      <c r="D231" s="42">
        <f>53.65452843397*Deflactores!$T$5</f>
        <v>83.451285372722964</v>
      </c>
      <c r="E231" s="42">
        <f>39.8574814817099*Deflactores!$U$5</f>
        <v>61.009862997685055</v>
      </c>
      <c r="F231" s="42">
        <f>42.50830713322*Deflactores!$V$5</f>
        <v>61.605266893391864</v>
      </c>
      <c r="G231" s="42">
        <f>31.71038436632*Deflactores!$W$5</f>
        <v>40.626194497198881</v>
      </c>
      <c r="H231" s="42">
        <f>20.71995748317*Deflactores!$X$5</f>
        <v>24.291414837083536</v>
      </c>
      <c r="I231" s="42">
        <f>48.54157659424*Deflactores!$Y$5</f>
        <v>54.09561826845782</v>
      </c>
      <c r="J231" s="42">
        <f>66.31776860997*Deflactores!$Z$5</f>
        <v>70.318756955424007</v>
      </c>
      <c r="K231" s="42">
        <f>5.45364205104*Deflactores!$AA$5</f>
        <v>5.4536420510400001</v>
      </c>
    </row>
    <row r="232" spans="3:11" x14ac:dyDescent="0.2">
      <c r="C232" s="88" t="s">
        <v>130</v>
      </c>
      <c r="D232" s="50">
        <f>0*Deflactores!$T$5</f>
        <v>0</v>
      </c>
      <c r="E232" s="50">
        <f>0*Deflactores!$U$5</f>
        <v>0</v>
      </c>
      <c r="F232" s="50">
        <f>0*Deflactores!$V$5</f>
        <v>0</v>
      </c>
      <c r="G232" s="50">
        <f>0*Deflactores!$W$5</f>
        <v>0</v>
      </c>
      <c r="H232" s="50">
        <f>0*Deflactores!$X$5</f>
        <v>0</v>
      </c>
      <c r="I232" s="50">
        <f>0*Deflactores!$Y$5</f>
        <v>0</v>
      </c>
      <c r="J232" s="50">
        <f>0*Deflactores!$Z$5</f>
        <v>0</v>
      </c>
      <c r="K232" s="50">
        <f>0*Deflactores!$AA$5</f>
        <v>0</v>
      </c>
    </row>
    <row r="233" spans="3:11" x14ac:dyDescent="0.2">
      <c r="C233" s="87" t="s">
        <v>131</v>
      </c>
      <c r="D233" s="42">
        <f>6.97506142078*Deflactores!$T$5</f>
        <v>10.848624675438476</v>
      </c>
      <c r="E233" s="42">
        <f>3.86266872273999*Deflactores!$U$5</f>
        <v>5.9125885735643315</v>
      </c>
      <c r="F233" s="42">
        <f>5.00114107966*Deflactores!$V$5</f>
        <v>7.2479158019253243</v>
      </c>
      <c r="G233" s="42">
        <f>7.36126253014*Deflactores!$W$5</f>
        <v>9.4309826030379345</v>
      </c>
      <c r="H233" s="42">
        <f>10.66551894836*Deflactores!$X$5</f>
        <v>12.503912975585427</v>
      </c>
      <c r="I233" s="42">
        <f>14.13271113693*Deflactores!$Y$5</f>
        <v>15.749751046455842</v>
      </c>
      <c r="J233" s="42">
        <f>15.17574406081*Deflactores!$Z$5</f>
        <v>16.091305250421041</v>
      </c>
      <c r="K233" s="42">
        <f>5.22209395664*Deflactores!$AA$5</f>
        <v>5.2220939566400002</v>
      </c>
    </row>
    <row r="234" spans="3:11" x14ac:dyDescent="0.2">
      <c r="C234" s="88" t="s">
        <v>132</v>
      </c>
      <c r="D234" s="50">
        <f>246.029072656319*Deflactores!$T$5</f>
        <v>382.66000935029945</v>
      </c>
      <c r="E234" s="50">
        <f>136.84670496924*Deflactores!$U$5</f>
        <v>209.47130655230211</v>
      </c>
      <c r="F234" s="50">
        <f>178.73488341591*Deflactores!$V$5</f>
        <v>259.03196195247614</v>
      </c>
      <c r="G234" s="50">
        <f>188.25335053521*Deflactores!$W$5</f>
        <v>241.1833658413758</v>
      </c>
      <c r="H234" s="50">
        <f>222.14392265288*Deflactores!$X$5</f>
        <v>260.43442333707577</v>
      </c>
      <c r="I234" s="50">
        <f>286.209498038649*Deflactores!$Y$5</f>
        <v>318.95708456537596</v>
      </c>
      <c r="J234" s="50">
        <f>300.07592100604*Deflactores!$Z$5</f>
        <v>318.17967039117912</v>
      </c>
      <c r="K234" s="50">
        <f>98.71232706864*Deflactores!$AA$5</f>
        <v>98.712327068639993</v>
      </c>
    </row>
    <row r="235" spans="3:11" x14ac:dyDescent="0.2">
      <c r="C235" s="87" t="s">
        <v>133</v>
      </c>
      <c r="D235" s="42">
        <f>30.89154833285*Deflactores!$T$5</f>
        <v>48.047005365119801</v>
      </c>
      <c r="E235" s="42">
        <f>29.25859269543*Deflactores!$U$5</f>
        <v>44.786139652912993</v>
      </c>
      <c r="F235" s="42">
        <f>65.15056328543*Deflactores!$V$5</f>
        <v>94.419611368553234</v>
      </c>
      <c r="G235" s="42">
        <f>19.22415498211*Deflactores!$W$5</f>
        <v>24.629290213744945</v>
      </c>
      <c r="H235" s="42">
        <f>29.46814694125*Deflactores!$X$5</f>
        <v>34.547512098491168</v>
      </c>
      <c r="I235" s="42">
        <f>23.56577634647*Deflactores!$Y$5</f>
        <v>26.262130958263182</v>
      </c>
      <c r="J235" s="42">
        <f>16.8153209250399*Deflactores!$Z$5</f>
        <v>17.82979871065163</v>
      </c>
      <c r="K235" s="42">
        <f>1.65916857087*Deflactores!$AA$5</f>
        <v>1.6591685708699999</v>
      </c>
    </row>
    <row r="236" spans="3:11" x14ac:dyDescent="0.2">
      <c r="C236" s="88" t="s">
        <v>134</v>
      </c>
      <c r="D236" s="50">
        <f>28.0424568890399*Deflactores!$T$5</f>
        <v>43.615686144357667</v>
      </c>
      <c r="E236" s="50">
        <f>38.96189761191*Deflactores!$U$5</f>
        <v>59.638992406563986</v>
      </c>
      <c r="F236" s="50">
        <f>40.01252946556*Deflactores!$V$5</f>
        <v>57.988255074010226</v>
      </c>
      <c r="G236" s="50">
        <f>69.73294333421*Deflactores!$W$5</f>
        <v>89.339318187726306</v>
      </c>
      <c r="H236" s="50">
        <f>65.23622351477*Deflactores!$X$5</f>
        <v>76.480860015719387</v>
      </c>
      <c r="I236" s="50">
        <f>58.5449317138099*Deflactores!$Y$5</f>
        <v>65.243539657073967</v>
      </c>
      <c r="J236" s="50">
        <f>51.5516343030799*Deflactores!$Z$5</f>
        <v>54.661773446162009</v>
      </c>
      <c r="K236" s="50">
        <f>34.9508444178*Deflactores!$AA$5</f>
        <v>34.950844417799999</v>
      </c>
    </row>
    <row r="237" spans="3:11" x14ac:dyDescent="0.2">
      <c r="C237" s="87" t="s">
        <v>135</v>
      </c>
      <c r="D237" s="42">
        <f>0*Deflactores!$T$5</f>
        <v>0</v>
      </c>
      <c r="E237" s="42">
        <f>0*Deflactores!$U$5</f>
        <v>0</v>
      </c>
      <c r="F237" s="42">
        <f>0*Deflactores!$V$5</f>
        <v>0</v>
      </c>
      <c r="G237" s="42">
        <f>0*Deflactores!$W$5</f>
        <v>0</v>
      </c>
      <c r="H237" s="42">
        <f>0*Deflactores!$X$5</f>
        <v>0</v>
      </c>
      <c r="I237" s="42">
        <f>2897.21976471714*Deflactores!$Y$5</f>
        <v>3228.7145459252965</v>
      </c>
      <c r="J237" s="42">
        <f>3081.49690213936*Deflactores!$Z$5</f>
        <v>3267.405346443662</v>
      </c>
      <c r="K237" s="42">
        <f>1411.43457041747*Deflactores!$AA$5</f>
        <v>1411.43457041747</v>
      </c>
    </row>
    <row r="238" spans="3:11" x14ac:dyDescent="0.2">
      <c r="C238" s="88" t="s">
        <v>136</v>
      </c>
      <c r="D238" s="50">
        <f>1831.48425930101*Deflactores!$T$5</f>
        <v>2848.5892997209189</v>
      </c>
      <c r="E238" s="50">
        <f>1756.82046291225*Deflactores!$U$5</f>
        <v>2689.1657919477707</v>
      </c>
      <c r="F238" s="50">
        <f>1884.38219725178*Deflactores!$V$5</f>
        <v>2730.9454556031965</v>
      </c>
      <c r="G238" s="50">
        <f>2231.59453050636*Deflactores!$W$5</f>
        <v>2859.0379854092535</v>
      </c>
      <c r="H238" s="50">
        <f>2730.43142064751*Deflactores!$X$5</f>
        <v>3201.0703871873302</v>
      </c>
      <c r="I238" s="50">
        <f>0*Deflactores!$Y$5</f>
        <v>0</v>
      </c>
      <c r="J238" s="50">
        <f>0*Deflactores!$Z$5</f>
        <v>0</v>
      </c>
      <c r="K238" s="50">
        <f>0*Deflactores!$AA$5</f>
        <v>0</v>
      </c>
    </row>
    <row r="239" spans="3:11" x14ac:dyDescent="0.2">
      <c r="C239" s="87" t="s">
        <v>137</v>
      </c>
      <c r="D239" s="42">
        <f>24.07308287447*Deflactores!$T$5</f>
        <v>37.441941386753541</v>
      </c>
      <c r="E239" s="42">
        <f>22.98650997709*Deflactores!$U$5</f>
        <v>35.185460103411884</v>
      </c>
      <c r="F239" s="42">
        <f>49.66607687747*Deflactores!$V$5</f>
        <v>71.97868200197334</v>
      </c>
      <c r="G239" s="42">
        <f>25.39025852466*Deflactores!$W$5</f>
        <v>32.529078463412709</v>
      </c>
      <c r="H239" s="42">
        <f>9.78689317942*Deflactores!$X$5</f>
        <v>11.473840251874039</v>
      </c>
      <c r="I239" s="42">
        <f>35.687169316*Deflactores!$Y$5</f>
        <v>39.770432356110057</v>
      </c>
      <c r="J239" s="42">
        <f>35.64436773064*Deflactores!$Z$5</f>
        <v>37.794812518824983</v>
      </c>
      <c r="K239" s="42">
        <f>19.54249252896*Deflactores!$AA$5</f>
        <v>19.54249252896</v>
      </c>
    </row>
    <row r="240" spans="3:11" x14ac:dyDescent="0.2">
      <c r="C240" s="88" t="s">
        <v>138</v>
      </c>
      <c r="D240" s="50">
        <f>0*Deflactores!$T$5</f>
        <v>0</v>
      </c>
      <c r="E240" s="50">
        <f>0*Deflactores!$U$5</f>
        <v>0</v>
      </c>
      <c r="F240" s="50">
        <f>0*Deflactores!$V$5</f>
        <v>0</v>
      </c>
      <c r="G240" s="50">
        <f>0*Deflactores!$W$5</f>
        <v>0</v>
      </c>
      <c r="H240" s="50">
        <f>0*Deflactores!$X$5</f>
        <v>0</v>
      </c>
      <c r="I240" s="50">
        <f>0*Deflactores!$Y$5</f>
        <v>0</v>
      </c>
      <c r="J240" s="50">
        <f>0*Deflactores!$Z$5</f>
        <v>0</v>
      </c>
      <c r="K240" s="50">
        <f>0*Deflactores!$AA$5</f>
        <v>0</v>
      </c>
    </row>
    <row r="241" spans="3:11" x14ac:dyDescent="0.2">
      <c r="C241" s="87" t="s">
        <v>160</v>
      </c>
      <c r="D241" s="42">
        <f>0*Deflactores!$T$5</f>
        <v>0</v>
      </c>
      <c r="E241" s="42">
        <f>0*Deflactores!$U$5</f>
        <v>0</v>
      </c>
      <c r="F241" s="42">
        <f>0*Deflactores!$V$5</f>
        <v>0</v>
      </c>
      <c r="G241" s="42">
        <f>0*Deflactores!$W$5</f>
        <v>0</v>
      </c>
      <c r="H241" s="42">
        <f>0*Deflactores!$X$5</f>
        <v>0</v>
      </c>
      <c r="I241" s="42">
        <f>0*Deflactores!$Y$5</f>
        <v>0</v>
      </c>
      <c r="J241" s="42">
        <f>0*Deflactores!$Z$5</f>
        <v>0</v>
      </c>
      <c r="K241" s="42">
        <f>0*Deflactores!$AA$5</f>
        <v>0</v>
      </c>
    </row>
    <row r="242" spans="3:11" x14ac:dyDescent="0.2">
      <c r="C242" s="88" t="s">
        <v>161</v>
      </c>
      <c r="D242" s="50">
        <f>40.0510102192299*Deflactores!$T$5</f>
        <v>62.293125684330882</v>
      </c>
      <c r="E242" s="50">
        <f>31.36421886251*Deflactores!$U$5</f>
        <v>48.009222477070914</v>
      </c>
      <c r="F242" s="50">
        <f>38.24547411875*Deflactores!$V$5</f>
        <v>55.427345840093651</v>
      </c>
      <c r="G242" s="50">
        <f>78.6051075426799*Deflactores!$W$5</f>
        <v>100.70601322934222</v>
      </c>
      <c r="H242" s="50">
        <f>90.30493018081*Deflactores!$X$5</f>
        <v>105.87060917657401</v>
      </c>
      <c r="I242" s="50">
        <f>92.52852709385*Deflactores!$Y$5</f>
        <v>103.11547814879816</v>
      </c>
      <c r="J242" s="50">
        <f>145.45981500413*Deflactores!$Z$5</f>
        <v>154.23548759930122</v>
      </c>
      <c r="K242" s="50">
        <f>25.5224476446*Deflactores!$AA$5</f>
        <v>25.5224476446</v>
      </c>
    </row>
    <row r="243" spans="3:11" x14ac:dyDescent="0.2">
      <c r="C243" s="87" t="s">
        <v>140</v>
      </c>
      <c r="D243" s="42">
        <f>241.17571338528*Deflactores!$T$5</f>
        <v>375.11136282659993</v>
      </c>
      <c r="E243" s="42">
        <f>118.113061994129*Deflactores!$U$5</f>
        <v>180.79571168603977</v>
      </c>
      <c r="F243" s="42">
        <f>311.27096187729*Deflactores!$V$5</f>
        <v>451.11019412079509</v>
      </c>
      <c r="G243" s="42">
        <f>323.84606070404*Deflactores!$W$5</f>
        <v>414.89982894334867</v>
      </c>
      <c r="H243" s="42">
        <f>129.92802379721*Deflactores!$X$5</f>
        <v>152.32345566269109</v>
      </c>
      <c r="I243" s="42">
        <f>318.62848516984*Deflactores!$Y$5</f>
        <v>355.0853950889171</v>
      </c>
      <c r="J243" s="42">
        <f>382.84314915078*Deflactores!$Z$5</f>
        <v>405.94029204317371</v>
      </c>
      <c r="K243" s="42">
        <f>30.91754753826*Deflactores!$AA$5</f>
        <v>30.917547538259999</v>
      </c>
    </row>
    <row r="244" spans="3:11" x14ac:dyDescent="0.2">
      <c r="C244" s="88" t="s">
        <v>141</v>
      </c>
      <c r="D244" s="50">
        <f>0*Deflactores!$T$5</f>
        <v>0</v>
      </c>
      <c r="E244" s="50">
        <f>0*Deflactores!$U$5</f>
        <v>0</v>
      </c>
      <c r="F244" s="50">
        <f>0*Deflactores!$V$5</f>
        <v>0</v>
      </c>
      <c r="G244" s="50">
        <f>0*Deflactores!$W$5</f>
        <v>0</v>
      </c>
      <c r="H244" s="50">
        <f>0*Deflactores!$X$5</f>
        <v>0</v>
      </c>
      <c r="I244" s="50">
        <f>0*Deflactores!$Y$5</f>
        <v>0</v>
      </c>
      <c r="J244" s="50">
        <f>0*Deflactores!$Z$5</f>
        <v>0</v>
      </c>
      <c r="K244" s="50">
        <f>0*Deflactores!$AA$5</f>
        <v>0</v>
      </c>
    </row>
    <row r="245" spans="3:11" x14ac:dyDescent="0.2">
      <c r="C245" s="87" t="s">
        <v>142</v>
      </c>
      <c r="D245" s="42">
        <f>18.29044376351*Deflactores!$T$5</f>
        <v>28.447944407541144</v>
      </c>
      <c r="E245" s="42">
        <f>20.87862824586*Deflactores!$U$5</f>
        <v>31.958924686298808</v>
      </c>
      <c r="F245" s="42">
        <f>18.815348402*Deflactores!$V$5</f>
        <v>27.268189165112975</v>
      </c>
      <c r="G245" s="42">
        <f>23.77207277016*Deflactores!$W$5</f>
        <v>30.455917557020879</v>
      </c>
      <c r="H245" s="42">
        <f>17.78744134881*Deflactores!$X$5</f>
        <v>20.853426800957465</v>
      </c>
      <c r="I245" s="42">
        <f>22.4827617319*Deflactores!$Y$5</f>
        <v>25.055199719530162</v>
      </c>
      <c r="J245" s="42">
        <f>11.15902667012*Deflactores!$Z$5</f>
        <v>11.832257036424098</v>
      </c>
      <c r="K245" s="42">
        <f>10.19965539423*Deflactores!$AA$5</f>
        <v>10.19965539423</v>
      </c>
    </row>
    <row r="246" spans="3:11" x14ac:dyDescent="0.2">
      <c r="C246" s="88" t="s">
        <v>143</v>
      </c>
      <c r="D246" s="50">
        <f>28.51178707623*Deflactores!$T$5</f>
        <v>44.34565635429874</v>
      </c>
      <c r="E246" s="50">
        <f>9.04283904153*Deflactores!$U$5</f>
        <v>13.841877372182491</v>
      </c>
      <c r="F246" s="50">
        <f>49.19915078136*Deflactores!$V$5</f>
        <v>71.301988228208202</v>
      </c>
      <c r="G246" s="50">
        <f>69.58122759627*Deflactores!$W$5</f>
        <v>89.14494548613321</v>
      </c>
      <c r="H246" s="50">
        <f>6.69139617581*Deflactores!$X$5</f>
        <v>7.8447786622102242</v>
      </c>
      <c r="I246" s="50">
        <f>9.34254185839999*Deflactores!$Y$5</f>
        <v>10.411499038312337</v>
      </c>
      <c r="J246" s="50">
        <f>4.44491553261*Deflactores!$Z$5</f>
        <v>4.7130797910773223</v>
      </c>
      <c r="K246" s="50">
        <f>1.74264593479999*Deflactores!$AA$5</f>
        <v>1.7426459347999901</v>
      </c>
    </row>
    <row r="247" spans="3:11" x14ac:dyDescent="0.2">
      <c r="C247" s="87" t="s">
        <v>144</v>
      </c>
      <c r="D247" s="42">
        <f>0*Deflactores!$T$5</f>
        <v>0</v>
      </c>
      <c r="E247" s="42">
        <f>0*Deflactores!$U$5</f>
        <v>0</v>
      </c>
      <c r="F247" s="42">
        <f>0*Deflactores!$V$5</f>
        <v>0</v>
      </c>
      <c r="G247" s="42">
        <f>0*Deflactores!$W$5</f>
        <v>0</v>
      </c>
      <c r="H247" s="42">
        <f>0*Deflactores!$X$5</f>
        <v>0</v>
      </c>
      <c r="I247" s="42">
        <f>0*Deflactores!$Y$5</f>
        <v>0</v>
      </c>
      <c r="J247" s="42">
        <f>0*Deflactores!$Z$5</f>
        <v>0</v>
      </c>
      <c r="K247" s="42">
        <f>0*Deflactores!$AA$5</f>
        <v>0</v>
      </c>
    </row>
    <row r="248" spans="3:11" x14ac:dyDescent="0.2">
      <c r="C248" s="88" t="s">
        <v>145</v>
      </c>
      <c r="D248" s="50">
        <f>41.02808181999*Deflactores!$T$5</f>
        <v>63.812808800826048</v>
      </c>
      <c r="E248" s="50">
        <f>27.490047027*Deflactores!$U$5</f>
        <v>42.079026084144807</v>
      </c>
      <c r="F248" s="50">
        <f>28.76240754608*Deflactores!$V$5</f>
        <v>41.683988680603662</v>
      </c>
      <c r="G248" s="50">
        <f>46.53722811699*Deflactores!$W$5</f>
        <v>59.621809026364588</v>
      </c>
      <c r="H248" s="50">
        <f>70.8988014552*Deflactores!$X$5</f>
        <v>83.119485114734729</v>
      </c>
      <c r="I248" s="50">
        <f>40.04599349643*Deflactores!$Y$5</f>
        <v>44.627985519965151</v>
      </c>
      <c r="J248" s="50">
        <f>99.64628614253*Deflactores!$Z$5</f>
        <v>105.65800272890654</v>
      </c>
      <c r="K248" s="50">
        <f>34.658028317*Deflactores!$AA$5</f>
        <v>34.658028317000003</v>
      </c>
    </row>
    <row r="249" spans="3:11" x14ac:dyDescent="0.2">
      <c r="C249" s="87" t="s">
        <v>146</v>
      </c>
      <c r="D249" s="42">
        <f>8.9348978775*Deflactores!$T$5</f>
        <v>13.896845882617304</v>
      </c>
      <c r="E249" s="42">
        <f>2.98871410261*Deflactores!$U$5</f>
        <v>4.5748258836464455</v>
      </c>
      <c r="F249" s="42">
        <f>1.14634178*Deflactores!$V$5</f>
        <v>1.6613385963976963</v>
      </c>
      <c r="G249" s="42">
        <f>1.072998397*Deflactores!$W$5</f>
        <v>1.374686634767003</v>
      </c>
      <c r="H249" s="42">
        <f>17.80076064037*Deflactores!$X$5</f>
        <v>20.869041911986667</v>
      </c>
      <c r="I249" s="42">
        <f>50.13435654348*Deflactores!$Y$5</f>
        <v>55.87064129335819</v>
      </c>
      <c r="J249" s="42">
        <f>128.68067849358*Deflactores!$Z$5</f>
        <v>136.44405632925293</v>
      </c>
      <c r="K249" s="42">
        <f>34.17306414475*Deflactores!$AA$5</f>
        <v>34.173064144750001</v>
      </c>
    </row>
    <row r="250" spans="3:11" x14ac:dyDescent="0.2">
      <c r="C250" s="88" t="s">
        <v>162</v>
      </c>
      <c r="D250" s="50">
        <f>88.99743611313*Deflactores!$T$5</f>
        <v>138.42168881714198</v>
      </c>
      <c r="E250" s="50">
        <f>92.10482807768*Deflactores!$U$5</f>
        <v>140.98489752854104</v>
      </c>
      <c r="F250" s="50">
        <f>104.6805926783*Deflactores!$V$5</f>
        <v>151.70860204558355</v>
      </c>
      <c r="G250" s="50">
        <f>108.941106294699*Deflactores!$W$5</f>
        <v>139.571394718546</v>
      </c>
      <c r="H250" s="50">
        <f>120.05849712368*Deflactores!$X$5</f>
        <v>140.75273854770117</v>
      </c>
      <c r="I250" s="50">
        <f>121.18878561864*Deflactores!$Y$5</f>
        <v>135.05499296085569</v>
      </c>
      <c r="J250" s="50">
        <f>110.44850214388*Deflactores!$Z$5</f>
        <v>117.11192250787703</v>
      </c>
      <c r="K250" s="50">
        <f>85.60476839035*Deflactores!$AA$5</f>
        <v>85.604768390350003</v>
      </c>
    </row>
    <row r="251" spans="3:11" x14ac:dyDescent="0.2">
      <c r="C251" s="87" t="s">
        <v>148</v>
      </c>
      <c r="D251" s="42">
        <f>0*Deflactores!$T$5</f>
        <v>0</v>
      </c>
      <c r="E251" s="42">
        <f>0*Deflactores!$U$5</f>
        <v>0</v>
      </c>
      <c r="F251" s="42">
        <f>0*Deflactores!$V$5</f>
        <v>0</v>
      </c>
      <c r="G251" s="42">
        <f>0*Deflactores!$W$5</f>
        <v>0</v>
      </c>
      <c r="H251" s="42">
        <f>0*Deflactores!$X$5</f>
        <v>0</v>
      </c>
      <c r="I251" s="42">
        <f>0*Deflactores!$Y$5</f>
        <v>0</v>
      </c>
      <c r="J251" s="42">
        <f>0*Deflactores!$Z$5</f>
        <v>0</v>
      </c>
      <c r="K251" s="42">
        <f>0*Deflactores!$AA$5</f>
        <v>0</v>
      </c>
    </row>
    <row r="252" spans="3:11" x14ac:dyDescent="0.2">
      <c r="C252" s="88" t="s">
        <v>149</v>
      </c>
      <c r="D252" s="50">
        <f>887.104038574589*Deflactores!$T$5</f>
        <v>1379.7525472521509</v>
      </c>
      <c r="E252" s="50">
        <f>938.82415410774*Deflactores!$U$5</f>
        <v>1437.0585117706125</v>
      </c>
      <c r="F252" s="50">
        <f>1186.41208293331*Deflactores!$V$5</f>
        <v>1719.4105798095334</v>
      </c>
      <c r="G252" s="50">
        <f>1119.63767808898*Deflactores!$W$5</f>
        <v>1434.4391903602079</v>
      </c>
      <c r="H252" s="50">
        <f>1214.31160980754*Deflactores!$X$5</f>
        <v>1423.6200571010436</v>
      </c>
      <c r="I252" s="50">
        <f>1679.1170389762*Deflactores!$Y$5</f>
        <v>1871.2386523370169</v>
      </c>
      <c r="J252" s="50">
        <f>903.247777179439*Deflactores!$Z$5</f>
        <v>957.74122449076606</v>
      </c>
      <c r="K252" s="50">
        <f>552.50504883202*Deflactores!$AA$5</f>
        <v>552.50504883201995</v>
      </c>
    </row>
    <row r="253" spans="3:11" x14ac:dyDescent="0.2">
      <c r="C253" s="87" t="s">
        <v>163</v>
      </c>
      <c r="D253" s="42">
        <f>1357.03740397934*Deflactores!$T$5</f>
        <v>2110.6609072206456</v>
      </c>
      <c r="E253" s="42">
        <f>1385.53100447926*Deflactores!$U$5</f>
        <v>2120.8328680053419</v>
      </c>
      <c r="F253" s="42">
        <f>1432.61352807683*Deflactores!$V$5</f>
        <v>2076.2186194727306</v>
      </c>
      <c r="G253" s="42">
        <f>1549.55421742184*Deflactores!$W$5</f>
        <v>1985.2326699577036</v>
      </c>
      <c r="H253" s="42">
        <f>2004.76146361069*Deflactores!$X$5</f>
        <v>2350.3181607163951</v>
      </c>
      <c r="I253" s="42">
        <f>1937.93899084035*Deflactores!$Y$5</f>
        <v>2159.6745559455044</v>
      </c>
      <c r="J253" s="42">
        <f>2526.70100486194*Deflactores!$Z$5</f>
        <v>2679.1383000965652</v>
      </c>
      <c r="K253" s="42">
        <f>795.15025844538*Deflactores!$AA$5</f>
        <v>795.15025844538002</v>
      </c>
    </row>
    <row r="254" spans="3:11" x14ac:dyDescent="0.2">
      <c r="C254" s="88" t="s">
        <v>150</v>
      </c>
      <c r="D254" s="50">
        <f>1331.05121543515*Deflactores!$T$5</f>
        <v>2070.2434271076786</v>
      </c>
      <c r="E254" s="50">
        <f>1241.89668228314*Deflactores!$U$5</f>
        <v>1900.9717530231544</v>
      </c>
      <c r="F254" s="50">
        <f>1536.50333025369*Deflactores!$V$5</f>
        <v>2226.7811664720543</v>
      </c>
      <c r="G254" s="50">
        <f>1078.58341552447*Deflactores!$W$5</f>
        <v>1381.841957964112</v>
      </c>
      <c r="H254" s="50">
        <f>812.49827776128*Deflactores!$X$5</f>
        <v>952.54697001895602</v>
      </c>
      <c r="I254" s="50">
        <f>1432.25631537507*Deflactores!$Y$5</f>
        <v>1596.1325596563224</v>
      </c>
      <c r="J254" s="50">
        <f>1949.44944260926*Deflactores!$Z$5</f>
        <v>2067.0608258541251</v>
      </c>
      <c r="K254" s="50">
        <f>512.2809903663*Deflactores!$AA$5</f>
        <v>512.28099036629999</v>
      </c>
    </row>
    <row r="255" spans="3:11" x14ac:dyDescent="0.2">
      <c r="C255" s="87" t="s">
        <v>151</v>
      </c>
      <c r="D255" s="42">
        <f>0*Deflactores!$T$5</f>
        <v>0</v>
      </c>
      <c r="E255" s="42">
        <f>0*Deflactores!$U$5</f>
        <v>0</v>
      </c>
      <c r="F255" s="42">
        <f>0*Deflactores!$V$5</f>
        <v>0</v>
      </c>
      <c r="G255" s="42">
        <f>0*Deflactores!$W$5</f>
        <v>0</v>
      </c>
      <c r="H255" s="42">
        <f>0*Deflactores!$X$5</f>
        <v>0</v>
      </c>
      <c r="I255" s="42">
        <f>0*Deflactores!$Y$5</f>
        <v>0</v>
      </c>
      <c r="J255" s="42">
        <f>0*Deflactores!$Z$5</f>
        <v>0</v>
      </c>
      <c r="K255" s="42">
        <f>0*Deflactores!$AA$5</f>
        <v>0</v>
      </c>
    </row>
    <row r="256" spans="3:11" x14ac:dyDescent="0.2">
      <c r="C256" s="79" t="s">
        <v>202</v>
      </c>
      <c r="D256" s="44">
        <f t="shared" ref="D256:K256" si="11">+SUM(D225:D255)</f>
        <v>10160.961961016576</v>
      </c>
      <c r="E256" s="44">
        <f t="shared" si="11"/>
        <v>9542.1820632075469</v>
      </c>
      <c r="F256" s="44">
        <f t="shared" si="11"/>
        <v>10602.247336687373</v>
      </c>
      <c r="G256" s="44">
        <f t="shared" si="11"/>
        <v>9380.499298392293</v>
      </c>
      <c r="H256" s="44">
        <f t="shared" si="11"/>
        <v>9271.4187252548691</v>
      </c>
      <c r="I256" s="44">
        <f t="shared" si="11"/>
        <v>10466.48929713432</v>
      </c>
      <c r="J256" s="44">
        <f t="shared" si="11"/>
        <v>10822.89819200477</v>
      </c>
      <c r="K256" s="44">
        <f t="shared" si="11"/>
        <v>3768.53910779635</v>
      </c>
    </row>
    <row r="257" spans="1:11" s="31" customFormat="1" x14ac:dyDescent="0.2">
      <c r="A257" s="5"/>
      <c r="B257" s="5"/>
      <c r="C257" s="72" t="str">
        <f>+'C1 Aprop Resumen 2000-2026'!B20</f>
        <v>* Información con corte a 30 de Junio</v>
      </c>
      <c r="D257" s="121">
        <f>+D256-'C7 Ejec. Prop 19-26'!D130</f>
        <v>-1.8189894035458565E-11</v>
      </c>
      <c r="E257" s="121">
        <f>+E256-'C7 Ejec. Prop 19-26'!E130</f>
        <v>0</v>
      </c>
      <c r="F257" s="121">
        <f>+F256-'C7 Ejec. Prop 19-26'!F130</f>
        <v>-4.7293724492192268E-11</v>
      </c>
      <c r="G257" s="121">
        <f>+G256-'C7 Ejec. Prop 19-26'!G130</f>
        <v>-2.7284841053187847E-11</v>
      </c>
      <c r="H257" s="121">
        <f>+H256-'C7 Ejec. Prop 19-26'!H130</f>
        <v>0</v>
      </c>
      <c r="I257" s="121">
        <f>+I256-'C7 Ejec. Prop 19-26'!I130</f>
        <v>0</v>
      </c>
      <c r="J257" s="121">
        <f>+J256-'C7 Ejec. Prop 19-26'!J130</f>
        <v>2.3646862246096134E-11</v>
      </c>
      <c r="K257" s="121">
        <f>+K256-'C7 Ejec. Prop 19-26'!K130</f>
        <v>0</v>
      </c>
    </row>
    <row r="258" spans="1:11" x14ac:dyDescent="0.2">
      <c r="C258" s="1" t="s">
        <v>52</v>
      </c>
      <c r="E258" s="3"/>
      <c r="F258" s="3"/>
    </row>
    <row r="259" spans="1:11" x14ac:dyDescent="0.2">
      <c r="B259" s="9"/>
      <c r="E259" s="3"/>
      <c r="F259" s="3"/>
    </row>
    <row r="260" spans="1:11" x14ac:dyDescent="0.2">
      <c r="E260" s="3"/>
      <c r="F260" s="3"/>
    </row>
    <row r="261" spans="1:11" x14ac:dyDescent="0.2">
      <c r="E261" s="3"/>
      <c r="F261" s="3"/>
    </row>
    <row r="262" spans="1:11" ht="18" customHeight="1" x14ac:dyDescent="0.2">
      <c r="D262" s="131" t="s">
        <v>224</v>
      </c>
      <c r="E262" s="131"/>
      <c r="F262" s="131"/>
      <c r="G262" s="131"/>
      <c r="H262" s="131"/>
      <c r="I262" s="131"/>
      <c r="J262" s="131"/>
      <c r="K262" s="131"/>
    </row>
    <row r="263" spans="1:11" hidden="1" x14ac:dyDescent="0.2">
      <c r="D263" s="28"/>
      <c r="E263" s="28"/>
      <c r="F263" s="28"/>
    </row>
    <row r="264" spans="1:11" x14ac:dyDescent="0.2">
      <c r="D264" s="29"/>
      <c r="E264" s="29"/>
      <c r="F264" s="29"/>
    </row>
    <row r="265" spans="1:11" ht="13.5" customHeight="1" thickBot="1" x14ac:dyDescent="0.25">
      <c r="C265" s="181" t="s">
        <v>120</v>
      </c>
      <c r="D265" s="155">
        <v>2019</v>
      </c>
      <c r="E265" s="155">
        <v>2020</v>
      </c>
      <c r="F265" s="155">
        <v>2021</v>
      </c>
      <c r="G265" s="155">
        <v>2022</v>
      </c>
      <c r="H265" s="155">
        <v>2023</v>
      </c>
      <c r="I265" s="155">
        <v>2024</v>
      </c>
      <c r="J265" s="155">
        <v>2025</v>
      </c>
      <c r="K265" s="155" t="s">
        <v>36</v>
      </c>
    </row>
    <row r="266" spans="1:11" ht="12" customHeight="1" thickBot="1" x14ac:dyDescent="0.25">
      <c r="C266" s="162"/>
      <c r="D266" s="156"/>
      <c r="E266" s="156"/>
      <c r="F266" s="156"/>
      <c r="G266" s="156"/>
      <c r="H266" s="156"/>
      <c r="I266" s="156"/>
      <c r="J266" s="156"/>
      <c r="K266" s="156"/>
    </row>
    <row r="267" spans="1:11" x14ac:dyDescent="0.2">
      <c r="C267" s="87" t="s">
        <v>123</v>
      </c>
      <c r="D267" s="47">
        <f t="shared" ref="D267:K276" si="12">+IFERROR(IF(D225&gt;0,+((D225/D15)*100)," "),"")</f>
        <v>66.338592355726661</v>
      </c>
      <c r="E267" s="47">
        <f t="shared" si="12"/>
        <v>91.292602479431991</v>
      </c>
      <c r="F267" s="47">
        <f t="shared" si="12"/>
        <v>93.462546263161229</v>
      </c>
      <c r="G267" s="47">
        <f t="shared" si="12"/>
        <v>85.867068747852997</v>
      </c>
      <c r="H267" s="47">
        <f t="shared" si="12"/>
        <v>60.747737786654945</v>
      </c>
      <c r="I267" s="47">
        <f t="shared" si="12"/>
        <v>65.192322612720147</v>
      </c>
      <c r="J267" s="47">
        <f t="shared" si="12"/>
        <v>74.71287745461585</v>
      </c>
      <c r="K267" s="47">
        <f t="shared" si="12"/>
        <v>17.619297943884259</v>
      </c>
    </row>
    <row r="268" spans="1:11" x14ac:dyDescent="0.2">
      <c r="C268" s="88" t="s">
        <v>124</v>
      </c>
      <c r="D268" s="116">
        <f t="shared" si="12"/>
        <v>90.97489456107914</v>
      </c>
      <c r="E268" s="116">
        <f t="shared" si="12"/>
        <v>87.224364274226602</v>
      </c>
      <c r="F268" s="116">
        <f t="shared" si="12"/>
        <v>76.953774255278745</v>
      </c>
      <c r="G268" s="116">
        <f t="shared" si="12"/>
        <v>77.369716977170185</v>
      </c>
      <c r="H268" s="116">
        <f t="shared" si="12"/>
        <v>72.550197045681827</v>
      </c>
      <c r="I268" s="116">
        <f t="shared" si="12"/>
        <v>69.112578683945486</v>
      </c>
      <c r="J268" s="116">
        <f t="shared" si="12"/>
        <v>86.733098346051236</v>
      </c>
      <c r="K268" s="116">
        <f t="shared" si="12"/>
        <v>28.254751396735315</v>
      </c>
    </row>
    <row r="269" spans="1:11" x14ac:dyDescent="0.2">
      <c r="C269" s="87" t="s">
        <v>125</v>
      </c>
      <c r="D269" s="47" t="str">
        <f t="shared" si="12"/>
        <v xml:space="preserve"> </v>
      </c>
      <c r="E269" s="47" t="str">
        <f t="shared" si="12"/>
        <v xml:space="preserve"> </v>
      </c>
      <c r="F269" s="47" t="str">
        <f t="shared" si="12"/>
        <v xml:space="preserve"> </v>
      </c>
      <c r="G269" s="47" t="str">
        <f t="shared" si="12"/>
        <v xml:space="preserve"> </v>
      </c>
      <c r="H269" s="47" t="str">
        <f t="shared" si="12"/>
        <v xml:space="preserve"> </v>
      </c>
      <c r="I269" s="47" t="str">
        <f t="shared" si="12"/>
        <v xml:space="preserve"> </v>
      </c>
      <c r="J269" s="47" t="str">
        <f t="shared" si="12"/>
        <v xml:space="preserve"> </v>
      </c>
      <c r="K269" s="47" t="str">
        <f t="shared" si="12"/>
        <v xml:space="preserve"> </v>
      </c>
    </row>
    <row r="270" spans="1:11" x14ac:dyDescent="0.2">
      <c r="C270" s="88" t="s">
        <v>126</v>
      </c>
      <c r="D270" s="116">
        <f t="shared" si="12"/>
        <v>91.274846021526002</v>
      </c>
      <c r="E270" s="116">
        <f t="shared" si="12"/>
        <v>87.189730843814004</v>
      </c>
      <c r="F270" s="116">
        <f t="shared" si="12"/>
        <v>85.347175960447146</v>
      </c>
      <c r="G270" s="116">
        <f t="shared" si="12"/>
        <v>86.747655066456815</v>
      </c>
      <c r="H270" s="116">
        <f t="shared" si="12"/>
        <v>88.679272540928693</v>
      </c>
      <c r="I270" s="116">
        <f t="shared" si="12"/>
        <v>74.781732954147898</v>
      </c>
      <c r="J270" s="116">
        <f t="shared" si="12"/>
        <v>85.519482959730126</v>
      </c>
      <c r="K270" s="116">
        <f t="shared" si="12"/>
        <v>29.955822440798979</v>
      </c>
    </row>
    <row r="271" spans="1:11" x14ac:dyDescent="0.2">
      <c r="C271" s="87" t="s">
        <v>127</v>
      </c>
      <c r="D271" s="47" t="str">
        <f t="shared" si="12"/>
        <v xml:space="preserve"> </v>
      </c>
      <c r="E271" s="47" t="str">
        <f t="shared" si="12"/>
        <v xml:space="preserve"> </v>
      </c>
      <c r="F271" s="47" t="str">
        <f t="shared" si="12"/>
        <v xml:space="preserve"> </v>
      </c>
      <c r="G271" s="47" t="str">
        <f t="shared" si="12"/>
        <v xml:space="preserve"> </v>
      </c>
      <c r="H271" s="47" t="str">
        <f t="shared" si="12"/>
        <v xml:space="preserve"> </v>
      </c>
      <c r="I271" s="47" t="str">
        <f t="shared" si="12"/>
        <v xml:space="preserve"> </v>
      </c>
      <c r="J271" s="47" t="str">
        <f t="shared" si="12"/>
        <v xml:space="preserve"> </v>
      </c>
      <c r="K271" s="47" t="str">
        <f t="shared" si="12"/>
        <v xml:space="preserve"> </v>
      </c>
    </row>
    <row r="272" spans="1:11" x14ac:dyDescent="0.2">
      <c r="C272" s="88" t="s">
        <v>128</v>
      </c>
      <c r="D272" s="116">
        <f t="shared" si="12"/>
        <v>90.902936609780653</v>
      </c>
      <c r="E272" s="116">
        <f t="shared" si="12"/>
        <v>88.695902917066206</v>
      </c>
      <c r="F272" s="116">
        <f t="shared" si="12"/>
        <v>55.353922064894419</v>
      </c>
      <c r="G272" s="116">
        <f t="shared" si="12"/>
        <v>45.683863112021008</v>
      </c>
      <c r="H272" s="116">
        <f t="shared" si="12"/>
        <v>64.697891974913603</v>
      </c>
      <c r="I272" s="116">
        <f t="shared" si="12"/>
        <v>48.126287035656709</v>
      </c>
      <c r="J272" s="116">
        <f t="shared" si="12"/>
        <v>84.057822700344062</v>
      </c>
      <c r="K272" s="116">
        <f t="shared" si="12"/>
        <v>16.733117625986388</v>
      </c>
    </row>
    <row r="273" spans="3:11" x14ac:dyDescent="0.2">
      <c r="C273" s="87" t="s">
        <v>129</v>
      </c>
      <c r="D273" s="47">
        <f t="shared" si="12"/>
        <v>69.897272047807107</v>
      </c>
      <c r="E273" s="47">
        <f t="shared" si="12"/>
        <v>73.18131430688176</v>
      </c>
      <c r="F273" s="47">
        <f t="shared" si="12"/>
        <v>56.252206155170704</v>
      </c>
      <c r="G273" s="47">
        <f t="shared" si="12"/>
        <v>52.857256577148235</v>
      </c>
      <c r="H273" s="47">
        <f t="shared" si="12"/>
        <v>33.113784892875401</v>
      </c>
      <c r="I273" s="47">
        <f t="shared" si="12"/>
        <v>53.705939761727727</v>
      </c>
      <c r="J273" s="47">
        <f t="shared" si="12"/>
        <v>60.678684654040048</v>
      </c>
      <c r="K273" s="47">
        <f t="shared" si="12"/>
        <v>4.2915368007617314</v>
      </c>
    </row>
    <row r="274" spans="3:11" x14ac:dyDescent="0.2">
      <c r="C274" s="88" t="s">
        <v>130</v>
      </c>
      <c r="D274" s="116" t="str">
        <f t="shared" si="12"/>
        <v xml:space="preserve"> </v>
      </c>
      <c r="E274" s="116" t="str">
        <f t="shared" si="12"/>
        <v xml:space="preserve"> </v>
      </c>
      <c r="F274" s="116" t="str">
        <f t="shared" si="12"/>
        <v xml:space="preserve"> </v>
      </c>
      <c r="G274" s="116" t="str">
        <f t="shared" si="12"/>
        <v xml:space="preserve"> </v>
      </c>
      <c r="H274" s="116" t="str">
        <f t="shared" si="12"/>
        <v xml:space="preserve"> </v>
      </c>
      <c r="I274" s="116" t="str">
        <f t="shared" si="12"/>
        <v xml:space="preserve"> </v>
      </c>
      <c r="J274" s="116" t="str">
        <f t="shared" si="12"/>
        <v xml:space="preserve"> </v>
      </c>
      <c r="K274" s="116" t="str">
        <f t="shared" si="12"/>
        <v xml:space="preserve"> </v>
      </c>
    </row>
    <row r="275" spans="3:11" x14ac:dyDescent="0.2">
      <c r="C275" s="87" t="s">
        <v>131</v>
      </c>
      <c r="D275" s="47">
        <f t="shared" si="12"/>
        <v>74.68647623659983</v>
      </c>
      <c r="E275" s="47">
        <f t="shared" si="12"/>
        <v>39.06657601385119</v>
      </c>
      <c r="F275" s="47">
        <f t="shared" si="12"/>
        <v>43.651180788406293</v>
      </c>
      <c r="G275" s="47">
        <f t="shared" si="12"/>
        <v>58.881243512890769</v>
      </c>
      <c r="H275" s="47">
        <f t="shared" si="12"/>
        <v>63.86812615594075</v>
      </c>
      <c r="I275" s="47">
        <f t="shared" si="12"/>
        <v>73.839822770949311</v>
      </c>
      <c r="J275" s="47">
        <f t="shared" si="12"/>
        <v>69.146243861116844</v>
      </c>
      <c r="K275" s="47">
        <f t="shared" si="12"/>
        <v>12.396114575543619</v>
      </c>
    </row>
    <row r="276" spans="3:11" x14ac:dyDescent="0.2">
      <c r="C276" s="88" t="s">
        <v>132</v>
      </c>
      <c r="D276" s="116">
        <f t="shared" si="12"/>
        <v>80.284328300526383</v>
      </c>
      <c r="E276" s="116">
        <f t="shared" si="12"/>
        <v>57.123466172154771</v>
      </c>
      <c r="F276" s="116">
        <f t="shared" si="12"/>
        <v>56.878096544746107</v>
      </c>
      <c r="G276" s="116">
        <f t="shared" si="12"/>
        <v>59.27296234167865</v>
      </c>
      <c r="H276" s="116">
        <f t="shared" si="12"/>
        <v>59.52764571841449</v>
      </c>
      <c r="I276" s="116">
        <f t="shared" si="12"/>
        <v>80.202109219844189</v>
      </c>
      <c r="J276" s="116">
        <f t="shared" si="12"/>
        <v>78.853600454386196</v>
      </c>
      <c r="K276" s="116">
        <f t="shared" si="12"/>
        <v>24.590611364147986</v>
      </c>
    </row>
    <row r="277" spans="3:11" x14ac:dyDescent="0.2">
      <c r="C277" s="87" t="s">
        <v>133</v>
      </c>
      <c r="D277" s="47">
        <f t="shared" ref="D277:K286" si="13">+IFERROR(IF(D235&gt;0,+((D235/D25)*100)," "),"")</f>
        <v>53.072790318609762</v>
      </c>
      <c r="E277" s="47">
        <f t="shared" si="13"/>
        <v>57.322163872416368</v>
      </c>
      <c r="F277" s="47">
        <f t="shared" si="13"/>
        <v>82.925058071690458</v>
      </c>
      <c r="G277" s="47">
        <f t="shared" si="13"/>
        <v>64.669133334130365</v>
      </c>
      <c r="H277" s="47">
        <f t="shared" si="13"/>
        <v>72.196224425552742</v>
      </c>
      <c r="I277" s="47">
        <f t="shared" si="13"/>
        <v>82.788597564111456</v>
      </c>
      <c r="J277" s="47">
        <f t="shared" si="13"/>
        <v>82.143573307868095</v>
      </c>
      <c r="K277" s="47">
        <f t="shared" si="13"/>
        <v>10.125021050169213</v>
      </c>
    </row>
    <row r="278" spans="3:11" x14ac:dyDescent="0.2">
      <c r="C278" s="88" t="s">
        <v>134</v>
      </c>
      <c r="D278" s="116">
        <f t="shared" si="13"/>
        <v>74.769915715344354</v>
      </c>
      <c r="E278" s="116">
        <f t="shared" si="13"/>
        <v>84.343708213964902</v>
      </c>
      <c r="F278" s="116">
        <f t="shared" si="13"/>
        <v>53.820791813138925</v>
      </c>
      <c r="G278" s="116">
        <f t="shared" si="13"/>
        <v>85.659382632308123</v>
      </c>
      <c r="H278" s="116">
        <f t="shared" si="13"/>
        <v>80.730824625537551</v>
      </c>
      <c r="I278" s="116">
        <f t="shared" si="13"/>
        <v>78.371877200811085</v>
      </c>
      <c r="J278" s="116">
        <f t="shared" si="13"/>
        <v>74.959501353632717</v>
      </c>
      <c r="K278" s="116">
        <f t="shared" si="13"/>
        <v>43.358344333577818</v>
      </c>
    </row>
    <row r="279" spans="3:11" x14ac:dyDescent="0.2">
      <c r="C279" s="87" t="s">
        <v>135</v>
      </c>
      <c r="D279" s="47" t="str">
        <f t="shared" si="13"/>
        <v xml:space="preserve"> </v>
      </c>
      <c r="E279" s="47" t="str">
        <f t="shared" si="13"/>
        <v xml:space="preserve"> </v>
      </c>
      <c r="F279" s="47" t="str">
        <f t="shared" si="13"/>
        <v xml:space="preserve"> </v>
      </c>
      <c r="G279" s="47" t="str">
        <f t="shared" si="13"/>
        <v xml:space="preserve"> </v>
      </c>
      <c r="H279" s="47" t="str">
        <f t="shared" si="13"/>
        <v xml:space="preserve"> </v>
      </c>
      <c r="I279" s="47">
        <f t="shared" si="13"/>
        <v>83.554869062492429</v>
      </c>
      <c r="J279" s="47">
        <f t="shared" si="13"/>
        <v>94.870235909827485</v>
      </c>
      <c r="K279" s="47">
        <f t="shared" si="13"/>
        <v>42.073482008151487</v>
      </c>
    </row>
    <row r="280" spans="3:11" x14ac:dyDescent="0.2">
      <c r="C280" s="88" t="s">
        <v>136</v>
      </c>
      <c r="D280" s="116">
        <f t="shared" si="13"/>
        <v>91.257323251405779</v>
      </c>
      <c r="E280" s="116">
        <f t="shared" si="13"/>
        <v>90.236762671905765</v>
      </c>
      <c r="F280" s="116">
        <f t="shared" si="13"/>
        <v>83.979902268458346</v>
      </c>
      <c r="G280" s="116">
        <f t="shared" si="13"/>
        <v>90.995498350258515</v>
      </c>
      <c r="H280" s="116">
        <f t="shared" si="13"/>
        <v>89.865074472292989</v>
      </c>
      <c r="I280" s="116" t="str">
        <f t="shared" si="13"/>
        <v xml:space="preserve"> </v>
      </c>
      <c r="J280" s="116" t="str">
        <f t="shared" si="13"/>
        <v xml:space="preserve"> </v>
      </c>
      <c r="K280" s="116" t="str">
        <f t="shared" si="13"/>
        <v xml:space="preserve"> </v>
      </c>
    </row>
    <row r="281" spans="3:11" x14ac:dyDescent="0.2">
      <c r="C281" s="87" t="s">
        <v>137</v>
      </c>
      <c r="D281" s="47">
        <f t="shared" si="13"/>
        <v>58.417844861592926</v>
      </c>
      <c r="E281" s="47">
        <f t="shared" si="13"/>
        <v>70.407319725481116</v>
      </c>
      <c r="F281" s="47">
        <f t="shared" si="13"/>
        <v>49.519776206751857</v>
      </c>
      <c r="G281" s="47">
        <f t="shared" si="13"/>
        <v>29.343605475397577</v>
      </c>
      <c r="H281" s="47">
        <f t="shared" si="13"/>
        <v>19.69588921832991</v>
      </c>
      <c r="I281" s="47">
        <f t="shared" si="13"/>
        <v>62.538815769629132</v>
      </c>
      <c r="J281" s="47">
        <f t="shared" si="13"/>
        <v>69.567748973421899</v>
      </c>
      <c r="K281" s="47">
        <f t="shared" si="13"/>
        <v>37.020397472886394</v>
      </c>
    </row>
    <row r="282" spans="3:11" x14ac:dyDescent="0.2">
      <c r="C282" s="88" t="s">
        <v>138</v>
      </c>
      <c r="D282" s="116" t="str">
        <f t="shared" si="13"/>
        <v xml:space="preserve"> </v>
      </c>
      <c r="E282" s="116" t="str">
        <f t="shared" si="13"/>
        <v xml:space="preserve"> </v>
      </c>
      <c r="F282" s="116" t="str">
        <f t="shared" si="13"/>
        <v xml:space="preserve"> </v>
      </c>
      <c r="G282" s="116" t="str">
        <f t="shared" si="13"/>
        <v xml:space="preserve"> </v>
      </c>
      <c r="H282" s="116" t="str">
        <f t="shared" si="13"/>
        <v xml:space="preserve"> </v>
      </c>
      <c r="I282" s="116" t="str">
        <f t="shared" si="13"/>
        <v xml:space="preserve"> </v>
      </c>
      <c r="J282" s="116" t="str">
        <f t="shared" si="13"/>
        <v xml:space="preserve"> </v>
      </c>
      <c r="K282" s="116" t="str">
        <f t="shared" si="13"/>
        <v xml:space="preserve"> </v>
      </c>
    </row>
    <row r="283" spans="3:11" x14ac:dyDescent="0.2">
      <c r="C283" s="87" t="s">
        <v>160</v>
      </c>
      <c r="D283" s="47" t="str">
        <f t="shared" si="13"/>
        <v xml:space="preserve"> </v>
      </c>
      <c r="E283" s="47" t="str">
        <f t="shared" si="13"/>
        <v xml:space="preserve"> </v>
      </c>
      <c r="F283" s="47" t="str">
        <f t="shared" si="13"/>
        <v xml:space="preserve"> </v>
      </c>
      <c r="G283" s="47" t="str">
        <f t="shared" si="13"/>
        <v xml:space="preserve"> </v>
      </c>
      <c r="H283" s="47" t="str">
        <f t="shared" si="13"/>
        <v xml:space="preserve"> </v>
      </c>
      <c r="I283" s="47" t="str">
        <f t="shared" si="13"/>
        <v xml:space="preserve"> </v>
      </c>
      <c r="J283" s="47" t="str">
        <f t="shared" si="13"/>
        <v xml:space="preserve"> </v>
      </c>
      <c r="K283" s="47" t="str">
        <f t="shared" si="13"/>
        <v xml:space="preserve"> </v>
      </c>
    </row>
    <row r="284" spans="3:11" x14ac:dyDescent="0.2">
      <c r="C284" s="88" t="s">
        <v>161</v>
      </c>
      <c r="D284" s="116">
        <f t="shared" si="13"/>
        <v>63.766060997216066</v>
      </c>
      <c r="E284" s="116">
        <f t="shared" si="13"/>
        <v>59.966258125804032</v>
      </c>
      <c r="F284" s="116">
        <f t="shared" si="13"/>
        <v>55.208987670338082</v>
      </c>
      <c r="G284" s="116">
        <f t="shared" si="13"/>
        <v>40.048106476309577</v>
      </c>
      <c r="H284" s="116">
        <f t="shared" si="13"/>
        <v>58.330673832880187</v>
      </c>
      <c r="I284" s="116">
        <f t="shared" si="13"/>
        <v>65.234969539765558</v>
      </c>
      <c r="J284" s="116">
        <f t="shared" si="13"/>
        <v>55.817894562410643</v>
      </c>
      <c r="K284" s="116">
        <f t="shared" si="13"/>
        <v>13.903822721555128</v>
      </c>
    </row>
    <row r="285" spans="3:11" x14ac:dyDescent="0.2">
      <c r="C285" s="87" t="s">
        <v>140</v>
      </c>
      <c r="D285" s="47">
        <f t="shared" si="13"/>
        <v>78.023354634909538</v>
      </c>
      <c r="E285" s="47">
        <f t="shared" si="13"/>
        <v>68.811801452920321</v>
      </c>
      <c r="F285" s="47">
        <f t="shared" si="13"/>
        <v>61.416509670333262</v>
      </c>
      <c r="G285" s="47">
        <f t="shared" si="13"/>
        <v>65.169113471592667</v>
      </c>
      <c r="H285" s="47">
        <f t="shared" si="13"/>
        <v>23.924520272561328</v>
      </c>
      <c r="I285" s="47">
        <f t="shared" si="13"/>
        <v>56.113828504190188</v>
      </c>
      <c r="J285" s="47">
        <f t="shared" si="13"/>
        <v>73.217116777102206</v>
      </c>
      <c r="K285" s="47">
        <f t="shared" si="13"/>
        <v>6.0376608047519502</v>
      </c>
    </row>
    <row r="286" spans="3:11" x14ac:dyDescent="0.2">
      <c r="C286" s="88" t="s">
        <v>141</v>
      </c>
      <c r="D286" s="116" t="str">
        <f t="shared" si="13"/>
        <v xml:space="preserve"> </v>
      </c>
      <c r="E286" s="116" t="str">
        <f t="shared" si="13"/>
        <v xml:space="preserve"> </v>
      </c>
      <c r="F286" s="116" t="str">
        <f t="shared" si="13"/>
        <v xml:space="preserve"> </v>
      </c>
      <c r="G286" s="116" t="str">
        <f t="shared" si="13"/>
        <v xml:space="preserve"> </v>
      </c>
      <c r="H286" s="116" t="str">
        <f t="shared" si="13"/>
        <v xml:space="preserve"> </v>
      </c>
      <c r="I286" s="116" t="str">
        <f t="shared" si="13"/>
        <v xml:space="preserve"> </v>
      </c>
      <c r="J286" s="116" t="str">
        <f t="shared" si="13"/>
        <v xml:space="preserve"> </v>
      </c>
      <c r="K286" s="116" t="str">
        <f t="shared" si="13"/>
        <v xml:space="preserve"> </v>
      </c>
    </row>
    <row r="287" spans="3:11" x14ac:dyDescent="0.2">
      <c r="C287" s="87" t="s">
        <v>142</v>
      </c>
      <c r="D287" s="47">
        <f t="shared" ref="D287:K296" si="14">+IFERROR(IF(D245&gt;0,+((D245/D35)*100)," "),"")</f>
        <v>81.139204133536467</v>
      </c>
      <c r="E287" s="47">
        <f t="shared" si="14"/>
        <v>92.014635254029358</v>
      </c>
      <c r="F287" s="47">
        <f t="shared" si="14"/>
        <v>79.94964052859693</v>
      </c>
      <c r="G287" s="47">
        <f t="shared" si="14"/>
        <v>81.336164168616506</v>
      </c>
      <c r="H287" s="47">
        <f t="shared" si="14"/>
        <v>59.30234325896415</v>
      </c>
      <c r="I287" s="47">
        <f t="shared" si="14"/>
        <v>68.063579958525068</v>
      </c>
      <c r="J287" s="47">
        <f t="shared" si="14"/>
        <v>29.30570584095803</v>
      </c>
      <c r="K287" s="47">
        <f t="shared" si="14"/>
        <v>30.725984640003979</v>
      </c>
    </row>
    <row r="288" spans="3:11" x14ac:dyDescent="0.2">
      <c r="C288" s="88" t="s">
        <v>143</v>
      </c>
      <c r="D288" s="116">
        <f t="shared" si="14"/>
        <v>43.635385398175451</v>
      </c>
      <c r="E288" s="116">
        <f t="shared" si="14"/>
        <v>24.324556812749826</v>
      </c>
      <c r="F288" s="116">
        <f t="shared" si="14"/>
        <v>35.081510611811936</v>
      </c>
      <c r="G288" s="116">
        <f t="shared" si="14"/>
        <v>53.5511412386359</v>
      </c>
      <c r="H288" s="116">
        <f t="shared" si="14"/>
        <v>7.8211674641053737</v>
      </c>
      <c r="I288" s="116">
        <f t="shared" si="14"/>
        <v>16.643308876290316</v>
      </c>
      <c r="J288" s="116">
        <f t="shared" si="14"/>
        <v>49.498392997229637</v>
      </c>
      <c r="K288" s="116">
        <f t="shared" si="14"/>
        <v>13.414784589218879</v>
      </c>
    </row>
    <row r="289" spans="1:11" x14ac:dyDescent="0.2">
      <c r="C289" s="87" t="s">
        <v>144</v>
      </c>
      <c r="D289" s="47" t="str">
        <f t="shared" si="14"/>
        <v xml:space="preserve"> </v>
      </c>
      <c r="E289" s="47" t="str">
        <f t="shared" si="14"/>
        <v xml:space="preserve"> </v>
      </c>
      <c r="F289" s="47" t="str">
        <f t="shared" si="14"/>
        <v xml:space="preserve"> </v>
      </c>
      <c r="G289" s="47" t="str">
        <f t="shared" si="14"/>
        <v xml:space="preserve"> </v>
      </c>
      <c r="H289" s="47" t="str">
        <f t="shared" si="14"/>
        <v xml:space="preserve"> </v>
      </c>
      <c r="I289" s="47" t="str">
        <f t="shared" si="14"/>
        <v xml:space="preserve"> </v>
      </c>
      <c r="J289" s="47" t="str">
        <f t="shared" si="14"/>
        <v xml:space="preserve"> </v>
      </c>
      <c r="K289" s="47" t="str">
        <f t="shared" si="14"/>
        <v xml:space="preserve"> </v>
      </c>
    </row>
    <row r="290" spans="1:11" x14ac:dyDescent="0.2">
      <c r="C290" s="88" t="s">
        <v>145</v>
      </c>
      <c r="D290" s="116">
        <f t="shared" si="14"/>
        <v>82.330338055400958</v>
      </c>
      <c r="E290" s="116">
        <f t="shared" si="14"/>
        <v>89.357549506376728</v>
      </c>
      <c r="F290" s="116">
        <f t="shared" si="14"/>
        <v>52.662535822229373</v>
      </c>
      <c r="G290" s="116">
        <f t="shared" si="14"/>
        <v>74.036261756755067</v>
      </c>
      <c r="H290" s="116">
        <f t="shared" si="14"/>
        <v>76.469600210192041</v>
      </c>
      <c r="I290" s="116">
        <f t="shared" si="14"/>
        <v>32.424166995176833</v>
      </c>
      <c r="J290" s="116">
        <f t="shared" si="14"/>
        <v>60.736291466781012</v>
      </c>
      <c r="K290" s="116">
        <f t="shared" si="14"/>
        <v>20.30791981641357</v>
      </c>
    </row>
    <row r="291" spans="1:11" x14ac:dyDescent="0.2">
      <c r="C291" s="87" t="s">
        <v>146</v>
      </c>
      <c r="D291" s="47">
        <f t="shared" si="14"/>
        <v>97.330042238562072</v>
      </c>
      <c r="E291" s="47">
        <f t="shared" si="14"/>
        <v>95.591969035868317</v>
      </c>
      <c r="F291" s="47">
        <f t="shared" si="14"/>
        <v>98.290953333188838</v>
      </c>
      <c r="G291" s="47">
        <f t="shared" si="14"/>
        <v>24.907112279480039</v>
      </c>
      <c r="H291" s="47">
        <f t="shared" si="14"/>
        <v>58.323318990019281</v>
      </c>
      <c r="I291" s="47">
        <f t="shared" si="14"/>
        <v>74.397257561659814</v>
      </c>
      <c r="J291" s="47">
        <f t="shared" si="14"/>
        <v>76.181669845992644</v>
      </c>
      <c r="K291" s="47">
        <f t="shared" si="14"/>
        <v>17.882952810479015</v>
      </c>
    </row>
    <row r="292" spans="1:11" x14ac:dyDescent="0.2">
      <c r="C292" s="88" t="s">
        <v>162</v>
      </c>
      <c r="D292" s="116">
        <f t="shared" si="14"/>
        <v>72.919955930744763</v>
      </c>
      <c r="E292" s="116">
        <f t="shared" si="14"/>
        <v>76.729039135794409</v>
      </c>
      <c r="F292" s="116">
        <f t="shared" si="14"/>
        <v>79.79645580038941</v>
      </c>
      <c r="G292" s="116">
        <f t="shared" si="14"/>
        <v>69.122777666145552</v>
      </c>
      <c r="H292" s="116">
        <f t="shared" si="14"/>
        <v>66.655018709208676</v>
      </c>
      <c r="I292" s="116">
        <f t="shared" si="14"/>
        <v>66.253474044348508</v>
      </c>
      <c r="J292" s="116">
        <f t="shared" si="14"/>
        <v>74.247401933539862</v>
      </c>
      <c r="K292" s="116">
        <f t="shared" si="14"/>
        <v>21.29408026532807</v>
      </c>
    </row>
    <row r="293" spans="1:11" x14ac:dyDescent="0.2">
      <c r="C293" s="87" t="s">
        <v>148</v>
      </c>
      <c r="D293" s="47" t="str">
        <f t="shared" si="14"/>
        <v xml:space="preserve"> </v>
      </c>
      <c r="E293" s="47" t="str">
        <f t="shared" si="14"/>
        <v xml:space="preserve"> </v>
      </c>
      <c r="F293" s="47" t="str">
        <f t="shared" si="14"/>
        <v xml:space="preserve"> </v>
      </c>
      <c r="G293" s="47" t="str">
        <f t="shared" si="14"/>
        <v xml:space="preserve"> </v>
      </c>
      <c r="H293" s="47" t="str">
        <f t="shared" si="14"/>
        <v xml:space="preserve"> </v>
      </c>
      <c r="I293" s="47" t="str">
        <f t="shared" si="14"/>
        <v xml:space="preserve"> </v>
      </c>
      <c r="J293" s="47" t="str">
        <f t="shared" si="14"/>
        <v xml:space="preserve"> </v>
      </c>
      <c r="K293" s="47" t="str">
        <f t="shared" si="14"/>
        <v xml:space="preserve"> </v>
      </c>
    </row>
    <row r="294" spans="1:11" x14ac:dyDescent="0.2">
      <c r="C294" s="88" t="s">
        <v>149</v>
      </c>
      <c r="D294" s="116">
        <f t="shared" si="14"/>
        <v>78.742414736080732</v>
      </c>
      <c r="E294" s="116">
        <f t="shared" si="14"/>
        <v>73.994049578465379</v>
      </c>
      <c r="F294" s="116">
        <f t="shared" si="14"/>
        <v>73.842728953728013</v>
      </c>
      <c r="G294" s="116">
        <f t="shared" si="14"/>
        <v>71.51534158849914</v>
      </c>
      <c r="H294" s="116">
        <f t="shared" si="14"/>
        <v>81.208583995977904</v>
      </c>
      <c r="I294" s="116">
        <f t="shared" si="14"/>
        <v>68.43252789325966</v>
      </c>
      <c r="J294" s="116">
        <f t="shared" si="14"/>
        <v>64.715165746534211</v>
      </c>
      <c r="K294" s="116">
        <f t="shared" si="14"/>
        <v>36.641874805234835</v>
      </c>
    </row>
    <row r="295" spans="1:11" x14ac:dyDescent="0.2">
      <c r="C295" s="87" t="s">
        <v>163</v>
      </c>
      <c r="D295" s="47">
        <f t="shared" si="14"/>
        <v>86.451031585249083</v>
      </c>
      <c r="E295" s="47">
        <f t="shared" si="14"/>
        <v>90.949921819482768</v>
      </c>
      <c r="F295" s="47">
        <f t="shared" si="14"/>
        <v>88.863964318061335</v>
      </c>
      <c r="G295" s="47">
        <f t="shared" si="14"/>
        <v>93.064920204865714</v>
      </c>
      <c r="H295" s="47">
        <f t="shared" si="14"/>
        <v>91.404477144853303</v>
      </c>
      <c r="I295" s="47">
        <f t="shared" si="14"/>
        <v>89.706509058339748</v>
      </c>
      <c r="J295" s="47">
        <f t="shared" si="14"/>
        <v>85.871523747445721</v>
      </c>
      <c r="K295" s="47">
        <f t="shared" si="14"/>
        <v>27.265439318068264</v>
      </c>
    </row>
    <row r="296" spans="1:11" x14ac:dyDescent="0.2">
      <c r="C296" s="88" t="s">
        <v>150</v>
      </c>
      <c r="D296" s="116">
        <f t="shared" si="14"/>
        <v>62.109446778072865</v>
      </c>
      <c r="E296" s="116">
        <f t="shared" si="14"/>
        <v>58.093020394964398</v>
      </c>
      <c r="F296" s="116">
        <f t="shared" si="14"/>
        <v>56.119562520074581</v>
      </c>
      <c r="G296" s="116">
        <f t="shared" si="14"/>
        <v>41.255936883903068</v>
      </c>
      <c r="H296" s="116">
        <f t="shared" si="14"/>
        <v>32.710296831593041</v>
      </c>
      <c r="I296" s="116">
        <f t="shared" si="14"/>
        <v>45.200187571439095</v>
      </c>
      <c r="J296" s="116">
        <f t="shared" si="14"/>
        <v>51.572125290175883</v>
      </c>
      <c r="K296" s="116">
        <f t="shared" si="14"/>
        <v>9.2410847255536144</v>
      </c>
    </row>
    <row r="297" spans="1:11" x14ac:dyDescent="0.2">
      <c r="C297" s="87" t="s">
        <v>151</v>
      </c>
      <c r="D297" s="47" t="str">
        <f t="shared" ref="D297:K298" si="15">+IFERROR(IF(D255&gt;0,+((D255/D45)*100)," "),"")</f>
        <v xml:space="preserve"> </v>
      </c>
      <c r="E297" s="47" t="str">
        <f t="shared" si="15"/>
        <v xml:space="preserve"> </v>
      </c>
      <c r="F297" s="47" t="str">
        <f t="shared" si="15"/>
        <v xml:space="preserve"> </v>
      </c>
      <c r="G297" s="47" t="str">
        <f t="shared" si="15"/>
        <v xml:space="preserve"> </v>
      </c>
      <c r="H297" s="47" t="str">
        <f t="shared" si="15"/>
        <v xml:space="preserve"> </v>
      </c>
      <c r="I297" s="47" t="str">
        <f t="shared" si="15"/>
        <v xml:space="preserve"> </v>
      </c>
      <c r="J297" s="47" t="str">
        <f t="shared" si="15"/>
        <v xml:space="preserve"> </v>
      </c>
      <c r="K297" s="47" t="str">
        <f t="shared" si="15"/>
        <v xml:space="preserve"> </v>
      </c>
    </row>
    <row r="298" spans="1:11" x14ac:dyDescent="0.2">
      <c r="C298" s="91" t="s">
        <v>202</v>
      </c>
      <c r="D298" s="64">
        <f t="shared" si="15"/>
        <v>78.439667575319618</v>
      </c>
      <c r="E298" s="64">
        <f t="shared" si="15"/>
        <v>76.668356887291424</v>
      </c>
      <c r="F298" s="64">
        <f t="shared" si="15"/>
        <v>71.762408324646529</v>
      </c>
      <c r="G298" s="64">
        <f t="shared" si="15"/>
        <v>70.463263737119561</v>
      </c>
      <c r="H298" s="64">
        <f t="shared" si="15"/>
        <v>69.465760459980615</v>
      </c>
      <c r="I298" s="64">
        <f t="shared" si="15"/>
        <v>69.483462416544953</v>
      </c>
      <c r="J298" s="64">
        <f t="shared" si="15"/>
        <v>74.051513909114846</v>
      </c>
      <c r="K298" s="64">
        <f t="shared" si="15"/>
        <v>23.608854065416576</v>
      </c>
    </row>
    <row r="299" spans="1:11" s="31" customFormat="1" x14ac:dyDescent="0.2">
      <c r="A299" s="5"/>
      <c r="B299" s="5"/>
      <c r="C299" s="72" t="str">
        <f>+'C1 Aprop Resumen 2000-2026'!B20</f>
        <v>* Información con corte a 30 de Junio</v>
      </c>
      <c r="D299" s="47"/>
      <c r="E299" s="47"/>
      <c r="F299" s="47"/>
      <c r="G299" s="47"/>
      <c r="H299" s="47"/>
      <c r="I299" s="47"/>
    </row>
    <row r="300" spans="1:11" x14ac:dyDescent="0.2">
      <c r="C300" s="1" t="s">
        <v>52</v>
      </c>
      <c r="D300" s="11"/>
    </row>
  </sheetData>
  <mergeCells count="79">
    <mergeCell ref="D2:K4"/>
    <mergeCell ref="K182:K183"/>
    <mergeCell ref="K223:K224"/>
    <mergeCell ref="I56:I57"/>
    <mergeCell ref="K56:K57"/>
    <mergeCell ref="D223:D224"/>
    <mergeCell ref="E223:E224"/>
    <mergeCell ref="G223:G224"/>
    <mergeCell ref="K13:K14"/>
    <mergeCell ref="E8:E9"/>
    <mergeCell ref="G8:G9"/>
    <mergeCell ref="E140:E141"/>
    <mergeCell ref="H182:H183"/>
    <mergeCell ref="J182:J183"/>
    <mergeCell ref="J98:J99"/>
    <mergeCell ref="A7:C8"/>
    <mergeCell ref="F13:F14"/>
    <mergeCell ref="H13:H14"/>
    <mergeCell ref="J265:J266"/>
    <mergeCell ref="D8:D9"/>
    <mergeCell ref="H8:H9"/>
    <mergeCell ref="J8:J9"/>
    <mergeCell ref="D98:D99"/>
    <mergeCell ref="F98:F99"/>
    <mergeCell ref="J140:J141"/>
    <mergeCell ref="C98:C99"/>
    <mergeCell ref="C265:C266"/>
    <mergeCell ref="D140:D141"/>
    <mergeCell ref="E265:E266"/>
    <mergeCell ref="E13:E14"/>
    <mergeCell ref="G13:G14"/>
    <mergeCell ref="C56:C57"/>
    <mergeCell ref="C140:C141"/>
    <mergeCell ref="I98:I99"/>
    <mergeCell ref="D182:D183"/>
    <mergeCell ref="F182:F183"/>
    <mergeCell ref="G140:G141"/>
    <mergeCell ref="I140:I141"/>
    <mergeCell ref="C182:C183"/>
    <mergeCell ref="D6:K6"/>
    <mergeCell ref="F8:F9"/>
    <mergeCell ref="D11:K11"/>
    <mergeCell ref="F140:F141"/>
    <mergeCell ref="K98:K99"/>
    <mergeCell ref="I8:I9"/>
    <mergeCell ref="K8:K9"/>
    <mergeCell ref="E56:E57"/>
    <mergeCell ref="G56:G57"/>
    <mergeCell ref="K140:K141"/>
    <mergeCell ref="D13:D14"/>
    <mergeCell ref="H98:H99"/>
    <mergeCell ref="F56:F57"/>
    <mergeCell ref="E182:E183"/>
    <mergeCell ref="I13:I14"/>
    <mergeCell ref="F265:F266"/>
    <mergeCell ref="D138:K138"/>
    <mergeCell ref="H56:H57"/>
    <mergeCell ref="I223:I224"/>
    <mergeCell ref="D265:D266"/>
    <mergeCell ref="J223:J224"/>
    <mergeCell ref="K265:K266"/>
    <mergeCell ref="F223:F224"/>
    <mergeCell ref="H223:H224"/>
    <mergeCell ref="A9:C9"/>
    <mergeCell ref="D221:K221"/>
    <mergeCell ref="C13:C14"/>
    <mergeCell ref="C223:C224"/>
    <mergeCell ref="G265:G266"/>
    <mergeCell ref="H140:H141"/>
    <mergeCell ref="I265:I266"/>
    <mergeCell ref="D53:K53"/>
    <mergeCell ref="J56:J57"/>
    <mergeCell ref="G182:G183"/>
    <mergeCell ref="I182:I183"/>
    <mergeCell ref="H265:H266"/>
    <mergeCell ref="J13:J14"/>
    <mergeCell ref="E98:E99"/>
    <mergeCell ref="G98:G99"/>
    <mergeCell ref="D56:D57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AD55"/>
  <sheetViews>
    <sheetView showGridLines="0" zoomScaleNormal="100" workbookViewId="0">
      <pane xSplit="3" ySplit="7" topLeftCell="D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A7" sqref="A7:C7"/>
    </sheetView>
  </sheetViews>
  <sheetFormatPr baseColWidth="10" defaultColWidth="11.42578125" defaultRowHeight="11.25" x14ac:dyDescent="0.2"/>
  <cols>
    <col min="1" max="2" width="2.7109375" style="3" customWidth="1"/>
    <col min="3" max="3" width="46.2851562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30" ht="16.5" customHeight="1" x14ac:dyDescent="0.2">
      <c r="E1" s="129"/>
      <c r="F1" s="129"/>
      <c r="G1" s="129"/>
    </row>
    <row r="2" spans="1:30" ht="16.5" customHeight="1" x14ac:dyDescent="0.2"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</row>
    <row r="3" spans="1:30" s="98" customFormat="1" ht="16.5" customHeight="1" x14ac:dyDescent="0.25"/>
    <row r="4" spans="1:30" s="98" customFormat="1" ht="16.5" customHeight="1" x14ac:dyDescent="0.25">
      <c r="A4" s="120"/>
      <c r="C4" s="130"/>
      <c r="D4" s="165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</row>
    <row r="5" spans="1:30" s="98" customFormat="1" ht="16.5" customHeight="1" x14ac:dyDescent="0.25">
      <c r="A5" s="168" t="s">
        <v>1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</row>
    <row r="6" spans="1:30" s="98" customFormat="1" ht="16.5" customHeight="1" x14ac:dyDescent="0.25">
      <c r="A6" s="158"/>
      <c r="B6" s="158"/>
      <c r="C6" s="158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  <c r="W6" s="157">
        <v>2019</v>
      </c>
      <c r="X6" s="157">
        <v>2020</v>
      </c>
      <c r="Y6" s="157">
        <v>2021</v>
      </c>
      <c r="Z6" s="157">
        <v>2022</v>
      </c>
      <c r="AA6" s="157">
        <v>2023</v>
      </c>
      <c r="AB6" s="157">
        <v>2024</v>
      </c>
      <c r="AC6" s="157">
        <v>2025</v>
      </c>
      <c r="AD6" s="157" t="s">
        <v>36</v>
      </c>
    </row>
    <row r="7" spans="1:30" s="98" customFormat="1" ht="16.5" customHeight="1" x14ac:dyDescent="0.25">
      <c r="A7" s="166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</row>
    <row r="8" spans="1:30" s="98" customFormat="1" ht="12.75" customHeight="1" x14ac:dyDescent="0.25">
      <c r="A8" s="99"/>
      <c r="B8" s="125"/>
      <c r="C8" s="12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s="98" customFormat="1" ht="18" customHeight="1" x14ac:dyDescent="0.25">
      <c r="D9" s="164" t="s">
        <v>37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</row>
    <row r="10" spans="1:30" x14ac:dyDescent="0.2"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</row>
    <row r="11" spans="1:30" x14ac:dyDescent="0.2">
      <c r="B11" s="167"/>
      <c r="C11" s="161" t="s">
        <v>38</v>
      </c>
      <c r="D11" s="155" t="s">
        <v>27</v>
      </c>
      <c r="E11" s="155" t="s">
        <v>28</v>
      </c>
      <c r="F11" s="155" t="s">
        <v>29</v>
      </c>
      <c r="G11" s="155" t="s">
        <v>30</v>
      </c>
      <c r="H11" s="155">
        <v>2004</v>
      </c>
      <c r="I11" s="155" t="s">
        <v>31</v>
      </c>
      <c r="J11" s="155" t="s">
        <v>32</v>
      </c>
      <c r="K11" s="155" t="s">
        <v>33</v>
      </c>
      <c r="L11" s="155" t="s">
        <v>34</v>
      </c>
      <c r="M11" s="155" t="s">
        <v>35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  <c r="W11" s="155">
        <v>2019</v>
      </c>
      <c r="X11" s="155">
        <v>2020</v>
      </c>
      <c r="Y11" s="155">
        <v>2021</v>
      </c>
      <c r="Z11" s="155">
        <v>2022</v>
      </c>
      <c r="AA11" s="155">
        <v>2023</v>
      </c>
      <c r="AB11" s="155">
        <v>2024</v>
      </c>
      <c r="AC11" s="155">
        <v>2025</v>
      </c>
      <c r="AD11" s="155" t="s">
        <v>36</v>
      </c>
    </row>
    <row r="12" spans="1:30" ht="12" customHeight="1" thickBot="1" x14ac:dyDescent="0.25">
      <c r="B12" s="156"/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</row>
    <row r="13" spans="1:30" x14ac:dyDescent="0.2">
      <c r="B13" s="34" t="s">
        <v>39</v>
      </c>
      <c r="C13" s="76" t="s">
        <v>40</v>
      </c>
      <c r="D13" s="35">
        <f t="shared" ref="D13:AC13" si="0">+D27+D46</f>
        <v>98621.514811882444</v>
      </c>
      <c r="E13" s="35">
        <f t="shared" si="0"/>
        <v>103596.3182739012</v>
      </c>
      <c r="F13" s="35">
        <f t="shared" si="0"/>
        <v>107448.66639403303</v>
      </c>
      <c r="G13" s="35">
        <f t="shared" si="0"/>
        <v>107834.39043515243</v>
      </c>
      <c r="H13" s="35">
        <f t="shared" si="0"/>
        <v>125874.79270999522</v>
      </c>
      <c r="I13" s="35">
        <f t="shared" si="0"/>
        <v>135656.65230637806</v>
      </c>
      <c r="J13" s="35">
        <f t="shared" si="0"/>
        <v>136931.16064442974</v>
      </c>
      <c r="K13" s="35">
        <f t="shared" si="0"/>
        <v>141649.233453558</v>
      </c>
      <c r="L13" s="35">
        <f t="shared" si="0"/>
        <v>148786.7306945638</v>
      </c>
      <c r="M13" s="35">
        <f t="shared" si="0"/>
        <v>167422.51257243429</v>
      </c>
      <c r="N13" s="35">
        <f t="shared" si="0"/>
        <v>185055.20572169506</v>
      </c>
      <c r="O13" s="35">
        <f t="shared" si="0"/>
        <v>176458.61009186986</v>
      </c>
      <c r="P13" s="35">
        <f t="shared" si="0"/>
        <v>188523.33973852743</v>
      </c>
      <c r="Q13" s="35">
        <f t="shared" si="0"/>
        <v>204511.79056136089</v>
      </c>
      <c r="R13" s="35">
        <f t="shared" si="0"/>
        <v>218337.06251014667</v>
      </c>
      <c r="S13" s="35">
        <f t="shared" si="0"/>
        <v>210002.96647610024</v>
      </c>
      <c r="T13" s="35">
        <f t="shared" si="0"/>
        <v>212541.71955951062</v>
      </c>
      <c r="U13" s="35">
        <f t="shared" si="0"/>
        <v>231362.18630592304</v>
      </c>
      <c r="V13" s="35">
        <f t="shared" si="0"/>
        <v>236853.26117696002</v>
      </c>
      <c r="W13" s="35">
        <f t="shared" si="0"/>
        <v>243689.19390036966</v>
      </c>
      <c r="X13" s="35">
        <f t="shared" si="0"/>
        <v>324267.69021588069</v>
      </c>
      <c r="Y13" s="35">
        <f t="shared" si="0"/>
        <v>309972.8170456544</v>
      </c>
      <c r="Z13" s="35">
        <f t="shared" si="0"/>
        <v>270725.04455399746</v>
      </c>
      <c r="AA13" s="35">
        <f t="shared" si="0"/>
        <v>306381.75164101453</v>
      </c>
      <c r="AB13" s="35">
        <f t="shared" si="0"/>
        <v>323360.56091667817</v>
      </c>
      <c r="AC13" s="35">
        <f t="shared" si="0"/>
        <v>339045.11882389605</v>
      </c>
      <c r="AD13" s="35">
        <f>365896.529167538*Deflactores!$AA$5</f>
        <v>365896.52916753798</v>
      </c>
    </row>
    <row r="14" spans="1:30" x14ac:dyDescent="0.2">
      <c r="B14" s="34" t="s">
        <v>41</v>
      </c>
      <c r="C14" s="76" t="s">
        <v>42</v>
      </c>
      <c r="D14" s="35">
        <f t="shared" ref="D14:AD14" si="1">+D15+D16</f>
        <v>61752.239851419996</v>
      </c>
      <c r="E14" s="35">
        <f t="shared" si="1"/>
        <v>74199.373415194015</v>
      </c>
      <c r="F14" s="35">
        <f t="shared" si="1"/>
        <v>74409.64059896479</v>
      </c>
      <c r="G14" s="35">
        <f t="shared" si="1"/>
        <v>83190.297338046148</v>
      </c>
      <c r="H14" s="35">
        <f t="shared" si="1"/>
        <v>77549.606288655021</v>
      </c>
      <c r="I14" s="35">
        <f t="shared" si="1"/>
        <v>86804.00848684409</v>
      </c>
      <c r="J14" s="35">
        <f t="shared" si="1"/>
        <v>102491.77667517777</v>
      </c>
      <c r="K14" s="35">
        <f t="shared" si="1"/>
        <v>97940.895499585589</v>
      </c>
      <c r="L14" s="35">
        <f t="shared" si="1"/>
        <v>89952.915303814254</v>
      </c>
      <c r="M14" s="35">
        <f t="shared" si="1"/>
        <v>83991.801561993256</v>
      </c>
      <c r="N14" s="35">
        <f t="shared" si="1"/>
        <v>87690.047598936188</v>
      </c>
      <c r="O14" s="35">
        <f t="shared" si="1"/>
        <v>74569.6364681001</v>
      </c>
      <c r="P14" s="35">
        <f t="shared" si="1"/>
        <v>75326.35856008745</v>
      </c>
      <c r="Q14" s="35">
        <f t="shared" si="1"/>
        <v>90391.488633828136</v>
      </c>
      <c r="R14" s="35">
        <f t="shared" si="1"/>
        <v>80174.415999427554</v>
      </c>
      <c r="S14" s="35">
        <f t="shared" si="1"/>
        <v>86137.883036198531</v>
      </c>
      <c r="T14" s="35">
        <f t="shared" si="1"/>
        <v>80984.723989228238</v>
      </c>
      <c r="U14" s="35">
        <f t="shared" si="1"/>
        <v>83300.96266746051</v>
      </c>
      <c r="V14" s="35">
        <f t="shared" si="1"/>
        <v>77380.462980265889</v>
      </c>
      <c r="W14" s="35">
        <f t="shared" si="1"/>
        <v>80776.53614967523</v>
      </c>
      <c r="X14" s="35">
        <f t="shared" si="1"/>
        <v>82066.513672761997</v>
      </c>
      <c r="Y14" s="35">
        <f t="shared" si="1"/>
        <v>102200.86807076653</v>
      </c>
      <c r="Z14" s="35">
        <f t="shared" si="1"/>
        <v>91814.060519152496</v>
      </c>
      <c r="AA14" s="35">
        <f t="shared" si="1"/>
        <v>92028.54096311568</v>
      </c>
      <c r="AB14" s="35">
        <f t="shared" si="1"/>
        <v>105237.68731981359</v>
      </c>
      <c r="AC14" s="35">
        <f t="shared" si="1"/>
        <v>119398.72073397672</v>
      </c>
      <c r="AD14" s="35">
        <f t="shared" si="1"/>
        <v>100449.70846832701</v>
      </c>
    </row>
    <row r="15" spans="1:30" x14ac:dyDescent="0.2">
      <c r="B15" s="32"/>
      <c r="C15" s="77" t="s">
        <v>43</v>
      </c>
      <c r="D15" s="33">
        <f t="shared" ref="D15:AC15" si="2">+D29+D48</f>
        <v>19126.620144945126</v>
      </c>
      <c r="E15" s="33">
        <f t="shared" si="2"/>
        <v>27506.991920020435</v>
      </c>
      <c r="F15" s="33">
        <f t="shared" si="2"/>
        <v>31092.0495559091</v>
      </c>
      <c r="G15" s="33">
        <f t="shared" si="2"/>
        <v>40618.230923717965</v>
      </c>
      <c r="H15" s="33">
        <f t="shared" si="2"/>
        <v>27130.099831684634</v>
      </c>
      <c r="I15" s="33">
        <f t="shared" si="2"/>
        <v>36039.151222545741</v>
      </c>
      <c r="J15" s="33">
        <f t="shared" si="2"/>
        <v>27957.680567737345</v>
      </c>
      <c r="K15" s="33">
        <f t="shared" si="2"/>
        <v>19220.041652032724</v>
      </c>
      <c r="L15" s="33">
        <f t="shared" si="2"/>
        <v>18952.117317117209</v>
      </c>
      <c r="M15" s="33">
        <f t="shared" si="2"/>
        <v>18754.866040999423</v>
      </c>
      <c r="N15" s="33">
        <f t="shared" si="2"/>
        <v>18952.600646824263</v>
      </c>
      <c r="O15" s="33">
        <f t="shared" si="2"/>
        <v>14900.186052084751</v>
      </c>
      <c r="P15" s="33">
        <f t="shared" si="2"/>
        <v>13574.578526292917</v>
      </c>
      <c r="Q15" s="33">
        <f t="shared" si="2"/>
        <v>14327.287039920771</v>
      </c>
      <c r="R15" s="33">
        <f t="shared" si="2"/>
        <v>17644.159274972844</v>
      </c>
      <c r="S15" s="33">
        <f t="shared" si="2"/>
        <v>20422.850890267284</v>
      </c>
      <c r="T15" s="33">
        <f t="shared" si="2"/>
        <v>16780.26091866861</v>
      </c>
      <c r="U15" s="33">
        <f t="shared" si="2"/>
        <v>23997.573298625572</v>
      </c>
      <c r="V15" s="33">
        <f t="shared" si="2"/>
        <v>18040.64034119224</v>
      </c>
      <c r="W15" s="33">
        <f t="shared" si="2"/>
        <v>22393.278341786216</v>
      </c>
      <c r="X15" s="33">
        <f t="shared" si="2"/>
        <v>22950.519657718953</v>
      </c>
      <c r="Y15" s="33">
        <f t="shared" si="2"/>
        <v>36531.507232833996</v>
      </c>
      <c r="Z15" s="33">
        <f t="shared" si="2"/>
        <v>21506.061321599398</v>
      </c>
      <c r="AA15" s="33">
        <f t="shared" si="2"/>
        <v>31119.908223398179</v>
      </c>
      <c r="AB15" s="33">
        <f t="shared" si="2"/>
        <v>41523.042340588654</v>
      </c>
      <c r="AC15" s="33">
        <f t="shared" si="2"/>
        <v>57065.307118700817</v>
      </c>
      <c r="AD15" s="33">
        <f>38406.044999037*Deflactores!$AA$5</f>
        <v>38406.044999037003</v>
      </c>
    </row>
    <row r="16" spans="1:30" x14ac:dyDescent="0.2">
      <c r="B16" s="32"/>
      <c r="C16" s="77" t="s">
        <v>44</v>
      </c>
      <c r="D16" s="33">
        <f t="shared" ref="D16:AC16" si="3">+D30+D49</f>
        <v>42625.61970647487</v>
      </c>
      <c r="E16" s="33">
        <f t="shared" si="3"/>
        <v>46692.381495173577</v>
      </c>
      <c r="F16" s="33">
        <f t="shared" si="3"/>
        <v>43317.591043055691</v>
      </c>
      <c r="G16" s="33">
        <f t="shared" si="3"/>
        <v>42572.066414328183</v>
      </c>
      <c r="H16" s="33">
        <f t="shared" si="3"/>
        <v>50419.50645697039</v>
      </c>
      <c r="I16" s="33">
        <f t="shared" si="3"/>
        <v>50764.857264298349</v>
      </c>
      <c r="J16" s="33">
        <f t="shared" si="3"/>
        <v>74534.096107440419</v>
      </c>
      <c r="K16" s="33">
        <f t="shared" si="3"/>
        <v>78720.853847552862</v>
      </c>
      <c r="L16" s="33">
        <f t="shared" si="3"/>
        <v>71000.797986697042</v>
      </c>
      <c r="M16" s="33">
        <f t="shared" si="3"/>
        <v>65236.935520993829</v>
      </c>
      <c r="N16" s="33">
        <f t="shared" si="3"/>
        <v>68737.446952111917</v>
      </c>
      <c r="O16" s="33">
        <f t="shared" si="3"/>
        <v>59669.450416015345</v>
      </c>
      <c r="P16" s="33">
        <f t="shared" si="3"/>
        <v>61751.78003379453</v>
      </c>
      <c r="Q16" s="33">
        <f t="shared" si="3"/>
        <v>76064.201593907361</v>
      </c>
      <c r="R16" s="33">
        <f t="shared" si="3"/>
        <v>62530.256724454703</v>
      </c>
      <c r="S16" s="33">
        <f t="shared" si="3"/>
        <v>65715.03214593124</v>
      </c>
      <c r="T16" s="33">
        <f t="shared" si="3"/>
        <v>64204.463070559628</v>
      </c>
      <c r="U16" s="33">
        <f t="shared" si="3"/>
        <v>59303.389368834934</v>
      </c>
      <c r="V16" s="33">
        <f t="shared" si="3"/>
        <v>59339.822639073653</v>
      </c>
      <c r="W16" s="33">
        <f t="shared" si="3"/>
        <v>58383.257807889007</v>
      </c>
      <c r="X16" s="33">
        <f t="shared" si="3"/>
        <v>59115.994015043041</v>
      </c>
      <c r="Y16" s="33">
        <f t="shared" si="3"/>
        <v>65669.360837932545</v>
      </c>
      <c r="Z16" s="33">
        <f t="shared" si="3"/>
        <v>70307.999197553101</v>
      </c>
      <c r="AA16" s="33">
        <f t="shared" si="3"/>
        <v>60908.632739717505</v>
      </c>
      <c r="AB16" s="33">
        <f t="shared" si="3"/>
        <v>63714.644979224933</v>
      </c>
      <c r="AC16" s="33">
        <f t="shared" si="3"/>
        <v>62333.413615275895</v>
      </c>
      <c r="AD16" s="33">
        <f>62043.66346929*Deflactores!$AA$5</f>
        <v>62043.663469289997</v>
      </c>
    </row>
    <row r="17" spans="2:30" x14ac:dyDescent="0.2">
      <c r="B17" s="34" t="s">
        <v>45</v>
      </c>
      <c r="C17" s="76" t="s">
        <v>46</v>
      </c>
      <c r="D17" s="35">
        <f t="shared" ref="D17:AC17" si="4">+D31+D50</f>
        <v>28440.304660259913</v>
      </c>
      <c r="E17" s="35">
        <f t="shared" si="4"/>
        <v>39751.353830513552</v>
      </c>
      <c r="F17" s="35">
        <f t="shared" si="4"/>
        <v>34452.116683854962</v>
      </c>
      <c r="G17" s="35">
        <f t="shared" si="4"/>
        <v>27271.305828397664</v>
      </c>
      <c r="H17" s="35">
        <f t="shared" si="4"/>
        <v>32232.159328733243</v>
      </c>
      <c r="I17" s="35">
        <f t="shared" si="4"/>
        <v>34653.481276215018</v>
      </c>
      <c r="J17" s="35">
        <f t="shared" si="4"/>
        <v>39442.952607390507</v>
      </c>
      <c r="K17" s="35">
        <f t="shared" si="4"/>
        <v>52289.102946356186</v>
      </c>
      <c r="L17" s="35">
        <f t="shared" si="4"/>
        <v>51102.14617231601</v>
      </c>
      <c r="M17" s="35">
        <f t="shared" si="4"/>
        <v>70737.072203975345</v>
      </c>
      <c r="N17" s="35">
        <f t="shared" si="4"/>
        <v>56460.802846519036</v>
      </c>
      <c r="O17" s="35">
        <f t="shared" si="4"/>
        <v>69640.309518599272</v>
      </c>
      <c r="P17" s="35">
        <f t="shared" si="4"/>
        <v>78779.779729291797</v>
      </c>
      <c r="Q17" s="35">
        <f t="shared" si="4"/>
        <v>88574.681271740803</v>
      </c>
      <c r="R17" s="35">
        <f t="shared" si="4"/>
        <v>87090.276373207293</v>
      </c>
      <c r="S17" s="35">
        <f t="shared" si="4"/>
        <v>84509.040712011789</v>
      </c>
      <c r="T17" s="35">
        <f t="shared" si="4"/>
        <v>71335.206948706371</v>
      </c>
      <c r="U17" s="35">
        <f t="shared" si="4"/>
        <v>67328.649865937405</v>
      </c>
      <c r="V17" s="35">
        <f t="shared" si="4"/>
        <v>62352.720199330492</v>
      </c>
      <c r="W17" s="35">
        <f t="shared" si="4"/>
        <v>65010.034225063275</v>
      </c>
      <c r="X17" s="35">
        <f t="shared" si="4"/>
        <v>66989.632603454593</v>
      </c>
      <c r="Y17" s="35">
        <f t="shared" si="4"/>
        <v>86334.552475351986</v>
      </c>
      <c r="Z17" s="35">
        <f t="shared" si="4"/>
        <v>89274.398698657344</v>
      </c>
      <c r="AA17" s="35">
        <f t="shared" si="4"/>
        <v>97703.799607280118</v>
      </c>
      <c r="AB17" s="35">
        <f t="shared" si="4"/>
        <v>100968.96404623069</v>
      </c>
      <c r="AC17" s="35">
        <f t="shared" si="4"/>
        <v>82832.564379332718</v>
      </c>
      <c r="AD17" s="35">
        <f>89472.089093145*Deflactores!$AA$5</f>
        <v>89472.089093144998</v>
      </c>
    </row>
    <row r="18" spans="2:30" ht="14.25" customHeight="1" x14ac:dyDescent="0.2">
      <c r="B18" s="36" t="s">
        <v>47</v>
      </c>
      <c r="C18" s="78" t="s">
        <v>48</v>
      </c>
      <c r="D18" s="37">
        <f t="shared" ref="D18:M19" si="5">+D13+D17</f>
        <v>127061.81947214235</v>
      </c>
      <c r="E18" s="37">
        <f t="shared" si="5"/>
        <v>143347.67210441476</v>
      </c>
      <c r="F18" s="37">
        <f t="shared" si="5"/>
        <v>141900.78307788799</v>
      </c>
      <c r="G18" s="37">
        <f t="shared" si="5"/>
        <v>135105.69626355008</v>
      </c>
      <c r="H18" s="37">
        <f t="shared" si="5"/>
        <v>158106.95203872846</v>
      </c>
      <c r="I18" s="37">
        <f t="shared" si="5"/>
        <v>170310.13358259309</v>
      </c>
      <c r="J18" s="37">
        <f t="shared" si="5"/>
        <v>176374.11325182024</v>
      </c>
      <c r="K18" s="37">
        <f t="shared" si="5"/>
        <v>193938.33639991417</v>
      </c>
      <c r="L18" s="37">
        <f t="shared" si="5"/>
        <v>199888.87686687981</v>
      </c>
      <c r="M18" s="37">
        <f t="shared" si="5"/>
        <v>238159.58477640964</v>
      </c>
      <c r="N18" s="37">
        <f t="shared" ref="N18:W19" si="6">+N13+N17</f>
        <v>241516.00856821411</v>
      </c>
      <c r="O18" s="37">
        <f t="shared" si="6"/>
        <v>246098.91961046914</v>
      </c>
      <c r="P18" s="37">
        <f t="shared" si="6"/>
        <v>267303.11946781923</v>
      </c>
      <c r="Q18" s="37">
        <f t="shared" si="6"/>
        <v>293086.47183310171</v>
      </c>
      <c r="R18" s="37">
        <f t="shared" si="6"/>
        <v>305427.33888335398</v>
      </c>
      <c r="S18" s="37">
        <f t="shared" si="6"/>
        <v>294512.00718811201</v>
      </c>
      <c r="T18" s="37">
        <f t="shared" si="6"/>
        <v>283876.926508217</v>
      </c>
      <c r="U18" s="37">
        <f t="shared" si="6"/>
        <v>298690.83617186046</v>
      </c>
      <c r="V18" s="37">
        <f t="shared" si="6"/>
        <v>299205.9813762905</v>
      </c>
      <c r="W18" s="37">
        <f t="shared" si="6"/>
        <v>308699.22812543291</v>
      </c>
      <c r="X18" s="37">
        <f t="shared" ref="X18:AD19" si="7">+X13+X17</f>
        <v>391257.32281933527</v>
      </c>
      <c r="Y18" s="37">
        <f t="shared" si="7"/>
        <v>396307.36952100636</v>
      </c>
      <c r="Z18" s="37">
        <f t="shared" si="7"/>
        <v>359999.4432526548</v>
      </c>
      <c r="AA18" s="37">
        <f t="shared" si="7"/>
        <v>404085.55124829465</v>
      </c>
      <c r="AB18" s="37">
        <f t="shared" si="7"/>
        <v>424329.52496290882</v>
      </c>
      <c r="AC18" s="37">
        <f t="shared" si="7"/>
        <v>421877.68320322875</v>
      </c>
      <c r="AD18" s="37">
        <f t="shared" si="7"/>
        <v>455368.61826068297</v>
      </c>
    </row>
    <row r="19" spans="2:30" ht="14.25" customHeight="1" x14ac:dyDescent="0.2">
      <c r="B19" s="38" t="s">
        <v>49</v>
      </c>
      <c r="C19" s="78" t="s">
        <v>50</v>
      </c>
      <c r="D19" s="39">
        <f t="shared" si="5"/>
        <v>188814.05932356234</v>
      </c>
      <c r="E19" s="39">
        <f t="shared" si="5"/>
        <v>217547.04551960877</v>
      </c>
      <c r="F19" s="39">
        <f t="shared" si="5"/>
        <v>216310.42367685278</v>
      </c>
      <c r="G19" s="39">
        <f t="shared" si="5"/>
        <v>218295.99360159622</v>
      </c>
      <c r="H19" s="39">
        <f t="shared" si="5"/>
        <v>235656.55832738348</v>
      </c>
      <c r="I19" s="39">
        <f t="shared" si="5"/>
        <v>257114.14206943719</v>
      </c>
      <c r="J19" s="39">
        <f t="shared" si="5"/>
        <v>278865.889926998</v>
      </c>
      <c r="K19" s="39">
        <f t="shared" si="5"/>
        <v>291879.23189949978</v>
      </c>
      <c r="L19" s="39">
        <f t="shared" si="5"/>
        <v>289841.7921706941</v>
      </c>
      <c r="M19" s="39">
        <f t="shared" si="5"/>
        <v>322151.38633840287</v>
      </c>
      <c r="N19" s="39">
        <f t="shared" si="6"/>
        <v>329206.05616715027</v>
      </c>
      <c r="O19" s="39">
        <f t="shared" si="6"/>
        <v>320668.55607856927</v>
      </c>
      <c r="P19" s="39">
        <f t="shared" si="6"/>
        <v>342629.47802790668</v>
      </c>
      <c r="Q19" s="39">
        <f t="shared" si="6"/>
        <v>383477.96046692983</v>
      </c>
      <c r="R19" s="39">
        <f t="shared" si="6"/>
        <v>385601.75488278153</v>
      </c>
      <c r="S19" s="39">
        <f t="shared" si="6"/>
        <v>380649.89022431057</v>
      </c>
      <c r="T19" s="39">
        <f t="shared" si="6"/>
        <v>364861.65049744525</v>
      </c>
      <c r="U19" s="39">
        <f t="shared" si="6"/>
        <v>381991.79883932095</v>
      </c>
      <c r="V19" s="39">
        <f t="shared" si="6"/>
        <v>376586.4443565564</v>
      </c>
      <c r="W19" s="39">
        <f t="shared" si="6"/>
        <v>389475.76427510811</v>
      </c>
      <c r="X19" s="39">
        <f t="shared" si="7"/>
        <v>473323.83649209724</v>
      </c>
      <c r="Y19" s="39">
        <f t="shared" si="7"/>
        <v>498508.23759177292</v>
      </c>
      <c r="Z19" s="39">
        <f t="shared" si="7"/>
        <v>451813.5037718073</v>
      </c>
      <c r="AA19" s="39">
        <f t="shared" si="7"/>
        <v>496114.09221141035</v>
      </c>
      <c r="AB19" s="39">
        <f t="shared" si="7"/>
        <v>529567.21228272235</v>
      </c>
      <c r="AC19" s="39">
        <f t="shared" si="7"/>
        <v>541276.40393720544</v>
      </c>
      <c r="AD19" s="39">
        <f t="shared" si="7"/>
        <v>555818.32672900998</v>
      </c>
    </row>
    <row r="20" spans="2:30" x14ac:dyDescent="0.2">
      <c r="B20" s="72" t="s">
        <v>51</v>
      </c>
      <c r="R20" s="8"/>
    </row>
    <row r="21" spans="2:30" x14ac:dyDescent="0.2">
      <c r="B21" s="1" t="s">
        <v>52</v>
      </c>
      <c r="R21" s="8"/>
    </row>
    <row r="22" spans="2:30" x14ac:dyDescent="0.2">
      <c r="B22" s="1"/>
      <c r="R22" s="8"/>
    </row>
    <row r="23" spans="2:30" ht="18" customHeight="1" x14ac:dyDescent="0.2">
      <c r="C23" s="131"/>
      <c r="D23" s="164" t="s">
        <v>53</v>
      </c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</row>
    <row r="24" spans="2:30" x14ac:dyDescent="0.2"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</row>
    <row r="25" spans="2:30" x14ac:dyDescent="0.2">
      <c r="B25" s="167"/>
      <c r="C25" s="161" t="s">
        <v>38</v>
      </c>
      <c r="D25" s="155" t="s">
        <v>27</v>
      </c>
      <c r="E25" s="155" t="s">
        <v>28</v>
      </c>
      <c r="F25" s="155" t="s">
        <v>29</v>
      </c>
      <c r="G25" s="155" t="s">
        <v>30</v>
      </c>
      <c r="H25" s="155">
        <v>2004</v>
      </c>
      <c r="I25" s="155" t="s">
        <v>31</v>
      </c>
      <c r="J25" s="155" t="s">
        <v>32</v>
      </c>
      <c r="K25" s="155" t="s">
        <v>33</v>
      </c>
      <c r="L25" s="155" t="s">
        <v>34</v>
      </c>
      <c r="M25" s="155" t="s">
        <v>35</v>
      </c>
      <c r="N25" s="155">
        <v>2010</v>
      </c>
      <c r="O25" s="155">
        <v>2011</v>
      </c>
      <c r="P25" s="155">
        <v>2012</v>
      </c>
      <c r="Q25" s="155">
        <v>2013</v>
      </c>
      <c r="R25" s="155">
        <v>2014</v>
      </c>
      <c r="S25" s="155">
        <v>2015</v>
      </c>
      <c r="T25" s="155">
        <v>2016</v>
      </c>
      <c r="U25" s="155">
        <v>2017</v>
      </c>
      <c r="V25" s="155">
        <v>2018</v>
      </c>
      <c r="W25" s="155">
        <v>2019</v>
      </c>
      <c r="X25" s="155">
        <v>2020</v>
      </c>
      <c r="Y25" s="155">
        <v>2021</v>
      </c>
      <c r="Z25" s="155">
        <v>2022</v>
      </c>
      <c r="AA25" s="155">
        <v>2023</v>
      </c>
      <c r="AB25" s="155">
        <v>2024</v>
      </c>
      <c r="AC25" s="155">
        <v>2025</v>
      </c>
      <c r="AD25" s="155" t="s">
        <v>36</v>
      </c>
    </row>
    <row r="26" spans="2:30" ht="12" customHeight="1" thickBot="1" x14ac:dyDescent="0.25">
      <c r="B26" s="156"/>
      <c r="C26" s="162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</row>
    <row r="27" spans="2:30" x14ac:dyDescent="0.2">
      <c r="B27" s="34" t="s">
        <v>39</v>
      </c>
      <c r="C27" s="76" t="s">
        <v>40</v>
      </c>
      <c r="D27" s="35">
        <f>24624.058214003*Deflactores!$A$5</f>
        <v>91894.906315307846</v>
      </c>
      <c r="E27" s="35">
        <f>27903.5422457542*Deflactores!$B$5</f>
        <v>96735.071492470874</v>
      </c>
      <c r="F27" s="35">
        <f>31051.6495802533*Deflactores!$C$5</f>
        <v>100614.05132040291</v>
      </c>
      <c r="G27" s="35">
        <f>33240.8601535007*Deflactores!$D$5</f>
        <v>101142.06880051557</v>
      </c>
      <c r="H27" s="35">
        <f>39137.8888526023*Deflactores!$E$5</f>
        <v>112879.98311847585</v>
      </c>
      <c r="I27" s="35">
        <f>44992.0890386328*Deflactores!$F$5</f>
        <v>123755.88749620122</v>
      </c>
      <c r="J27" s="35">
        <f>49274.0349259904*Deflactores!$G$5</f>
        <v>129724.85735024231</v>
      </c>
      <c r="K27" s="35">
        <f>54094.0402412814*Deflactores!$H$5</f>
        <v>134741.77534081342</v>
      </c>
      <c r="L27" s="35">
        <f>61379.630372517*Deflactores!$I$5</f>
        <v>141992.29193867397</v>
      </c>
      <c r="M27" s="35">
        <f>70099.835293442*Deflactores!$J$5</f>
        <v>158982.61213517285</v>
      </c>
      <c r="N27" s="35">
        <f>79059.3018448911*Deflactores!$K$5</f>
        <v>173790.8991562787</v>
      </c>
      <c r="O27" s="35">
        <f>78195.918324145*Deflactores!$L$5</f>
        <v>165717.22045832328</v>
      </c>
      <c r="P27" s="35">
        <f>86113.9407639059*Deflactores!$M$5</f>
        <v>178150.66597425484</v>
      </c>
      <c r="Q27" s="35">
        <f>95291.720963454*Deflactores!$N$5</f>
        <v>193385.77593165901</v>
      </c>
      <c r="R27" s="35">
        <f>106016.736742201*Deflactores!$O$5</f>
        <v>207554.70596067005</v>
      </c>
      <c r="S27" s="35">
        <f>108631.880046319*Deflactores!$P$5</f>
        <v>199189.39178432868</v>
      </c>
      <c r="T27" s="35">
        <f>116955.517493496*Deflactores!$Q$5</f>
        <v>202791.26700150321</v>
      </c>
      <c r="U27" s="35">
        <f>132991.642817151*Deflactores!$R$5</f>
        <v>221535.77863587861</v>
      </c>
      <c r="V27" s="35">
        <f>140635.922359453*Deflactores!$S$5</f>
        <v>227049.35237861483</v>
      </c>
      <c r="W27" s="35">
        <f>150153.646139681*Deflactores!$T$5</f>
        <v>233540.67474804239</v>
      </c>
      <c r="X27" s="35">
        <f>205166.440089547*Deflactores!$U$5</f>
        <v>314048.35268706072</v>
      </c>
      <c r="Y27" s="35">
        <f>205343.450850703*Deflactores!$V$5</f>
        <v>297594.49264404044</v>
      </c>
      <c r="Z27" s="35">
        <f>202823.239448963*Deflactores!$W$5</f>
        <v>259849.77915175486</v>
      </c>
      <c r="AA27" s="35">
        <f>250994.411505787*Deflactores!$X$5</f>
        <v>294257.81286612601</v>
      </c>
      <c r="AB27" s="35">
        <f>276692.862798945*Deflactores!$Y$5</f>
        <v>308351.57268778549</v>
      </c>
      <c r="AC27" s="35">
        <f>307210.35149333*Deflactores!$Z$5</f>
        <v>325744.52508949733</v>
      </c>
      <c r="AD27" s="35">
        <f>352135.700352473*Deflactores!$AA$5</f>
        <v>352135.70035247301</v>
      </c>
    </row>
    <row r="28" spans="2:30" x14ac:dyDescent="0.2">
      <c r="B28" s="34" t="s">
        <v>41</v>
      </c>
      <c r="C28" s="76" t="s">
        <v>42</v>
      </c>
      <c r="D28" s="35">
        <f t="shared" ref="D28:AD28" si="8">+D29+D30</f>
        <v>61605.931656920198</v>
      </c>
      <c r="E28" s="35">
        <f t="shared" si="8"/>
        <v>74185.720229885337</v>
      </c>
      <c r="F28" s="35">
        <f t="shared" si="8"/>
        <v>74394.534052822302</v>
      </c>
      <c r="G28" s="35">
        <f t="shared" si="8"/>
        <v>83175.924259249179</v>
      </c>
      <c r="H28" s="35">
        <f t="shared" si="8"/>
        <v>77538.027534830719</v>
      </c>
      <c r="I28" s="35">
        <f t="shared" si="8"/>
        <v>86792.46894292011</v>
      </c>
      <c r="J28" s="35">
        <f t="shared" si="8"/>
        <v>102483.88166713131</v>
      </c>
      <c r="K28" s="35">
        <f t="shared" si="8"/>
        <v>97933.783707735754</v>
      </c>
      <c r="L28" s="35">
        <f t="shared" si="8"/>
        <v>89947.507396030342</v>
      </c>
      <c r="M28" s="35">
        <f t="shared" si="8"/>
        <v>83982.741799755051</v>
      </c>
      <c r="N28" s="35">
        <f t="shared" si="8"/>
        <v>87685.058705328076</v>
      </c>
      <c r="O28" s="35">
        <f t="shared" si="8"/>
        <v>74565.629801464383</v>
      </c>
      <c r="P28" s="35">
        <f t="shared" si="8"/>
        <v>75323.834236607494</v>
      </c>
      <c r="Q28" s="35">
        <f t="shared" si="8"/>
        <v>90388.69210967535</v>
      </c>
      <c r="R28" s="35">
        <f t="shared" si="8"/>
        <v>80172.353701209577</v>
      </c>
      <c r="S28" s="35">
        <f t="shared" si="8"/>
        <v>86135.002359964914</v>
      </c>
      <c r="T28" s="35">
        <f t="shared" si="8"/>
        <v>80982.491047787073</v>
      </c>
      <c r="U28" s="35">
        <f t="shared" si="8"/>
        <v>83298.388859630781</v>
      </c>
      <c r="V28" s="35">
        <f t="shared" si="8"/>
        <v>77378.385519583317</v>
      </c>
      <c r="W28" s="35">
        <f t="shared" si="8"/>
        <v>80774.489316075982</v>
      </c>
      <c r="X28" s="35">
        <f t="shared" si="8"/>
        <v>82064.730406791597</v>
      </c>
      <c r="Y28" s="35">
        <f t="shared" si="8"/>
        <v>102199.00723066195</v>
      </c>
      <c r="Z28" s="35">
        <f t="shared" si="8"/>
        <v>91792.000189244907</v>
      </c>
      <c r="AA28" s="35">
        <f t="shared" si="8"/>
        <v>91966.862828603829</v>
      </c>
      <c r="AB28" s="35">
        <f t="shared" si="8"/>
        <v>105237.68731981359</v>
      </c>
      <c r="AC28" s="35">
        <f t="shared" si="8"/>
        <v>119398.72073397672</v>
      </c>
      <c r="AD28" s="35">
        <f t="shared" si="8"/>
        <v>100449.70846832701</v>
      </c>
    </row>
    <row r="29" spans="2:30" x14ac:dyDescent="0.2">
      <c r="B29" s="32"/>
      <c r="C29" s="77" t="s">
        <v>43</v>
      </c>
      <c r="D29" s="33">
        <f>5118.685043496*Deflactores!$A$5</f>
        <v>19102.500426275801</v>
      </c>
      <c r="E29" s="33">
        <f>7930.94681748399*Deflactores!$B$5</f>
        <v>27494.74244650911</v>
      </c>
      <c r="F29" s="33">
        <f>9592.132325261*Deflactores!$C$5</f>
        <v>31080.580487409752</v>
      </c>
      <c r="G29" s="33">
        <f>13345.9083405457*Deflactores!$D$5</f>
        <v>40607.636906853411</v>
      </c>
      <c r="H29" s="33">
        <f>9403.76372765699*Deflactores!$E$5</f>
        <v>27121.971111568451</v>
      </c>
      <c r="I29" s="33">
        <f>13099.977408416*Deflactores!$F$5</f>
        <v>36032.986353815511</v>
      </c>
      <c r="J29" s="33">
        <f>10617.952448106*Deflactores!$G$5</f>
        <v>27954.121653545935</v>
      </c>
      <c r="K29" s="33">
        <f>7714.89399035686*Deflactores!$H$5</f>
        <v>19216.87690899368</v>
      </c>
      <c r="L29" s="33">
        <f>8191.355017661*Deflactores!$I$5</f>
        <v>18949.434299002063</v>
      </c>
      <c r="M29" s="33">
        <f>8268.53668593*Deflactores!$J$5</f>
        <v>18752.591291575205</v>
      </c>
      <c r="N29" s="33">
        <f>8620.58365653199*Deflactores!$K$5</f>
        <v>18950.065962635734</v>
      </c>
      <c r="O29" s="33">
        <f>7029.92120042*Deflactores!$L$5</f>
        <v>14898.207302144114</v>
      </c>
      <c r="P29" s="33">
        <f>6561.469324138*Deflactores!$M$5</f>
        <v>13574.226420198598</v>
      </c>
      <c r="Q29" s="33">
        <f>7059.316775695*Deflactores!$N$5</f>
        <v>14326.233574254802</v>
      </c>
      <c r="R29" s="33">
        <f>9012.280235977*Deflactores!$O$5</f>
        <v>17643.82900184832</v>
      </c>
      <c r="S29" s="33">
        <f>11137.815655388*Deflactores!$P$5</f>
        <v>20422.501435644488</v>
      </c>
      <c r="T29" s="33">
        <f>9677.42432937875*Deflactores!$Q$5</f>
        <v>16779.859412575603</v>
      </c>
      <c r="U29" s="33">
        <f>14405.848663066*Deflactores!$R$5</f>
        <v>23997.078559821981</v>
      </c>
      <c r="V29" s="33">
        <f>11174.35506334*Deflactores!$S$5</f>
        <v>18040.412704055525</v>
      </c>
      <c r="W29" s="33">
        <f>14397.630715367*Deflactores!$T$5</f>
        <v>22393.278341786216</v>
      </c>
      <c r="X29" s="33">
        <f>14993.475928439*Deflactores!$U$5</f>
        <v>22950.519657718953</v>
      </c>
      <c r="Y29" s="33">
        <f>25207.139061341*Deflactores!$V$5</f>
        <v>36531.507232833996</v>
      </c>
      <c r="Z29" s="33">
        <f>16786.348786879*Deflactores!$W$5</f>
        <v>21506.061321599398</v>
      </c>
      <c r="AA29" s="33">
        <f>26544.48823148*Deflactores!$X$5</f>
        <v>31119.908223398179</v>
      </c>
      <c r="AB29" s="33">
        <f>37259.837390135*Deflactores!$Y$5</f>
        <v>41523.042340588654</v>
      </c>
      <c r="AC29" s="33">
        <f>53818.412*Deflactores!$Z$5</f>
        <v>57065.307118700817</v>
      </c>
      <c r="AD29" s="33">
        <f>38406.044999037*Deflactores!$AA$5</f>
        <v>38406.044999037003</v>
      </c>
    </row>
    <row r="30" spans="2:30" x14ac:dyDescent="0.2">
      <c r="B30" s="32"/>
      <c r="C30" s="77" t="s">
        <v>44</v>
      </c>
      <c r="D30" s="33">
        <f>11389.172772288*Deflactores!$A$5</f>
        <v>42503.431230644397</v>
      </c>
      <c r="E30" s="33">
        <f>13468.162590601*Deflactores!$B$5</f>
        <v>46690.977783376227</v>
      </c>
      <c r="F30" s="33">
        <f>13367.6130758867*Deflactores!$C$5</f>
        <v>43313.95356541255</v>
      </c>
      <c r="G30" s="33">
        <f>13990.2861750422*Deflactores!$D$5</f>
        <v>42568.287352395768</v>
      </c>
      <c r="H30" s="33">
        <f>17480.318105728*Deflactores!$E$5</f>
        <v>50416.056423262264</v>
      </c>
      <c r="I30" s="33">
        <f>18453.870813007*Deflactores!$F$5</f>
        <v>50759.482589104598</v>
      </c>
      <c r="J30" s="33">
        <f>28309.007795014*Deflactores!$G$5</f>
        <v>74529.760013585372</v>
      </c>
      <c r="K30" s="33">
        <f>31602.0440822451*Deflactores!$H$5</f>
        <v>78716.906798742071</v>
      </c>
      <c r="L30" s="33">
        <f>30690.648234192*Deflactores!$I$5</f>
        <v>70998.073097028275</v>
      </c>
      <c r="M30" s="33">
        <f>28761.7793252889*Deflactores!$J$5</f>
        <v>65230.150508179839</v>
      </c>
      <c r="N30" s="33">
        <f>31268.268735202*Deflactores!$K$5</f>
        <v>68734.992742692339</v>
      </c>
      <c r="O30" s="33">
        <f>28154.882657729*Deflactores!$L$5</f>
        <v>59667.422499320266</v>
      </c>
      <c r="P30" s="33">
        <f>29848.342360197*Deflactores!$M$5</f>
        <v>61749.607816408898</v>
      </c>
      <c r="Q30" s="33">
        <f>37480.122514869*Deflactores!$N$5</f>
        <v>76062.458535420548</v>
      </c>
      <c r="R30" s="33">
        <f>31938.905510466*Deflactores!$O$5</f>
        <v>62528.524699361253</v>
      </c>
      <c r="S30" s="33">
        <f>35837.613911104*Deflactores!$P$5</f>
        <v>65712.500924320426</v>
      </c>
      <c r="T30" s="33">
        <f>37027.4919544972*Deflactores!$Q$5</f>
        <v>64202.631635211466</v>
      </c>
      <c r="U30" s="33">
        <f>35599.570988232*Deflactores!$R$5</f>
        <v>59301.3102998088</v>
      </c>
      <c r="V30" s="33">
        <f>36754.346358743*Deflactores!$S$5</f>
        <v>59337.972815527792</v>
      </c>
      <c r="W30" s="33">
        <f>37535.866946077*Deflactores!$T$5</f>
        <v>58381.210974289759</v>
      </c>
      <c r="X30" s="33">
        <f>38619.060008813*Deflactores!$U$5</f>
        <v>59114.210749072641</v>
      </c>
      <c r="Y30" s="33">
        <f>45311.292351171*Deflactores!$V$5</f>
        <v>65667.499997827967</v>
      </c>
      <c r="Z30" s="33">
        <f>54861.011833003*Deflactores!$W$5</f>
        <v>70285.938867645513</v>
      </c>
      <c r="AA30" s="33">
        <f>51900.900826722*Deflactores!$X$5</f>
        <v>60846.954605205647</v>
      </c>
      <c r="AB30" s="33">
        <f>57173.009911548*Deflactores!$Y$5</f>
        <v>63714.644979224933</v>
      </c>
      <c r="AC30" s="33">
        <f>58786.774394034*Deflactores!$Z$5</f>
        <v>62333.413615275895</v>
      </c>
      <c r="AD30" s="33">
        <f>62043.66346929*Deflactores!$AA$5</f>
        <v>62043.663469289997</v>
      </c>
    </row>
    <row r="31" spans="2:30" x14ac:dyDescent="0.2">
      <c r="B31" s="34" t="s">
        <v>45</v>
      </c>
      <c r="C31" s="76" t="s">
        <v>46</v>
      </c>
      <c r="D31" s="35">
        <f>5282.46193920199*Deflactores!$A$5</f>
        <v>19713.701973832056</v>
      </c>
      <c r="E31" s="35">
        <f>8682.710599852*Deflactores!$B$5</f>
        <v>30100.932104880711</v>
      </c>
      <c r="F31" s="35">
        <f>7691.33760007117*Deflactores!$C$5</f>
        <v>24921.595035267452</v>
      </c>
      <c r="G31" s="35">
        <f>6270.8732041031*Deflactores!$D$5</f>
        <v>19080.405444379288</v>
      </c>
      <c r="H31" s="35">
        <f>7963.9756075135*Deflactores!$E$5</f>
        <v>22969.389982114586</v>
      </c>
      <c r="I31" s="35">
        <f>9163.73950241747*Deflactores!$F$5</f>
        <v>25205.913731453904</v>
      </c>
      <c r="J31" s="35">
        <f>10749.1531497432*Deflactores!$G$5</f>
        <v>28299.536684600356</v>
      </c>
      <c r="K31" s="35">
        <f>16125.835038255*Deflactores!$H$5</f>
        <v>40167.523672032927</v>
      </c>
      <c r="L31" s="35">
        <f>16219.0159494324*Deflactores!$I$5</f>
        <v>37520.187620435427</v>
      </c>
      <c r="M31" s="35">
        <f>23698.743583883*Deflactores!$J$5</f>
        <v>53747.460939324963</v>
      </c>
      <c r="N31" s="35">
        <f>18202.9908133394*Deflactores!$K$5</f>
        <v>40014.445700397548</v>
      </c>
      <c r="O31" s="35">
        <f>25037.590831207*Deflactores!$L$5</f>
        <v>53061.081044165752</v>
      </c>
      <c r="P31" s="35">
        <f>29848.254958601*Deflactores!$M$5</f>
        <v>61749.427001869502</v>
      </c>
      <c r="Q31" s="35">
        <f>34723.8330709731*Deflactores!$N$5</f>
        <v>70468.822830126956</v>
      </c>
      <c r="R31" s="35">
        <f>38578.938422624*Deflactores!$O$5</f>
        <v>75528.076666362438</v>
      </c>
      <c r="S31" s="35">
        <f>39728.7584789163*Deflactores!$P$5</f>
        <v>72847.374402317364</v>
      </c>
      <c r="T31" s="35">
        <f>33408.0358796063*Deflactores!$Q$5</f>
        <v>57926.791905596045</v>
      </c>
      <c r="U31" s="35">
        <f>31702.147465306*Deflactores!$R$5</f>
        <v>52809.03201423031</v>
      </c>
      <c r="V31" s="35">
        <f>30951.1046466839*Deflactores!$S$5</f>
        <v>49968.942127537164</v>
      </c>
      <c r="W31" s="35">
        <f>33469.222870768*Deflactores!$T$5</f>
        <v>52056.177745164525</v>
      </c>
      <c r="X31" s="35">
        <f>35633.088244153*Deflactores!$U$5</f>
        <v>54543.582563233555</v>
      </c>
      <c r="Y31" s="35">
        <f>49377.4964657*Deflactores!$V$5</f>
        <v>71560.45614245889</v>
      </c>
      <c r="Z31" s="35">
        <f>59291.241905104*Deflactores!$W$5</f>
        <v>75961.788977102944</v>
      </c>
      <c r="AA31" s="35">
        <f>71954.415677339*Deflactores!$X$5</f>
        <v>84357.053434975343</v>
      </c>
      <c r="AB31" s="35">
        <f>77085.675691022*Deflactores!$Y$5</f>
        <v>85905.682895402322</v>
      </c>
      <c r="AC31" s="35">
        <f>64335.7862965803*Deflactores!$Z$5</f>
        <v>68217.200532365372</v>
      </c>
      <c r="AD31" s="35">
        <f>73509.691691923*Deflactores!$AA$5</f>
        <v>73509.691691922999</v>
      </c>
    </row>
    <row r="32" spans="2:30" x14ac:dyDescent="0.2">
      <c r="B32" s="36" t="s">
        <v>47</v>
      </c>
      <c r="C32" s="78" t="s">
        <v>48</v>
      </c>
      <c r="D32" s="37">
        <f t="shared" ref="D32:M33" si="9">+D27+D31</f>
        <v>111608.6082891399</v>
      </c>
      <c r="E32" s="37">
        <f t="shared" si="9"/>
        <v>126836.00359735158</v>
      </c>
      <c r="F32" s="37">
        <f t="shared" si="9"/>
        <v>125535.64635567037</v>
      </c>
      <c r="G32" s="37">
        <f t="shared" si="9"/>
        <v>120222.47424489485</v>
      </c>
      <c r="H32" s="37">
        <f t="shared" si="9"/>
        <v>135849.37310059043</v>
      </c>
      <c r="I32" s="37">
        <f t="shared" si="9"/>
        <v>148961.80122765512</v>
      </c>
      <c r="J32" s="37">
        <f t="shared" si="9"/>
        <v>158024.39403484267</v>
      </c>
      <c r="K32" s="37">
        <f t="shared" si="9"/>
        <v>174909.29901284634</v>
      </c>
      <c r="L32" s="37">
        <f t="shared" si="9"/>
        <v>179512.4795591094</v>
      </c>
      <c r="M32" s="37">
        <f t="shared" si="9"/>
        <v>212730.07307449781</v>
      </c>
      <c r="N32" s="37">
        <f t="shared" ref="N32:W33" si="10">+N27+N31</f>
        <v>213805.34485667624</v>
      </c>
      <c r="O32" s="37">
        <f t="shared" si="10"/>
        <v>218778.30150248902</v>
      </c>
      <c r="P32" s="37">
        <f t="shared" si="10"/>
        <v>239900.09297612435</v>
      </c>
      <c r="Q32" s="37">
        <f t="shared" si="10"/>
        <v>263854.59876178595</v>
      </c>
      <c r="R32" s="37">
        <f t="shared" si="10"/>
        <v>283082.78262703249</v>
      </c>
      <c r="S32" s="37">
        <f t="shared" si="10"/>
        <v>272036.76618664607</v>
      </c>
      <c r="T32" s="37">
        <f t="shared" si="10"/>
        <v>260718.05890709924</v>
      </c>
      <c r="U32" s="37">
        <f t="shared" si="10"/>
        <v>274344.81065010891</v>
      </c>
      <c r="V32" s="37">
        <f t="shared" si="10"/>
        <v>277018.29450615199</v>
      </c>
      <c r="W32" s="37">
        <f t="shared" si="10"/>
        <v>285596.85249320691</v>
      </c>
      <c r="X32" s="37">
        <f t="shared" ref="X32:AD33" si="11">+X27+X31</f>
        <v>368591.93525029428</v>
      </c>
      <c r="Y32" s="37">
        <f t="shared" si="11"/>
        <v>369154.94878649933</v>
      </c>
      <c r="Z32" s="37">
        <f t="shared" si="11"/>
        <v>335811.56812885782</v>
      </c>
      <c r="AA32" s="37">
        <f t="shared" si="11"/>
        <v>378614.86630110134</v>
      </c>
      <c r="AB32" s="37">
        <f t="shared" si="11"/>
        <v>394257.2555831878</v>
      </c>
      <c r="AC32" s="37">
        <f t="shared" si="11"/>
        <v>393961.72562186269</v>
      </c>
      <c r="AD32" s="37">
        <f t="shared" si="11"/>
        <v>425645.39204439602</v>
      </c>
    </row>
    <row r="33" spans="2:30" x14ac:dyDescent="0.2">
      <c r="B33" s="38" t="s">
        <v>49</v>
      </c>
      <c r="C33" s="78" t="s">
        <v>50</v>
      </c>
      <c r="D33" s="39">
        <f t="shared" si="9"/>
        <v>173214.5399460601</v>
      </c>
      <c r="E33" s="39">
        <f t="shared" si="9"/>
        <v>201021.72382723691</v>
      </c>
      <c r="F33" s="39">
        <f t="shared" si="9"/>
        <v>199930.18040849268</v>
      </c>
      <c r="G33" s="39">
        <f t="shared" si="9"/>
        <v>203398.39850414405</v>
      </c>
      <c r="H33" s="39">
        <f t="shared" si="9"/>
        <v>213387.40063542116</v>
      </c>
      <c r="I33" s="39">
        <f t="shared" si="9"/>
        <v>235754.27017057524</v>
      </c>
      <c r="J33" s="39">
        <f t="shared" si="9"/>
        <v>260508.27570197399</v>
      </c>
      <c r="K33" s="39">
        <f t="shared" si="9"/>
        <v>272843.08272058208</v>
      </c>
      <c r="L33" s="39">
        <f t="shared" si="9"/>
        <v>269459.98695513973</v>
      </c>
      <c r="M33" s="39">
        <f t="shared" si="9"/>
        <v>296712.81487425289</v>
      </c>
      <c r="N33" s="39">
        <f t="shared" si="10"/>
        <v>301490.40356200433</v>
      </c>
      <c r="O33" s="39">
        <f t="shared" si="10"/>
        <v>293343.9313039534</v>
      </c>
      <c r="P33" s="39">
        <f t="shared" si="10"/>
        <v>315223.92721273185</v>
      </c>
      <c r="Q33" s="39">
        <f t="shared" si="10"/>
        <v>354243.29087146127</v>
      </c>
      <c r="R33" s="39">
        <f t="shared" si="10"/>
        <v>363255.13632824208</v>
      </c>
      <c r="S33" s="39">
        <f t="shared" si="10"/>
        <v>358171.76854661095</v>
      </c>
      <c r="T33" s="39">
        <f t="shared" si="10"/>
        <v>341700.54995488632</v>
      </c>
      <c r="U33" s="39">
        <f t="shared" si="10"/>
        <v>357643.1995097397</v>
      </c>
      <c r="V33" s="39">
        <f t="shared" si="10"/>
        <v>354396.68002573529</v>
      </c>
      <c r="W33" s="39">
        <f t="shared" si="10"/>
        <v>366371.34180928289</v>
      </c>
      <c r="X33" s="39">
        <f t="shared" si="11"/>
        <v>450656.66565708589</v>
      </c>
      <c r="Y33" s="39">
        <f t="shared" si="11"/>
        <v>471353.95601716125</v>
      </c>
      <c r="Z33" s="39">
        <f t="shared" si="11"/>
        <v>427603.56831810274</v>
      </c>
      <c r="AA33" s="39">
        <f t="shared" si="11"/>
        <v>470581.72912970517</v>
      </c>
      <c r="AB33" s="39">
        <f t="shared" si="11"/>
        <v>499494.94290300139</v>
      </c>
      <c r="AC33" s="39">
        <f t="shared" si="11"/>
        <v>513360.44635583938</v>
      </c>
      <c r="AD33" s="39">
        <f t="shared" si="11"/>
        <v>526095.10051272297</v>
      </c>
    </row>
    <row r="34" spans="2:30" x14ac:dyDescent="0.2">
      <c r="B34" s="72" t="str">
        <f>+B20</f>
        <v>* Información con corte a 30 de Junio</v>
      </c>
    </row>
    <row r="35" spans="2:30" x14ac:dyDescent="0.2">
      <c r="B35" s="1" t="s">
        <v>52</v>
      </c>
      <c r="AB35" s="8"/>
    </row>
    <row r="37" spans="2:30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2:30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2:30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2" spans="2:30" ht="18" customHeight="1" x14ac:dyDescent="0.2">
      <c r="C42" s="131"/>
      <c r="D42" s="164" t="s">
        <v>54</v>
      </c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</row>
    <row r="43" spans="2:30" x14ac:dyDescent="0.2"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</row>
    <row r="44" spans="2:30" x14ac:dyDescent="0.2">
      <c r="B44" s="167"/>
      <c r="C44" s="161" t="s">
        <v>38</v>
      </c>
      <c r="D44" s="155" t="s">
        <v>27</v>
      </c>
      <c r="E44" s="155" t="s">
        <v>28</v>
      </c>
      <c r="F44" s="155" t="s">
        <v>29</v>
      </c>
      <c r="G44" s="155" t="s">
        <v>30</v>
      </c>
      <c r="H44" s="155">
        <v>2004</v>
      </c>
      <c r="I44" s="155" t="s">
        <v>31</v>
      </c>
      <c r="J44" s="155" t="s">
        <v>32</v>
      </c>
      <c r="K44" s="155" t="s">
        <v>33</v>
      </c>
      <c r="L44" s="155" t="s">
        <v>34</v>
      </c>
      <c r="M44" s="155" t="s">
        <v>35</v>
      </c>
      <c r="N44" s="155">
        <v>2010</v>
      </c>
      <c r="O44" s="155">
        <v>2011</v>
      </c>
      <c r="P44" s="155">
        <v>2012</v>
      </c>
      <c r="Q44" s="155">
        <v>2013</v>
      </c>
      <c r="R44" s="155">
        <v>2014</v>
      </c>
      <c r="S44" s="155">
        <v>2015</v>
      </c>
      <c r="T44" s="155">
        <v>2016</v>
      </c>
      <c r="U44" s="155">
        <v>2017</v>
      </c>
      <c r="V44" s="155">
        <v>2018</v>
      </c>
      <c r="W44" s="155">
        <v>2019</v>
      </c>
      <c r="X44" s="155">
        <v>2020</v>
      </c>
      <c r="Y44" s="155">
        <v>2021</v>
      </c>
      <c r="Z44" s="155">
        <v>2022</v>
      </c>
      <c r="AA44" s="155">
        <v>2023</v>
      </c>
      <c r="AB44" s="155">
        <v>2024</v>
      </c>
      <c r="AC44" s="155">
        <v>2025</v>
      </c>
      <c r="AD44" s="155" t="s">
        <v>36</v>
      </c>
    </row>
    <row r="45" spans="2:30" ht="12" customHeight="1" thickBot="1" x14ac:dyDescent="0.25">
      <c r="B45" s="156"/>
      <c r="C45" s="162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</row>
    <row r="46" spans="2:30" x14ac:dyDescent="0.2">
      <c r="B46" s="34" t="s">
        <v>39</v>
      </c>
      <c r="C46" s="76" t="s">
        <v>40</v>
      </c>
      <c r="D46" s="35">
        <f>1802.45462826995*Deflactores!$A$5</f>
        <v>6726.6084965745986</v>
      </c>
      <c r="E46" s="35">
        <f>1979.1486838265*Deflactores!$B$5</f>
        <v>6861.2467814303245</v>
      </c>
      <c r="F46" s="35">
        <f>2109.30848621184*Deflactores!$C$5</f>
        <v>6834.6150736301151</v>
      </c>
      <c r="G46" s="35">
        <f>2199.46586220191*Deflactores!$D$5</f>
        <v>6692.3216346368554</v>
      </c>
      <c r="H46" s="35">
        <f>4505.57662574961*Deflactores!$E$5</f>
        <v>12994.80959151937</v>
      </c>
      <c r="I46" s="35">
        <f>4326.58421995269*Deflactores!$F$5</f>
        <v>11900.764810176845</v>
      </c>
      <c r="J46" s="35">
        <f>2737.20586368722*Deflactores!$G$5</f>
        <v>7206.3032941874353</v>
      </c>
      <c r="K46" s="35">
        <f>2773.0992572323*Deflactores!$H$5</f>
        <v>6907.4581127445817</v>
      </c>
      <c r="L46" s="35">
        <f>2937.06182026656*Deflactores!$I$5</f>
        <v>6794.4387558898388</v>
      </c>
      <c r="M46" s="35">
        <f>3721.38577042655*Deflactores!$J$5</f>
        <v>8439.9004372614345</v>
      </c>
      <c r="N46" s="35">
        <f>5124.25113830518*Deflactores!$K$5</f>
        <v>11264.306565416375</v>
      </c>
      <c r="O46" s="35">
        <f>5068.47039884949*Deflactores!$L$5</f>
        <v>10741.389633546587</v>
      </c>
      <c r="P46" s="35">
        <f>5013.912292806*Deflactores!$M$5</f>
        <v>10372.673764272604</v>
      </c>
      <c r="Q46" s="35">
        <f>5482.39433030241*Deflactores!$N$5</f>
        <v>11126.014629701891</v>
      </c>
      <c r="R46" s="35">
        <f>5507.51306974952*Deflactores!$O$5</f>
        <v>10782.356549476614</v>
      </c>
      <c r="S46" s="35">
        <f>5897.397136793*Deflactores!$P$5</f>
        <v>10813.574691771559</v>
      </c>
      <c r="T46" s="35">
        <f>5623.364563865*Deflactores!$Q$5</f>
        <v>9750.4525580074132</v>
      </c>
      <c r="U46" s="35">
        <f>5898.9573019634*Deflactores!$R$5</f>
        <v>9826.4076700444421</v>
      </c>
      <c r="V46" s="35">
        <f>6072.60818909562*Deflactores!$S$5</f>
        <v>9803.9087983452009</v>
      </c>
      <c r="W46" s="35">
        <f>6524.9325638214*Deflactores!$T$5</f>
        <v>10148.51915232727</v>
      </c>
      <c r="X46" s="35">
        <f>6676.249319323*Deflactores!$U$5</f>
        <v>10219.337528819955</v>
      </c>
      <c r="Y46" s="35">
        <f>8541.179058099*Deflactores!$V$5</f>
        <v>12378.324401613967</v>
      </c>
      <c r="Z46" s="35">
        <f>8488.583542193*Deflactores!$W$5</f>
        <v>10875.265402242592</v>
      </c>
      <c r="AA46" s="35">
        <f>10341.410643597*Deflactores!$X$5</f>
        <v>12123.938774888496</v>
      </c>
      <c r="AB46" s="35">
        <f>13468.0030478485*Deflactores!$Y$5</f>
        <v>15008.988228892647</v>
      </c>
      <c r="AC46" s="35">
        <f>12543.818119712*Deflactores!$Z$5</f>
        <v>13300.593734398732</v>
      </c>
      <c r="AD46" s="35">
        <f>13760.828815065*Deflactores!$AA$5</f>
        <v>13760.828815065001</v>
      </c>
    </row>
    <row r="47" spans="2:30" x14ac:dyDescent="0.2">
      <c r="B47" s="34" t="s">
        <v>41</v>
      </c>
      <c r="C47" s="76" t="s">
        <v>42</v>
      </c>
      <c r="D47" s="35">
        <f t="shared" ref="D47:AD47" si="12">+D48+D49</f>
        <v>146.30819449979757</v>
      </c>
      <c r="E47" s="35">
        <f t="shared" si="12"/>
        <v>13.653185308675351</v>
      </c>
      <c r="F47" s="35">
        <f t="shared" si="12"/>
        <v>15.106546142487836</v>
      </c>
      <c r="G47" s="35">
        <f t="shared" si="12"/>
        <v>14.373078796962922</v>
      </c>
      <c r="H47" s="35">
        <f t="shared" si="12"/>
        <v>11.578753824308583</v>
      </c>
      <c r="I47" s="35">
        <f t="shared" si="12"/>
        <v>11.539543923977632</v>
      </c>
      <c r="J47" s="35">
        <f t="shared" si="12"/>
        <v>7.8950080464531274</v>
      </c>
      <c r="K47" s="35">
        <f t="shared" si="12"/>
        <v>7.111791849830853</v>
      </c>
      <c r="L47" s="35">
        <f t="shared" si="12"/>
        <v>5.407907783909752</v>
      </c>
      <c r="M47" s="35">
        <f t="shared" si="12"/>
        <v>9.0597622382115475</v>
      </c>
      <c r="N47" s="35">
        <f t="shared" si="12"/>
        <v>4.9888936081043891</v>
      </c>
      <c r="O47" s="35">
        <f t="shared" si="12"/>
        <v>4.0066666357157548</v>
      </c>
      <c r="P47" s="35">
        <f t="shared" si="12"/>
        <v>2.5243234799550476</v>
      </c>
      <c r="Q47" s="35">
        <f t="shared" si="12"/>
        <v>2.7965241527753273</v>
      </c>
      <c r="R47" s="35">
        <f t="shared" si="12"/>
        <v>2.062298217975036</v>
      </c>
      <c r="S47" s="35">
        <f t="shared" si="12"/>
        <v>2.8806762336136162</v>
      </c>
      <c r="T47" s="35">
        <f t="shared" si="12"/>
        <v>2.2329414411700097</v>
      </c>
      <c r="U47" s="35">
        <f t="shared" si="12"/>
        <v>2.5738078297214071</v>
      </c>
      <c r="V47" s="35">
        <f t="shared" si="12"/>
        <v>2.0774606825800999</v>
      </c>
      <c r="W47" s="35">
        <f t="shared" si="12"/>
        <v>2.0468335992488655</v>
      </c>
      <c r="X47" s="35">
        <f t="shared" si="12"/>
        <v>1.7832659704030525</v>
      </c>
      <c r="Y47" s="35">
        <f t="shared" si="12"/>
        <v>1.8608401045756546</v>
      </c>
      <c r="Z47" s="35">
        <f t="shared" si="12"/>
        <v>22.060329907593335</v>
      </c>
      <c r="AA47" s="35">
        <f t="shared" si="12"/>
        <v>61.678134511857046</v>
      </c>
      <c r="AB47" s="35">
        <f t="shared" si="12"/>
        <v>0</v>
      </c>
      <c r="AC47" s="35">
        <f t="shared" si="12"/>
        <v>0</v>
      </c>
      <c r="AD47" s="35">
        <f t="shared" si="12"/>
        <v>0</v>
      </c>
    </row>
    <row r="48" spans="2:30" x14ac:dyDescent="0.2">
      <c r="B48" s="32"/>
      <c r="C48" s="77" t="s">
        <v>43</v>
      </c>
      <c r="D48" s="33">
        <f>6.463093336*Deflactores!$A$5</f>
        <v>24.119718669324055</v>
      </c>
      <c r="E48" s="33">
        <f>3.5334*Deflactores!$B$5</f>
        <v>12.249473511324727</v>
      </c>
      <c r="F48" s="33">
        <f>3.5396*Deflactores!$C$5</f>
        <v>11.469068499348724</v>
      </c>
      <c r="G48" s="33">
        <f>3.48177802999999*Deflactores!$D$5</f>
        <v>10.594016864551445</v>
      </c>
      <c r="H48" s="33">
        <f>2.8184*Deflactores!$E$5</f>
        <v>8.1287201161837572</v>
      </c>
      <c r="I48" s="33">
        <f>2.241269716*Deflactores!$F$5</f>
        <v>6.164868730228835</v>
      </c>
      <c r="J48" s="33">
        <f>1.3518*Deflactores!$G$5</f>
        <v>3.5589141914083422</v>
      </c>
      <c r="K48" s="33">
        <f>1.270532*Deflactores!$H$5</f>
        <v>3.1647430390431315</v>
      </c>
      <c r="L48" s="33">
        <f>1.1598*Deflactores!$I$5</f>
        <v>2.6830181151467385</v>
      </c>
      <c r="M48" s="33">
        <f>1.003*Deflactores!$J$5</f>
        <v>2.2747494242186352</v>
      </c>
      <c r="N48" s="33">
        <f>1.153054408*Deflactores!$K$5</f>
        <v>2.534684188529551</v>
      </c>
      <c r="O48" s="33">
        <f>0.9337*Deflactores!$L$5</f>
        <v>1.9787499406367293</v>
      </c>
      <c r="P48" s="33">
        <f>0.1702*Deflactores!$M$5</f>
        <v>0.35210609431925016</v>
      </c>
      <c r="Q48" s="33">
        <f>0.5191*Deflactores!$N$5</f>
        <v>1.0534656659692834</v>
      </c>
      <c r="R48" s="33">
        <f>0.1687*Deflactores!$O$5</f>
        <v>0.33027312452286772</v>
      </c>
      <c r="S48" s="33">
        <f>0.190582*Deflactores!$P$5</f>
        <v>0.34945462279447376</v>
      </c>
      <c r="T48" s="33">
        <f>0.231560035*Deflactores!$Q$5</f>
        <v>0.40150609300817147</v>
      </c>
      <c r="U48" s="33">
        <f>0.297*Deflactores!$R$5</f>
        <v>0.49473880359022582</v>
      </c>
      <c r="V48" s="33">
        <f>0.141*Deflactores!$S$5</f>
        <v>0.2276371367164631</v>
      </c>
      <c r="W48" s="33"/>
      <c r="X48" s="33">
        <f>0*Deflactores!$U$5</f>
        <v>0</v>
      </c>
      <c r="Y48" s="33">
        <f>0*Deflactores!$V$5</f>
        <v>0</v>
      </c>
      <c r="Z48" s="33">
        <f>0*Deflactores!$W$5</f>
        <v>0</v>
      </c>
      <c r="AA48" s="33">
        <f>0*Deflactores!$X$5</f>
        <v>0</v>
      </c>
      <c r="AB48" s="33">
        <f>0*Deflactores!$Y$5</f>
        <v>0</v>
      </c>
      <c r="AC48" s="33">
        <f>0*Deflactores!$Z$5</f>
        <v>0</v>
      </c>
      <c r="AD48" s="33">
        <f>0*Deflactores!$AA$5</f>
        <v>0</v>
      </c>
    </row>
    <row r="49" spans="2:30" x14ac:dyDescent="0.2">
      <c r="B49" s="32"/>
      <c r="C49" s="77" t="s">
        <v>44</v>
      </c>
      <c r="D49" s="33">
        <f>32.741489845*Deflactores!$A$5</f>
        <v>122.18847583047351</v>
      </c>
      <c r="E49" s="33">
        <f>0.404905179*Deflactores!$B$5</f>
        <v>1.4037117973506246</v>
      </c>
      <c r="F49" s="33">
        <f>1.12260345*Deflactores!$C$5</f>
        <v>3.6374776431391118</v>
      </c>
      <c r="G49" s="33">
        <f>1.242008105*Deflactores!$D$5</f>
        <v>3.779061932411476</v>
      </c>
      <c r="H49" s="33">
        <f>1.1962*Deflactores!$E$5</f>
        <v>3.4500337081248262</v>
      </c>
      <c r="I49" s="33">
        <f>1.953990794*Deflactores!$F$5</f>
        <v>5.3746751937487973</v>
      </c>
      <c r="J49" s="33">
        <f>1.647*Deflactores!$G$5</f>
        <v>4.3360938550447852</v>
      </c>
      <c r="K49" s="33">
        <f>1.5846*Deflactores!$H$5</f>
        <v>3.947048810787722</v>
      </c>
      <c r="L49" s="33">
        <f>1.1779*Deflactores!$I$5</f>
        <v>2.7248896687630135</v>
      </c>
      <c r="M49" s="33">
        <f>2.9917*Deflactores!$J$5</f>
        <v>6.7850128139929131</v>
      </c>
      <c r="N49" s="33">
        <f>1.11644559199999*Deflactores!$K$5</f>
        <v>2.4542094195748385</v>
      </c>
      <c r="O49" s="33">
        <f>0.9569*Deflactores!$L$5</f>
        <v>2.0279166950790257</v>
      </c>
      <c r="P49" s="33">
        <f>1.05*Deflactores!$M$5</f>
        <v>2.1722173856357974</v>
      </c>
      <c r="Q49" s="33">
        <f>0.8589*Deflactores!$N$5</f>
        <v>1.7430584868060441</v>
      </c>
      <c r="R49" s="33">
        <f>0.884699999999999*Deflactores!$O$5</f>
        <v>1.7320250934521682</v>
      </c>
      <c r="S49" s="33">
        <f>1.38045183999999*Deflactores!$P$5</f>
        <v>2.5312216108191423</v>
      </c>
      <c r="T49" s="33">
        <f>1.05624109*Deflactores!$Q$5</f>
        <v>1.8314353481618382</v>
      </c>
      <c r="U49" s="33">
        <f>1.2481*Deflactores!$R$5</f>
        <v>2.0790690261311813</v>
      </c>
      <c r="V49" s="33">
        <f>1.145793361*Deflactores!$S$5</f>
        <v>1.8498235458636367</v>
      </c>
      <c r="W49" s="33">
        <f>1.316*Deflactores!$T$5</f>
        <v>2.0468335992488655</v>
      </c>
      <c r="X49" s="33">
        <f>1.165*Deflactores!$U$5</f>
        <v>1.7832659704030525</v>
      </c>
      <c r="Y49" s="33">
        <f>1.284*Deflactores!$V$5</f>
        <v>1.8608401045756546</v>
      </c>
      <c r="Z49" s="33">
        <f>17.218977787*Deflactores!$W$5</f>
        <v>22.060329907593335</v>
      </c>
      <c r="AA49" s="33">
        <f>52.609876094*Deflactores!$X$5</f>
        <v>61.678134511857046</v>
      </c>
      <c r="AB49" s="33">
        <f>0*Deflactores!$Y$5</f>
        <v>0</v>
      </c>
      <c r="AC49" s="33">
        <f>0*Deflactores!$Z$5</f>
        <v>0</v>
      </c>
      <c r="AD49" s="33">
        <f>0*Deflactores!$AA$5</f>
        <v>0</v>
      </c>
    </row>
    <row r="50" spans="2:30" x14ac:dyDescent="0.2">
      <c r="B50" s="34" t="s">
        <v>45</v>
      </c>
      <c r="C50" s="76" t="s">
        <v>46</v>
      </c>
      <c r="D50" s="35">
        <f>2338.370875789*Deflactores!$A$5</f>
        <v>8726.6026864278574</v>
      </c>
      <c r="E50" s="35">
        <f>2783.69515994516*Deflactores!$B$5</f>
        <v>9650.4217256328429</v>
      </c>
      <c r="F50" s="35">
        <f>2941.322953059*Deflactores!$C$5</f>
        <v>9530.521648587508</v>
      </c>
      <c r="G50" s="35">
        <f>2691.98146157578*Deflactores!$D$5</f>
        <v>8190.9003840183768</v>
      </c>
      <c r="H50" s="35">
        <f>3211.59896679605*Deflactores!$E$5</f>
        <v>9262.7693466186574</v>
      </c>
      <c r="I50" s="35">
        <f>3434.71174400036*Deflactores!$F$5</f>
        <v>9447.5675447611156</v>
      </c>
      <c r="J50" s="35">
        <f>4232.65884881217*Deflactores!$G$5</f>
        <v>11143.415922790153</v>
      </c>
      <c r="K50" s="35">
        <f>4866.383832294*Deflactores!$H$5</f>
        <v>12121.579274323256</v>
      </c>
      <c r="L50" s="35">
        <f>5871.13275141252*Deflactores!$I$5</f>
        <v>13581.958551880585</v>
      </c>
      <c r="M50" s="35">
        <f>7491.189982078*Deflactores!$J$5</f>
        <v>16989.61126465039</v>
      </c>
      <c r="N50" s="35">
        <f>7481.620269971*Deflactores!$K$5</f>
        <v>16446.357146121489</v>
      </c>
      <c r="O50" s="35">
        <f>7823.13384257*Deflactores!$L$5</f>
        <v>16579.228474433516</v>
      </c>
      <c r="P50" s="35">
        <f>8232.081412312*Deflactores!$M$5</f>
        <v>17030.352727422298</v>
      </c>
      <c r="Q50" s="35">
        <f>8921.74412575093*Deflactores!$N$5</f>
        <v>18105.858441613844</v>
      </c>
      <c r="R50" s="35">
        <f>5905.84866196*Deflactores!$O$5</f>
        <v>11562.199706844855</v>
      </c>
      <c r="S50" s="35">
        <f>6359.92069832*Deflactores!$P$5</f>
        <v>11661.666309694419</v>
      </c>
      <c r="T50" s="35">
        <f>7733.01603822476*Deflactores!$Q$5</f>
        <v>13408.415043110321</v>
      </c>
      <c r="U50" s="35">
        <f>8716.370073791*Deflactores!$R$5</f>
        <v>14519.617851707098</v>
      </c>
      <c r="V50" s="35">
        <f>7670.596868813*Deflactores!$S$5</f>
        <v>12383.778071793324</v>
      </c>
      <c r="W50" s="35">
        <f>8328.608214074*Deflactores!$T$5</f>
        <v>12953.856479898748</v>
      </c>
      <c r="X50" s="35">
        <f>8130.951040119*Deflactores!$U$5</f>
        <v>12446.050040221044</v>
      </c>
      <c r="Y50" s="35">
        <f>10194.287862127*Deflactores!$V$5</f>
        <v>14774.096332893094</v>
      </c>
      <c r="Z50" s="35">
        <f>10391.029147916*Deflactores!$W$5</f>
        <v>13312.609721554398</v>
      </c>
      <c r="AA50" s="35">
        <f>11384.434174935*Deflactores!$X$5</f>
        <v>13346.74617230478</v>
      </c>
      <c r="AB50" s="35">
        <f>13516.72167078*Deflactores!$Y$5</f>
        <v>15063.281150828356</v>
      </c>
      <c r="AC50" s="35">
        <f>13783.780597375*Deflactores!$Z$5</f>
        <v>14615.363846967351</v>
      </c>
      <c r="AD50" s="35">
        <f>15962.397401222*Deflactores!$AA$5</f>
        <v>15962.397401222001</v>
      </c>
    </row>
    <row r="51" spans="2:30" x14ac:dyDescent="0.2">
      <c r="B51" s="36" t="s">
        <v>47</v>
      </c>
      <c r="C51" s="78" t="s">
        <v>48</v>
      </c>
      <c r="D51" s="37">
        <f t="shared" ref="D51:M52" si="13">+D46+D50</f>
        <v>15453.211183002455</v>
      </c>
      <c r="E51" s="37">
        <f t="shared" si="13"/>
        <v>16511.668507063168</v>
      </c>
      <c r="F51" s="37">
        <f t="shared" si="13"/>
        <v>16365.136722217623</v>
      </c>
      <c r="G51" s="37">
        <f t="shared" si="13"/>
        <v>14883.222018655233</v>
      </c>
      <c r="H51" s="37">
        <f t="shared" si="13"/>
        <v>22257.578938138027</v>
      </c>
      <c r="I51" s="37">
        <f t="shared" si="13"/>
        <v>21348.33235493796</v>
      </c>
      <c r="J51" s="37">
        <f t="shared" si="13"/>
        <v>18349.719216977588</v>
      </c>
      <c r="K51" s="37">
        <f t="shared" si="13"/>
        <v>19029.037387067838</v>
      </c>
      <c r="L51" s="37">
        <f t="shared" si="13"/>
        <v>20376.397307770425</v>
      </c>
      <c r="M51" s="37">
        <f t="shared" si="13"/>
        <v>25429.511701911826</v>
      </c>
      <c r="N51" s="37">
        <f t="shared" ref="N51:W52" si="14">+N46+N50</f>
        <v>27710.663711537862</v>
      </c>
      <c r="O51" s="37">
        <f t="shared" si="14"/>
        <v>27320.618107980103</v>
      </c>
      <c r="P51" s="37">
        <f t="shared" si="14"/>
        <v>27403.026491694902</v>
      </c>
      <c r="Q51" s="37">
        <f t="shared" si="14"/>
        <v>29231.873071315735</v>
      </c>
      <c r="R51" s="37">
        <f t="shared" si="14"/>
        <v>22344.55625632147</v>
      </c>
      <c r="S51" s="37">
        <f t="shared" si="14"/>
        <v>22475.241001465976</v>
      </c>
      <c r="T51" s="37">
        <f t="shared" si="14"/>
        <v>23158.867601117734</v>
      </c>
      <c r="U51" s="37">
        <f t="shared" si="14"/>
        <v>24346.025521751541</v>
      </c>
      <c r="V51" s="37">
        <f t="shared" si="14"/>
        <v>22187.686870138525</v>
      </c>
      <c r="W51" s="37">
        <f t="shared" si="14"/>
        <v>23102.375632226016</v>
      </c>
      <c r="X51" s="37">
        <f t="shared" ref="X51:AD52" si="15">+X46+X50</f>
        <v>22665.387569040999</v>
      </c>
      <c r="Y51" s="37">
        <f t="shared" si="15"/>
        <v>27152.420734507061</v>
      </c>
      <c r="Z51" s="37">
        <f t="shared" si="15"/>
        <v>24187.875123796992</v>
      </c>
      <c r="AA51" s="37">
        <f t="shared" si="15"/>
        <v>25470.684947193276</v>
      </c>
      <c r="AB51" s="37">
        <f t="shared" si="15"/>
        <v>30072.269379721001</v>
      </c>
      <c r="AC51" s="37">
        <f t="shared" si="15"/>
        <v>27915.957581366085</v>
      </c>
      <c r="AD51" s="37">
        <f t="shared" si="15"/>
        <v>29723.226216287003</v>
      </c>
    </row>
    <row r="52" spans="2:30" x14ac:dyDescent="0.2">
      <c r="B52" s="38" t="s">
        <v>49</v>
      </c>
      <c r="C52" s="78" t="s">
        <v>50</v>
      </c>
      <c r="D52" s="39">
        <f t="shared" si="13"/>
        <v>15599.519377502253</v>
      </c>
      <c r="E52" s="39">
        <f t="shared" si="13"/>
        <v>16525.321692371843</v>
      </c>
      <c r="F52" s="39">
        <f t="shared" si="13"/>
        <v>16380.243268360111</v>
      </c>
      <c r="G52" s="39">
        <f t="shared" si="13"/>
        <v>14897.595097452197</v>
      </c>
      <c r="H52" s="39">
        <f t="shared" si="13"/>
        <v>22269.157691962337</v>
      </c>
      <c r="I52" s="39">
        <f t="shared" si="13"/>
        <v>21359.871898861937</v>
      </c>
      <c r="J52" s="39">
        <f t="shared" si="13"/>
        <v>18357.614225024041</v>
      </c>
      <c r="K52" s="39">
        <f t="shared" si="13"/>
        <v>19036.149178917669</v>
      </c>
      <c r="L52" s="39">
        <f t="shared" si="13"/>
        <v>20381.805215554334</v>
      </c>
      <c r="M52" s="39">
        <f t="shared" si="13"/>
        <v>25438.571464150038</v>
      </c>
      <c r="N52" s="39">
        <f t="shared" si="14"/>
        <v>27715.652605145966</v>
      </c>
      <c r="O52" s="39">
        <f t="shared" si="14"/>
        <v>27324.624774615819</v>
      </c>
      <c r="P52" s="39">
        <f t="shared" si="14"/>
        <v>27405.550815174858</v>
      </c>
      <c r="Q52" s="39">
        <f t="shared" si="14"/>
        <v>29234.669595468509</v>
      </c>
      <c r="R52" s="39">
        <f t="shared" si="14"/>
        <v>22346.618554539444</v>
      </c>
      <c r="S52" s="39">
        <f t="shared" si="14"/>
        <v>22478.12167769959</v>
      </c>
      <c r="T52" s="39">
        <f t="shared" si="14"/>
        <v>23161.100542558903</v>
      </c>
      <c r="U52" s="39">
        <f t="shared" si="14"/>
        <v>24348.599329581262</v>
      </c>
      <c r="V52" s="39">
        <f t="shared" si="14"/>
        <v>22189.764330821105</v>
      </c>
      <c r="W52" s="39">
        <f t="shared" si="14"/>
        <v>23104.422465825264</v>
      </c>
      <c r="X52" s="39">
        <f t="shared" si="15"/>
        <v>22667.170835011402</v>
      </c>
      <c r="Y52" s="39">
        <f t="shared" si="15"/>
        <v>27154.281574611636</v>
      </c>
      <c r="Z52" s="39">
        <f t="shared" si="15"/>
        <v>24209.935453704584</v>
      </c>
      <c r="AA52" s="39">
        <f t="shared" si="15"/>
        <v>25532.363081705134</v>
      </c>
      <c r="AB52" s="39">
        <f t="shared" si="15"/>
        <v>30072.269379721001</v>
      </c>
      <c r="AC52" s="39">
        <f t="shared" si="15"/>
        <v>27915.957581366085</v>
      </c>
      <c r="AD52" s="39">
        <f t="shared" si="15"/>
        <v>29723.226216287003</v>
      </c>
    </row>
    <row r="53" spans="2:30" x14ac:dyDescent="0.2">
      <c r="B53" s="72" t="str">
        <f>+B20</f>
        <v>* Información con corte a 30 de Junio</v>
      </c>
    </row>
    <row r="54" spans="2:30" x14ac:dyDescent="0.2">
      <c r="B54" s="1" t="s">
        <v>52</v>
      </c>
    </row>
    <row r="55" spans="2:30" x14ac:dyDescent="0.2">
      <c r="B55" s="7"/>
      <c r="AB55" s="8"/>
    </row>
  </sheetData>
  <mergeCells count="124">
    <mergeCell ref="G44:G45"/>
    <mergeCell ref="I44:I45"/>
    <mergeCell ref="S44:S45"/>
    <mergeCell ref="U44:U45"/>
    <mergeCell ref="W44:W45"/>
    <mergeCell ref="P44:P45"/>
    <mergeCell ref="R44:R45"/>
    <mergeCell ref="N25:N26"/>
    <mergeCell ref="P6:P7"/>
    <mergeCell ref="Z25:Z26"/>
    <mergeCell ref="R6:R7"/>
    <mergeCell ref="H11:H12"/>
    <mergeCell ref="J11:J12"/>
    <mergeCell ref="T44:T45"/>
    <mergeCell ref="V44:V45"/>
    <mergeCell ref="AD6:AD7"/>
    <mergeCell ref="R25:R26"/>
    <mergeCell ref="T25:T26"/>
    <mergeCell ref="AD25:AD26"/>
    <mergeCell ref="W11:W12"/>
    <mergeCell ref="T11:T12"/>
    <mergeCell ref="D42:AD42"/>
    <mergeCell ref="Q11:Q12"/>
    <mergeCell ref="AC11:AC12"/>
    <mergeCell ref="E25:E26"/>
    <mergeCell ref="Q25:Q26"/>
    <mergeCell ref="I6:I7"/>
    <mergeCell ref="S25:S26"/>
    <mergeCell ref="B25:B26"/>
    <mergeCell ref="K6:K7"/>
    <mergeCell ref="U6:U7"/>
    <mergeCell ref="W6:W7"/>
    <mergeCell ref="P25:P26"/>
    <mergeCell ref="AA44:AA45"/>
    <mergeCell ref="W25:W26"/>
    <mergeCell ref="B11:B12"/>
    <mergeCell ref="AA6:AA7"/>
    <mergeCell ref="D11:D12"/>
    <mergeCell ref="P11:P12"/>
    <mergeCell ref="V11:V12"/>
    <mergeCell ref="B44:B45"/>
    <mergeCell ref="H44:H45"/>
    <mergeCell ref="J44:J45"/>
    <mergeCell ref="C25:C26"/>
    <mergeCell ref="AA11:AA12"/>
    <mergeCell ref="A5:C6"/>
    <mergeCell ref="K25:K26"/>
    <mergeCell ref="X11:X12"/>
    <mergeCell ref="O6:O7"/>
    <mergeCell ref="Z11:Z12"/>
    <mergeCell ref="D44:D45"/>
    <mergeCell ref="F44:F45"/>
    <mergeCell ref="D4:AD4"/>
    <mergeCell ref="L44:L45"/>
    <mergeCell ref="N44:N45"/>
    <mergeCell ref="J25:J26"/>
    <mergeCell ref="X44:X45"/>
    <mergeCell ref="D25:D26"/>
    <mergeCell ref="L6:L7"/>
    <mergeCell ref="N6:N7"/>
    <mergeCell ref="G25:G26"/>
    <mergeCell ref="F11:F12"/>
    <mergeCell ref="Z6:Z7"/>
    <mergeCell ref="AB6:AB7"/>
    <mergeCell ref="G11:G12"/>
    <mergeCell ref="B24:AD24"/>
    <mergeCell ref="A7:C7"/>
    <mergeCell ref="I11:I12"/>
    <mergeCell ref="S11:S12"/>
    <mergeCell ref="U11:U12"/>
    <mergeCell ref="M11:M12"/>
    <mergeCell ref="X25:X26"/>
    <mergeCell ref="C10:AD10"/>
    <mergeCell ref="R11:R12"/>
    <mergeCell ref="D6:D7"/>
    <mergeCell ref="F6:F7"/>
    <mergeCell ref="D2:AD2"/>
    <mergeCell ref="AB25:AB26"/>
    <mergeCell ref="Y11:Y12"/>
    <mergeCell ref="C44:C45"/>
    <mergeCell ref="E44:E45"/>
    <mergeCell ref="O44:O45"/>
    <mergeCell ref="K11:K12"/>
    <mergeCell ref="Q44:Q45"/>
    <mergeCell ref="M25:M26"/>
    <mergeCell ref="O25:O26"/>
    <mergeCell ref="G6:G7"/>
    <mergeCell ref="Q6:Q7"/>
    <mergeCell ref="AB11:AB12"/>
    <mergeCell ref="S6:S7"/>
    <mergeCell ref="L25:L26"/>
    <mergeCell ref="AD11:AD12"/>
    <mergeCell ref="D9:AD9"/>
    <mergeCell ref="O11:O12"/>
    <mergeCell ref="T6:T7"/>
    <mergeCell ref="D23:AD23"/>
    <mergeCell ref="L11:L12"/>
    <mergeCell ref="N11:N12"/>
    <mergeCell ref="Z44:Z45"/>
    <mergeCell ref="V25:V26"/>
    <mergeCell ref="AB44:AB45"/>
    <mergeCell ref="F25:F26"/>
    <mergeCell ref="AD44:AD45"/>
    <mergeCell ref="H6:H7"/>
    <mergeCell ref="J6:J7"/>
    <mergeCell ref="V6:V7"/>
    <mergeCell ref="X6:X7"/>
    <mergeCell ref="K44:K45"/>
    <mergeCell ref="I25:I26"/>
    <mergeCell ref="Y44:Y45"/>
    <mergeCell ref="U25:U26"/>
    <mergeCell ref="M6:M7"/>
    <mergeCell ref="B43:AD43"/>
    <mergeCell ref="E6:E7"/>
    <mergeCell ref="C11:C12"/>
    <mergeCell ref="E11:E12"/>
    <mergeCell ref="Y6:Y7"/>
    <mergeCell ref="AC44:AC45"/>
    <mergeCell ref="Y25:Y26"/>
    <mergeCell ref="AA25:AA26"/>
    <mergeCell ref="AC25:AC26"/>
    <mergeCell ref="AC6:AC7"/>
    <mergeCell ref="H25:H26"/>
    <mergeCell ref="M44:M45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D181"/>
  <sheetViews>
    <sheetView showGridLines="0" zoomScaleNormal="100" workbookViewId="0">
      <pane xSplit="3" ySplit="7" topLeftCell="D28" activePane="bottomRight" state="frozen"/>
      <selection activeCell="O5" sqref="O5:O6"/>
      <selection pane="topRight" activeCell="O5" sqref="O5:O6"/>
      <selection pane="bottomLeft" activeCell="O5" sqref="O5:O6"/>
      <selection pane="bottomRight" activeCell="B28" sqref="B28"/>
    </sheetView>
  </sheetViews>
  <sheetFormatPr baseColWidth="10" defaultColWidth="11.42578125" defaultRowHeight="11.25" x14ac:dyDescent="0.2"/>
  <cols>
    <col min="1" max="2" width="2.7109375" style="3" customWidth="1"/>
    <col min="3" max="3" width="4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30" s="98" customFormat="1" ht="16.5" customHeight="1" x14ac:dyDescent="0.25"/>
    <row r="2" spans="1:30" s="98" customFormat="1" ht="16.5" customHeight="1" x14ac:dyDescent="0.25">
      <c r="A2" s="120"/>
      <c r="D2" s="16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30" s="98" customFormat="1" ht="16.5" customHeight="1" x14ac:dyDescent="0.25">
      <c r="A3" s="120"/>
    </row>
    <row r="4" spans="1:30" s="98" customFormat="1" ht="16.5" customHeight="1" x14ac:dyDescent="0.25">
      <c r="A4" s="120"/>
      <c r="D4" s="165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33"/>
      <c r="X4" s="133"/>
      <c r="Y4" s="133"/>
      <c r="Z4" s="133"/>
      <c r="AA4" s="133"/>
      <c r="AB4" s="133"/>
      <c r="AC4" s="133"/>
      <c r="AD4" s="133"/>
    </row>
    <row r="5" spans="1:30" s="98" customFormat="1" ht="16.5" customHeight="1" x14ac:dyDescent="0.25">
      <c r="A5" s="169" t="s">
        <v>2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33"/>
      <c r="X5" s="133"/>
      <c r="Y5" s="133"/>
      <c r="Z5" s="133"/>
      <c r="AA5" s="133"/>
      <c r="AB5" s="133"/>
      <c r="AC5" s="133"/>
      <c r="AD5" s="133"/>
    </row>
    <row r="6" spans="1:30" s="98" customFormat="1" ht="16.5" customHeight="1" x14ac:dyDescent="0.25">
      <c r="A6" s="158"/>
      <c r="B6" s="158"/>
      <c r="C6" s="158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  <c r="W6" s="157"/>
      <c r="X6" s="157"/>
      <c r="Y6" s="157"/>
      <c r="Z6" s="157"/>
      <c r="AA6" s="157"/>
      <c r="AB6" s="157"/>
      <c r="AC6" s="157"/>
      <c r="AD6" s="157"/>
    </row>
    <row r="7" spans="1:30" s="98" customFormat="1" ht="16.5" customHeight="1" x14ac:dyDescent="0.25">
      <c r="A7" s="166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</row>
    <row r="8" spans="1:30" s="98" customFormat="1" ht="15" customHeight="1" x14ac:dyDescent="0.25">
      <c r="A8" s="99"/>
      <c r="B8" s="125"/>
      <c r="C8" s="128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</row>
    <row r="9" spans="1:30" ht="18" customHeight="1" x14ac:dyDescent="0.2">
      <c r="C9" s="131"/>
      <c r="D9" s="164" t="s">
        <v>55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spans="1:30" ht="18" customHeight="1" x14ac:dyDescent="0.2">
      <c r="B10" s="144"/>
      <c r="C10" s="165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30" ht="15" customHeight="1" x14ac:dyDescent="0.2">
      <c r="C11" s="140" t="s">
        <v>38</v>
      </c>
      <c r="D11" s="155">
        <v>2000</v>
      </c>
      <c r="E11" s="155">
        <v>2001</v>
      </c>
      <c r="F11" s="155">
        <v>2002</v>
      </c>
      <c r="G11" s="155">
        <v>2003</v>
      </c>
      <c r="H11" s="155">
        <v>2004</v>
      </c>
      <c r="I11" s="155">
        <v>2005</v>
      </c>
      <c r="J11" s="155">
        <v>2006</v>
      </c>
      <c r="K11" s="155">
        <v>2007</v>
      </c>
      <c r="L11" s="155">
        <v>2008</v>
      </c>
      <c r="M11" s="155">
        <v>2009</v>
      </c>
      <c r="N11" s="155">
        <v>2010</v>
      </c>
      <c r="O11" s="155">
        <v>2011</v>
      </c>
      <c r="P11" s="155">
        <v>2012</v>
      </c>
      <c r="Q11" s="155">
        <v>2013</v>
      </c>
      <c r="R11" s="155">
        <v>2014</v>
      </c>
      <c r="S11" s="155">
        <v>2015</v>
      </c>
      <c r="T11" s="155">
        <v>2016</v>
      </c>
      <c r="U11" s="155">
        <v>2017</v>
      </c>
      <c r="V11" s="155">
        <v>2018</v>
      </c>
      <c r="W11" s="49"/>
      <c r="X11" s="49"/>
      <c r="Y11" s="49"/>
      <c r="Z11" s="49"/>
      <c r="AA11" s="49"/>
      <c r="AB11" s="49"/>
      <c r="AC11" s="49"/>
      <c r="AD11" s="49"/>
    </row>
    <row r="12" spans="1:30" ht="12" customHeight="1" thickBot="1" x14ac:dyDescent="0.25">
      <c r="B12" s="126"/>
      <c r="C12" s="127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30" x14ac:dyDescent="0.2">
      <c r="B13" s="34" t="s">
        <v>39</v>
      </c>
      <c r="C13" s="76" t="s">
        <v>40</v>
      </c>
      <c r="D13" s="35">
        <f t="shared" ref="D13:V13" si="0">+D14+D15+D16+D17</f>
        <v>98621.514811882269</v>
      </c>
      <c r="E13" s="35">
        <f t="shared" si="0"/>
        <v>103596.31827390128</v>
      </c>
      <c r="F13" s="35">
        <f t="shared" si="0"/>
        <v>107448.66639403308</v>
      </c>
      <c r="G13" s="35">
        <f t="shared" si="0"/>
        <v>107834.39043515259</v>
      </c>
      <c r="H13" s="35">
        <f t="shared" si="0"/>
        <v>125874.79270999525</v>
      </c>
      <c r="I13" s="35">
        <f t="shared" si="0"/>
        <v>135656.65230637806</v>
      </c>
      <c r="J13" s="35">
        <f t="shared" si="0"/>
        <v>136931.16064442959</v>
      </c>
      <c r="K13" s="35">
        <f t="shared" si="0"/>
        <v>141649.233453558</v>
      </c>
      <c r="L13" s="35">
        <f t="shared" si="0"/>
        <v>148786.73069456365</v>
      </c>
      <c r="M13" s="35">
        <f t="shared" si="0"/>
        <v>167422.51257243409</v>
      </c>
      <c r="N13" s="35">
        <f t="shared" si="0"/>
        <v>185055.20572169503</v>
      </c>
      <c r="O13" s="35">
        <f t="shared" si="0"/>
        <v>176458.61009186975</v>
      </c>
      <c r="P13" s="35">
        <f t="shared" si="0"/>
        <v>188523.33973852723</v>
      </c>
      <c r="Q13" s="35">
        <f t="shared" si="0"/>
        <v>204511.7905613606</v>
      </c>
      <c r="R13" s="35">
        <f t="shared" si="0"/>
        <v>218337.06251014731</v>
      </c>
      <c r="S13" s="35">
        <f t="shared" si="0"/>
        <v>210002.9664761012</v>
      </c>
      <c r="T13" s="35">
        <f t="shared" si="0"/>
        <v>212541.71955951105</v>
      </c>
      <c r="U13" s="35">
        <f t="shared" si="0"/>
        <v>231362.18630592359</v>
      </c>
      <c r="V13" s="35">
        <f t="shared" si="0"/>
        <v>236853.26117695929</v>
      </c>
    </row>
    <row r="14" spans="1:30" x14ac:dyDescent="0.2">
      <c r="B14" s="40"/>
      <c r="C14" s="77" t="s">
        <v>56</v>
      </c>
      <c r="D14" s="33">
        <f>6350.82082902892*Deflactores!$A$5</f>
        <v>23700.727152157117</v>
      </c>
      <c r="E14" s="33">
        <f>6865.33672753427*Deflactores!$B$5</f>
        <v>23800.520855339284</v>
      </c>
      <c r="F14" s="33">
        <f>7377.30776703215*Deflactores!$C$5</f>
        <v>23904.070550590211</v>
      </c>
      <c r="G14" s="33">
        <f>7984.19858228026*Deflactores!$D$5</f>
        <v>24293.545912978567</v>
      </c>
      <c r="H14" s="33">
        <f>8757.65407471757*Deflactores!$E$5</f>
        <v>25258.486676034401</v>
      </c>
      <c r="I14" s="33">
        <f>9312.44009046649*Deflactores!$F$5</f>
        <v>25614.931708578999</v>
      </c>
      <c r="J14" s="33">
        <f>10394.9254232771*Deflactores!$G$5</f>
        <v>27366.953401044713</v>
      </c>
      <c r="K14" s="33">
        <f>11444.0998626958*Deflactores!$H$5</f>
        <v>28505.882086071812</v>
      </c>
      <c r="L14" s="33">
        <f>12826.5617732095*Deflactores!$I$5</f>
        <v>29672.269005492119</v>
      </c>
      <c r="M14" s="33">
        <f>14437.7509237135*Deflactores!$J$5</f>
        <v>32744.033500228674</v>
      </c>
      <c r="N14" s="33">
        <f>15821.8078504302*Deflactores!$K$5</f>
        <v>34780.046729970221</v>
      </c>
      <c r="O14" s="33">
        <f>16210.7391587004*Deflactores!$L$5</f>
        <v>34354.716876893988</v>
      </c>
      <c r="P14" s="33">
        <f>18512.8092471676*Deflactores!$M$5</f>
        <v>38298.901051101537</v>
      </c>
      <c r="Q14" s="33">
        <f>20879.2946499316*Deflactores!$N$5</f>
        <v>42372.606517740489</v>
      </c>
      <c r="R14" s="33">
        <f>23398.3097202748*Deflactores!$O$5</f>
        <v>45808.137877112895</v>
      </c>
      <c r="S14" s="33">
        <f>24611.1027690406*Deflactores!$P$5</f>
        <v>45127.365830514485</v>
      </c>
      <c r="T14" s="33">
        <f>26048.172816223*Deflactores!$Q$5</f>
        <v>45165.393490475828</v>
      </c>
      <c r="U14" s="33">
        <f>28040.9315457181*Deflactores!$R$5</f>
        <v>46710.225334962946</v>
      </c>
      <c r="V14" s="33">
        <f>31596.6920411505*Deflactores!$S$5</f>
        <v>51011.209262123113</v>
      </c>
    </row>
    <row r="15" spans="1:30" x14ac:dyDescent="0.2">
      <c r="B15" s="40"/>
      <c r="C15" s="77" t="s">
        <v>57</v>
      </c>
      <c r="D15" s="33">
        <f>1714.16456367333*Deflactores!$A$5</f>
        <v>6397.1174295795963</v>
      </c>
      <c r="E15" s="33">
        <f>1912.43428699245*Deflactores!$B$5</f>
        <v>6629.9635310644726</v>
      </c>
      <c r="F15" s="33">
        <f>2299.48400530397*Deflactores!$C$5</f>
        <v>7450.8248304859308</v>
      </c>
      <c r="G15" s="33">
        <f>2474.23329626649*Deflactores!$D$5</f>
        <v>7528.357362712748</v>
      </c>
      <c r="H15" s="33">
        <f>2898.51753963936*Deflactores!$E$5</f>
        <v>8359.7920208550659</v>
      </c>
      <c r="I15" s="33">
        <f>3147.72067606199*Deflactores!$F$5</f>
        <v>8658.1657838049014</v>
      </c>
      <c r="J15" s="33">
        <f>3489.93259680068*Deflactores!$G$5</f>
        <v>9188.0238539817346</v>
      </c>
      <c r="K15" s="33">
        <f>3839.44810975289*Deflactores!$H$5</f>
        <v>9563.6053866473012</v>
      </c>
      <c r="L15" s="33">
        <f>4114.81138446093*Deflactores!$I$5</f>
        <v>9518.9804146583083</v>
      </c>
      <c r="M15" s="33">
        <f>4809.08272481174*Deflactores!$J$5</f>
        <v>10906.737945448947</v>
      </c>
      <c r="N15" s="33">
        <f>5254.96021240178*Deflactores!$K$5</f>
        <v>11551.635785192439</v>
      </c>
      <c r="O15" s="33">
        <f>5725.77122898844*Deflactores!$L$5</f>
        <v>12134.378793467247</v>
      </c>
      <c r="P15" s="33">
        <f>6590.908372509*Deflactores!$M$5</f>
        <v>13635.129289425322</v>
      </c>
      <c r="Q15" s="33">
        <f>7517.06210851268*Deflactores!$N$5</f>
        <v>15255.185590978186</v>
      </c>
      <c r="R15" s="33">
        <f>7910.72822031681*Deflactores!$O$5</f>
        <v>15487.260975549838</v>
      </c>
      <c r="S15" s="33">
        <f>7738.58757009967*Deflactores!$P$5</f>
        <v>14189.614970307708</v>
      </c>
      <c r="T15" s="33">
        <f>7952.55278064811*Deflactores!$Q$5</f>
        <v>13789.073733726515</v>
      </c>
      <c r="U15" s="33">
        <f>7995.3687425446*Deflactores!$R$5</f>
        <v>13318.58305033402</v>
      </c>
      <c r="V15" s="33">
        <f>8648.03723906201*Deflactores!$S$5</f>
        <v>13961.804505797327</v>
      </c>
    </row>
    <row r="16" spans="1:30" x14ac:dyDescent="0.2">
      <c r="B16" s="40"/>
      <c r="C16" s="77" t="s">
        <v>58</v>
      </c>
      <c r="D16" s="33">
        <f>17971.3334324807*Deflactores!$A$5</f>
        <v>67067.499101339345</v>
      </c>
      <c r="E16" s="33">
        <f>20683.275105762*Deflactores!$B$5</f>
        <v>71704.089697026589</v>
      </c>
      <c r="F16" s="33">
        <f>22950.4890051025*Deflactores!$C$5</f>
        <v>74364.541330396183</v>
      </c>
      <c r="G16" s="33">
        <f>24374.091501765*Deflactores!$D$5</f>
        <v>74163.124186242072</v>
      </c>
      <c r="H16" s="33">
        <f>31397.6635369893*Deflactores!$E$5</f>
        <v>90555.925061841539</v>
      </c>
      <c r="I16" s="33">
        <f>36050.4257702134*Deflactores!$F$5</f>
        <v>99160.81984941446</v>
      </c>
      <c r="J16" s="33">
        <f>37181.9743832462*Deflactores!$G$5</f>
        <v>97889.818240210341</v>
      </c>
      <c r="K16" s="33">
        <f>40731.3006449932*Deflactores!$H$5</f>
        <v>101456.79147586621</v>
      </c>
      <c r="L16" s="33">
        <f>46457.4168132035*Deflactores!$I$5</f>
        <v>107472.05629655773</v>
      </c>
      <c r="M16" s="33">
        <f>53429.7211472849*Deflactores!$J$5</f>
        <v>121175.70031500357</v>
      </c>
      <c r="N16" s="33">
        <f>61693.5585504471*Deflactores!$K$5</f>
        <v>135616.9199883414</v>
      </c>
      <c r="O16" s="33">
        <f>59782.1181228111*Deflactores!$L$5</f>
        <v>126693.65180106073</v>
      </c>
      <c r="P16" s="33">
        <f>64413.4048268942*Deflactores!$M$5</f>
        <v>133257.06460283461</v>
      </c>
      <c r="Q16" s="33">
        <f>70782.9764602634*Deflactores!$N$5</f>
        <v>143647.5350337112</v>
      </c>
      <c r="R16" s="33">
        <f>78646.0474393343*Deflactores!$O$5</f>
        <v>153969.62548407007</v>
      </c>
      <c r="S16" s="33">
        <f>80437.0279452304*Deflactores!$P$5</f>
        <v>147490.79797309835</v>
      </c>
      <c r="T16" s="33">
        <f>86850.1209874696*Deflactores!$Q$5</f>
        <v>150590.98067145274</v>
      </c>
      <c r="U16" s="33">
        <f>101265.163524896*Deflactores!$R$5</f>
        <v>168686.21497533881</v>
      </c>
      <c r="V16" s="33">
        <f>104873.640910614*Deflactores!$S$5</f>
        <v>169313.01655264327</v>
      </c>
    </row>
    <row r="17" spans="2:22" x14ac:dyDescent="0.2">
      <c r="B17" s="40"/>
      <c r="C17" s="77" t="s">
        <v>59</v>
      </c>
      <c r="D17" s="33">
        <f>390.19401708995*Deflactores!$A$5</f>
        <v>1456.1711288062106</v>
      </c>
      <c r="E17" s="33">
        <f>421.644809292009*Deflactores!$B$5</f>
        <v>1461.7441904709431</v>
      </c>
      <c r="F17" s="33">
        <f>533.67728902653*Deflactores!$C$5</f>
        <v>1729.2296825607414</v>
      </c>
      <c r="G17" s="33">
        <f>607.80263539091*Deflactores!$D$5</f>
        <v>1849.3629732192128</v>
      </c>
      <c r="H17" s="33">
        <f>589.63032700569*Deflactores!$E$5</f>
        <v>1700.5889512642489</v>
      </c>
      <c r="I17" s="33">
        <f>808.08672184361*Deflactores!$F$5</f>
        <v>2222.7349645796926</v>
      </c>
      <c r="J17" s="33">
        <f>944.40838635359*Deflactores!$G$5</f>
        <v>2486.3651491928126</v>
      </c>
      <c r="K17" s="33">
        <f>852.29088107181*Deflactores!$H$5</f>
        <v>2122.9545049726789</v>
      </c>
      <c r="L17" s="33">
        <f>917.90222190956*Deflactores!$I$5</f>
        <v>2123.4249778554845</v>
      </c>
      <c r="M17" s="33">
        <f>1144.66626805832*Deflactores!$J$5</f>
        <v>2596.0408117528991</v>
      </c>
      <c r="N17" s="33">
        <f>1413.22636991718*Deflactores!$K$5</f>
        <v>3106.6032181909754</v>
      </c>
      <c r="O17" s="33">
        <f>1545.76021249449*Deflactores!$L$5</f>
        <v>3275.8626204477778</v>
      </c>
      <c r="P17" s="33">
        <f>1610.730610141*Deflactores!$M$5</f>
        <v>3332.2447951657477</v>
      </c>
      <c r="Q17" s="33">
        <f>1594.78207504859*Deflactores!$N$5</f>
        <v>3236.4634189307235</v>
      </c>
      <c r="R17" s="33">
        <f>1569.16443202493*Deflactores!$O$5</f>
        <v>3072.0381734144917</v>
      </c>
      <c r="S17" s="33">
        <f>1742.55889874187*Deflactores!$P$5</f>
        <v>3195.1877021806563</v>
      </c>
      <c r="T17" s="33">
        <f>1728.03547302052*Deflactores!$Q$5</f>
        <v>2996.2716638559691</v>
      </c>
      <c r="U17" s="33">
        <f>1589.13630595604*Deflactores!$R$5</f>
        <v>2647.1629452878192</v>
      </c>
      <c r="V17" s="33">
        <f>1590.16035772162*Deflactores!$S$5</f>
        <v>2567.2308563955767</v>
      </c>
    </row>
    <row r="18" spans="2:22" x14ac:dyDescent="0.2">
      <c r="B18" s="34" t="s">
        <v>41</v>
      </c>
      <c r="C18" s="76" t="s">
        <v>42</v>
      </c>
      <c r="D18" s="35">
        <f t="shared" ref="D18:V18" si="1">+D19+D22</f>
        <v>61752.239851419959</v>
      </c>
      <c r="E18" s="35">
        <f t="shared" si="1"/>
        <v>74199.373415194015</v>
      </c>
      <c r="F18" s="35">
        <f t="shared" si="1"/>
        <v>74409.640598964819</v>
      </c>
      <c r="G18" s="35">
        <f t="shared" si="1"/>
        <v>83190.297338046454</v>
      </c>
      <c r="H18" s="35">
        <f t="shared" si="1"/>
        <v>77549.60628865505</v>
      </c>
      <c r="I18" s="35">
        <f t="shared" si="1"/>
        <v>86804.008486844075</v>
      </c>
      <c r="J18" s="35">
        <f t="shared" si="1"/>
        <v>102491.77667517774</v>
      </c>
      <c r="K18" s="35">
        <f t="shared" si="1"/>
        <v>97940.895499585589</v>
      </c>
      <c r="L18" s="35">
        <f t="shared" si="1"/>
        <v>89952.915303813992</v>
      </c>
      <c r="M18" s="35">
        <f t="shared" si="1"/>
        <v>83991.801561993489</v>
      </c>
      <c r="N18" s="35">
        <f t="shared" si="1"/>
        <v>87690.047598935969</v>
      </c>
      <c r="O18" s="35">
        <f t="shared" si="1"/>
        <v>74569.636468099634</v>
      </c>
      <c r="P18" s="35">
        <f t="shared" si="1"/>
        <v>75326.358560087436</v>
      </c>
      <c r="Q18" s="35">
        <f t="shared" si="1"/>
        <v>90391.488633828092</v>
      </c>
      <c r="R18" s="35">
        <f t="shared" si="1"/>
        <v>80174.415999427554</v>
      </c>
      <c r="S18" s="35">
        <f t="shared" si="1"/>
        <v>86137.883036198531</v>
      </c>
      <c r="T18" s="35">
        <f t="shared" si="1"/>
        <v>80984.723989228223</v>
      </c>
      <c r="U18" s="35">
        <f t="shared" si="1"/>
        <v>83300.962667460495</v>
      </c>
      <c r="V18" s="35">
        <f t="shared" si="1"/>
        <v>77380.462980265904</v>
      </c>
    </row>
    <row r="19" spans="2:22" x14ac:dyDescent="0.2">
      <c r="B19" s="34"/>
      <c r="C19" s="76" t="s">
        <v>43</v>
      </c>
      <c r="D19" s="35">
        <f t="shared" ref="D19:V19" si="2">+D20+D21</f>
        <v>19126.620144945089</v>
      </c>
      <c r="E19" s="35">
        <f t="shared" si="2"/>
        <v>27506.991920020431</v>
      </c>
      <c r="F19" s="35">
        <f t="shared" si="2"/>
        <v>31092.0495559091</v>
      </c>
      <c r="G19" s="35">
        <f t="shared" si="2"/>
        <v>40618.23092371806</v>
      </c>
      <c r="H19" s="35">
        <f t="shared" si="2"/>
        <v>27130.099831684667</v>
      </c>
      <c r="I19" s="35">
        <f t="shared" si="2"/>
        <v>36039.151222545734</v>
      </c>
      <c r="J19" s="35">
        <f t="shared" si="2"/>
        <v>27957.68056773732</v>
      </c>
      <c r="K19" s="35">
        <f t="shared" si="2"/>
        <v>19220.041652032727</v>
      </c>
      <c r="L19" s="35">
        <f t="shared" si="2"/>
        <v>18952.11731711719</v>
      </c>
      <c r="M19" s="35">
        <f t="shared" si="2"/>
        <v>18754.866040999426</v>
      </c>
      <c r="N19" s="35">
        <f t="shared" si="2"/>
        <v>18952.600646824285</v>
      </c>
      <c r="O19" s="35">
        <f t="shared" si="2"/>
        <v>14900.186052084708</v>
      </c>
      <c r="P19" s="35">
        <f t="shared" si="2"/>
        <v>13574.578526292895</v>
      </c>
      <c r="Q19" s="35">
        <f t="shared" si="2"/>
        <v>14327.287039920753</v>
      </c>
      <c r="R19" s="35">
        <f t="shared" si="2"/>
        <v>17644.159274972844</v>
      </c>
      <c r="S19" s="35">
        <f t="shared" si="2"/>
        <v>20422.850890267284</v>
      </c>
      <c r="T19" s="35">
        <f t="shared" si="2"/>
        <v>16780.26091866861</v>
      </c>
      <c r="U19" s="35">
        <f t="shared" si="2"/>
        <v>23997.573298625553</v>
      </c>
      <c r="V19" s="35">
        <f t="shared" si="2"/>
        <v>18040.640341192244</v>
      </c>
    </row>
    <row r="20" spans="2:22" x14ac:dyDescent="0.2">
      <c r="B20" s="32"/>
      <c r="C20" s="77" t="s">
        <v>60</v>
      </c>
      <c r="D20" s="33">
        <f>2597.811754969*Deflactores!$A$5</f>
        <v>9694.8141436704882</v>
      </c>
      <c r="E20" s="33">
        <f>4468.950432136*Deflactores!$B$5</f>
        <v>15492.808609801643</v>
      </c>
      <c r="F20" s="33">
        <f>5714.492299244*Deflactores!$C$5</f>
        <v>18516.189292301453</v>
      </c>
      <c r="G20" s="33">
        <f>7912.438625826*Deflactores!$D$5</f>
        <v>24075.201669800059</v>
      </c>
      <c r="H20" s="33">
        <f>4471.902937483*Deflactores!$E$5</f>
        <v>12897.689244088595</v>
      </c>
      <c r="I20" s="33">
        <f>8569.800247307*Deflactores!$F$5</f>
        <v>23572.215870216241</v>
      </c>
      <c r="J20" s="33">
        <f>5421.29476510999*Deflactores!$G$5</f>
        <v>14272.764369993862</v>
      </c>
      <c r="K20" s="33">
        <f>3721.7109980418*Deflactores!$H$5</f>
        <v>9270.3363428729481</v>
      </c>
      <c r="L20" s="33">
        <f>4133.19942000899*Deflactores!$I$5</f>
        <v>9561.5182940145842</v>
      </c>
      <c r="M20" s="33">
        <f>3405.221544954*Deflactores!$J$5</f>
        <v>7722.8571771894358</v>
      </c>
      <c r="N20" s="33">
        <f>3880.239324386*Deflactores!$K$5</f>
        <v>8529.6766527185264</v>
      </c>
      <c r="O20" s="33">
        <f>3024.23696236699*Deflactores!$L$5</f>
        <v>6409.1343148281931</v>
      </c>
      <c r="P20" s="33">
        <f>3394.20485377999*Deflactores!$M$5</f>
        <v>7021.8578988479076</v>
      </c>
      <c r="Q20" s="33">
        <f>2963.426497922*Deflactores!$N$5</f>
        <v>6014.0012891242941</v>
      </c>
      <c r="R20" s="33">
        <f>4984.381737812*Deflactores!$O$5</f>
        <v>9758.1940151860745</v>
      </c>
      <c r="S20" s="33">
        <f>6079.614994828*Deflactores!$P$5</f>
        <v>11147.692671675422</v>
      </c>
      <c r="T20" s="33">
        <f>3557.16656030847*Deflactores!$Q$5</f>
        <v>6167.8348243848286</v>
      </c>
      <c r="U20" s="33">
        <f>7884.659597283*Deflactores!$R$5</f>
        <v>13134.165171299608</v>
      </c>
      <c r="V20" s="33">
        <f>3074.634157762*Deflactores!$S$5</f>
        <v>4963.8362845643678</v>
      </c>
    </row>
    <row r="21" spans="2:22" x14ac:dyDescent="0.2">
      <c r="B21" s="32"/>
      <c r="C21" s="77" t="s">
        <v>61</v>
      </c>
      <c r="D21" s="33">
        <f>2527.33638186299*Deflactores!$A$5</f>
        <v>9431.8060012745991</v>
      </c>
      <c r="E21" s="33">
        <f>3465.52978534799*Deflactores!$B$5</f>
        <v>12014.18331021879</v>
      </c>
      <c r="F21" s="33">
        <f>3881.179626017*Deflactores!$C$5</f>
        <v>12575.860263607648</v>
      </c>
      <c r="G21" s="33">
        <f>5436.95149274973*Deflactores!$D$5</f>
        <v>16543.029253917997</v>
      </c>
      <c r="H21" s="33">
        <f>4934.679190174*Deflactores!$E$5</f>
        <v>14232.41058759607</v>
      </c>
      <c r="I21" s="33">
        <f>4532.418430825*Deflactores!$F$5</f>
        <v>12466.935352329492</v>
      </c>
      <c r="J21" s="33">
        <f>5198.009482996*Deflactores!$G$5</f>
        <v>13684.916197743458</v>
      </c>
      <c r="K21" s="33">
        <f>3994.45352431506*Deflactores!$H$5</f>
        <v>9949.7053091597772</v>
      </c>
      <c r="L21" s="33">
        <f>4059.315397652*Deflactores!$I$5</f>
        <v>9390.5990231026062</v>
      </c>
      <c r="M21" s="33">
        <f>4864.318140976*Deflactores!$J$5</f>
        <v>11032.00886380999</v>
      </c>
      <c r="N21" s="33">
        <f>4741.497386554*Deflactores!$K$5</f>
        <v>10422.923994105759</v>
      </c>
      <c r="O21" s="33">
        <f>4006.61793805299*Deflactores!$L$5</f>
        <v>8491.0517372565155</v>
      </c>
      <c r="P21" s="33">
        <f>3167.434670358*Deflactores!$M$5</f>
        <v>6552.7206274449882</v>
      </c>
      <c r="Q21" s="33">
        <f>4096.40937777299*Deflactores!$N$5</f>
        <v>8313.2857507964582</v>
      </c>
      <c r="R21" s="33">
        <f>4028.067198165*Deflactores!$O$5</f>
        <v>7885.9652597867689</v>
      </c>
      <c r="S21" s="33">
        <f>5058.39124256*Deflactores!$P$5</f>
        <v>9275.1582185918614</v>
      </c>
      <c r="T21" s="33">
        <f>6120.48932910528*Deflactores!$Q$5</f>
        <v>10612.426094283781</v>
      </c>
      <c r="U21" s="33">
        <f>6521.48606578299*Deflactores!$R$5</f>
        <v>10863.408127325945</v>
      </c>
      <c r="V21" s="33">
        <f>8099.861905578*Deflactores!$S$5</f>
        <v>13076.804056627878</v>
      </c>
    </row>
    <row r="22" spans="2:22" x14ac:dyDescent="0.2">
      <c r="B22" s="34"/>
      <c r="C22" s="76" t="s">
        <v>44</v>
      </c>
      <c r="D22" s="35">
        <f t="shared" ref="D22:V22" si="3">+D23+D24</f>
        <v>42625.61970647487</v>
      </c>
      <c r="E22" s="35">
        <f t="shared" si="3"/>
        <v>46692.381495173584</v>
      </c>
      <c r="F22" s="35">
        <f t="shared" si="3"/>
        <v>43317.591043055712</v>
      </c>
      <c r="G22" s="35">
        <f t="shared" si="3"/>
        <v>42572.066414328394</v>
      </c>
      <c r="H22" s="35">
        <f t="shared" si="3"/>
        <v>50419.506456970383</v>
      </c>
      <c r="I22" s="35">
        <f t="shared" si="3"/>
        <v>50764.857264298342</v>
      </c>
      <c r="J22" s="35">
        <f t="shared" si="3"/>
        <v>74534.096107440419</v>
      </c>
      <c r="K22" s="35">
        <f t="shared" si="3"/>
        <v>78720.853847552862</v>
      </c>
      <c r="L22" s="35">
        <f t="shared" si="3"/>
        <v>71000.797986696809</v>
      </c>
      <c r="M22" s="35">
        <f t="shared" si="3"/>
        <v>65236.935520994055</v>
      </c>
      <c r="N22" s="35">
        <f t="shared" si="3"/>
        <v>68737.446952111684</v>
      </c>
      <c r="O22" s="35">
        <f t="shared" si="3"/>
        <v>59669.450416014923</v>
      </c>
      <c r="P22" s="35">
        <f t="shared" si="3"/>
        <v>61751.780033794537</v>
      </c>
      <c r="Q22" s="35">
        <f t="shared" si="3"/>
        <v>76064.201593907346</v>
      </c>
      <c r="R22" s="35">
        <f t="shared" si="3"/>
        <v>62530.25672445471</v>
      </c>
      <c r="S22" s="35">
        <f t="shared" si="3"/>
        <v>65715.03214593124</v>
      </c>
      <c r="T22" s="35">
        <f t="shared" si="3"/>
        <v>64204.463070559621</v>
      </c>
      <c r="U22" s="35">
        <f t="shared" si="3"/>
        <v>59303.389368834934</v>
      </c>
      <c r="V22" s="35">
        <f t="shared" si="3"/>
        <v>59339.822639073653</v>
      </c>
    </row>
    <row r="23" spans="2:22" x14ac:dyDescent="0.2">
      <c r="B23" s="32"/>
      <c r="C23" s="77" t="s">
        <v>60</v>
      </c>
      <c r="D23" s="33">
        <f>6406.742457902*Deflactores!$A$5</f>
        <v>23909.421949807031</v>
      </c>
      <c r="E23" s="33">
        <f>8411.172914122*Deflactores!$B$5</f>
        <v>29159.574294082035</v>
      </c>
      <c r="F23" s="33">
        <f>8119.82798196799*Deflactores!$C$5</f>
        <v>26309.996419968185</v>
      </c>
      <c r="G23" s="33">
        <f>7146.908390074*Deflactores!$D$5</f>
        <v>21745.920435326661</v>
      </c>
      <c r="H23" s="33">
        <f>9691.918690262*Deflactores!$E$5</f>
        <v>27953.056493737604</v>
      </c>
      <c r="I23" s="33">
        <f>9625.750090896*Deflactores!$F$5</f>
        <v>26476.726703945747</v>
      </c>
      <c r="J23" s="33">
        <f>17122.88794468*Deflactores!$G$5</f>
        <v>45079.811291771322</v>
      </c>
      <c r="K23" s="33">
        <f>19127.6098796461*Deflactores!$H$5</f>
        <v>47644.585276201331</v>
      </c>
      <c r="L23" s="33">
        <f>18574.5947914869*Deflactores!$I$5</f>
        <v>42969.455343222631</v>
      </c>
      <c r="M23" s="33">
        <f>16048.553246971*Deflactores!$J$5</f>
        <v>36397.245521524819</v>
      </c>
      <c r="N23" s="33">
        <f>18160.8963324009*Deflactores!$K$5</f>
        <v>39921.91215252773</v>
      </c>
      <c r="O23" s="33">
        <f>14794.3622569999*Deflactores!$L$5</f>
        <v>31353.050699150499</v>
      </c>
      <c r="P23" s="33">
        <f>16672.829632408*Deflactores!$M$5</f>
        <v>34492.390852628909</v>
      </c>
      <c r="Q23" s="33">
        <f>22809.372832281*Deflactores!$N$5</f>
        <v>46289.522521865889</v>
      </c>
      <c r="R23" s="33">
        <f>17783.707620987*Deflactores!$O$5</f>
        <v>34816.127336007776</v>
      </c>
      <c r="S23" s="33">
        <f>20399.347354253*Deflactores!$P$5</f>
        <v>37404.614470065004</v>
      </c>
      <c r="T23" s="33">
        <f>19919.9671423345*Deflactores!$Q$5</f>
        <v>34539.587887736649</v>
      </c>
      <c r="U23" s="33">
        <f>17105.835220066*Deflactores!$R$5</f>
        <v>28494.681653828287</v>
      </c>
      <c r="V23" s="33">
        <f>16114.577057565*Deflactores!$S$5</f>
        <v>26016.143126105701</v>
      </c>
    </row>
    <row r="24" spans="2:22" x14ac:dyDescent="0.2">
      <c r="B24" s="32"/>
      <c r="C24" s="77" t="s">
        <v>61</v>
      </c>
      <c r="D24" s="33">
        <f>5015.171804231*Deflactores!$A$5</f>
        <v>18716.19775666784</v>
      </c>
      <c r="E24" s="33">
        <f>5057.394581658*Deflactores!$B$5</f>
        <v>17532.807201091546</v>
      </c>
      <c r="F24" s="33">
        <f>5248.90769736872*Deflactores!$C$5</f>
        <v>17007.594623087531</v>
      </c>
      <c r="G24" s="33">
        <f>6844.61979307327*Deflactores!$D$5</f>
        <v>20826.145979001729</v>
      </c>
      <c r="H24" s="33">
        <f>7789.595615466*Deflactores!$E$5</f>
        <v>22466.449963232782</v>
      </c>
      <c r="I24" s="33">
        <f>8830.074712905*Deflactores!$F$5</f>
        <v>24288.130560352594</v>
      </c>
      <c r="J24" s="33">
        <f>11187.766850334*Deflactores!$G$5</f>
        <v>29454.284815669096</v>
      </c>
      <c r="K24" s="33">
        <f>12476.018802599*Deflactores!$H$5</f>
        <v>31076.268571351535</v>
      </c>
      <c r="L24" s="33">
        <f>12117.231342705*Deflactores!$I$5</f>
        <v>28031.342643474178</v>
      </c>
      <c r="M24" s="33">
        <f>12716.217778318*Deflactores!$J$5</f>
        <v>28839.689999469239</v>
      </c>
      <c r="N24" s="33">
        <f>13108.488848393*Deflactores!$K$5</f>
        <v>28815.534799583958</v>
      </c>
      <c r="O24" s="33">
        <f>13361.4773007289*Deflactores!$L$5</f>
        <v>28316.399716864427</v>
      </c>
      <c r="P24" s="33">
        <f>13176.562727789*Deflactores!$M$5</f>
        <v>27259.389181165629</v>
      </c>
      <c r="Q24" s="33">
        <f>14671.608582588*Deflactores!$N$5</f>
        <v>29774.679072041461</v>
      </c>
      <c r="R24" s="33">
        <f>14156.082589479*Deflactores!$O$5</f>
        <v>27714.129388446934</v>
      </c>
      <c r="S24" s="33">
        <f>15439.647008691*Deflactores!$P$5</f>
        <v>28310.417675866232</v>
      </c>
      <c r="T24" s="33">
        <f>17108.5810532527*Deflactores!$Q$5</f>
        <v>29664.875182822972</v>
      </c>
      <c r="U24" s="33">
        <f>18494.983868166*Deflactores!$R$5</f>
        <v>30808.707715006647</v>
      </c>
      <c r="V24" s="33">
        <f>20640.915094539*Deflactores!$S$5</f>
        <v>33323.679512967952</v>
      </c>
    </row>
    <row r="25" spans="2:22" x14ac:dyDescent="0.2">
      <c r="B25" s="34" t="s">
        <v>45</v>
      </c>
      <c r="C25" s="76" t="s">
        <v>46</v>
      </c>
      <c r="D25" s="35">
        <f>7620.83281499099*Deflactores!$A$5</f>
        <v>28440.304660259913</v>
      </c>
      <c r="E25" s="35">
        <f>11466.4057597971*Deflactores!$B$5</f>
        <v>39751.353830513348</v>
      </c>
      <c r="F25" s="35">
        <f>10632.6605531301*Deflactores!$C$5</f>
        <v>34452.116683854729</v>
      </c>
      <c r="G25" s="35">
        <f>8962.85466567888*Deflactores!$D$5</f>
        <v>27271.305828397668</v>
      </c>
      <c r="H25" s="35">
        <f>11175.5745743095*Deflactores!$E$5</f>
        <v>32232.159328733098</v>
      </c>
      <c r="I25" s="35">
        <f>12598.4512464178*Deflactores!$F$5</f>
        <v>34653.481276214945</v>
      </c>
      <c r="J25" s="35">
        <f>14981.8119985554*Deflactores!$G$5</f>
        <v>39442.952607390587</v>
      </c>
      <c r="K25" s="35">
        <f>20992.218870549*Deflactores!$H$5</f>
        <v>52289.102946356186</v>
      </c>
      <c r="L25" s="35">
        <f>22090.1487008449*Deflactores!$I$5</f>
        <v>51102.146172315966</v>
      </c>
      <c r="M25" s="35">
        <f>31189.933565961*Deflactores!$J$5</f>
        <v>70737.07220397536</v>
      </c>
      <c r="N25" s="35">
        <f>25684.6110833104*Deflactores!$K$5</f>
        <v>56460.802846519044</v>
      </c>
      <c r="O25" s="35">
        <f>32860.724673777*Deflactores!$L$5</f>
        <v>69640.309518599272</v>
      </c>
      <c r="P25" s="35">
        <f>38080.336370913*Deflactores!$M$5</f>
        <v>78779.779729291797</v>
      </c>
      <c r="Q25" s="35">
        <f>43645.577196724*Deflactores!$N$5</f>
        <v>88574.681271740745</v>
      </c>
      <c r="R25" s="35">
        <f>44484.787084584*Deflactores!$O$5</f>
        <v>87090.276373207293</v>
      </c>
      <c r="S25" s="35">
        <f>46088.6791772363*Deflactores!$P$5</f>
        <v>84509.040712011774</v>
      </c>
      <c r="T25" s="35">
        <f>41141.0519178311*Deflactores!$Q$5</f>
        <v>71335.206948706429</v>
      </c>
      <c r="U25" s="35">
        <f>40418.5175390969*Deflactores!$R$5</f>
        <v>67328.649865937245</v>
      </c>
      <c r="V25" s="35">
        <f>38621.7015154969*Deflactores!$S$5</f>
        <v>62352.720199330484</v>
      </c>
    </row>
    <row r="26" spans="2:22" ht="14.25" customHeight="1" x14ac:dyDescent="0.2">
      <c r="B26" s="36" t="s">
        <v>47</v>
      </c>
      <c r="C26" s="78" t="s">
        <v>48</v>
      </c>
      <c r="D26" s="37">
        <f t="shared" ref="D26:V26" si="4">+D13+D25</f>
        <v>127061.81947214218</v>
      </c>
      <c r="E26" s="37">
        <f t="shared" si="4"/>
        <v>143347.67210441464</v>
      </c>
      <c r="F26" s="37">
        <f t="shared" si="4"/>
        <v>141900.78307788781</v>
      </c>
      <c r="G26" s="37">
        <f t="shared" si="4"/>
        <v>135105.69626355026</v>
      </c>
      <c r="H26" s="37">
        <f t="shared" si="4"/>
        <v>158106.95203872834</v>
      </c>
      <c r="I26" s="37">
        <f t="shared" si="4"/>
        <v>170310.133582593</v>
      </c>
      <c r="J26" s="37">
        <f t="shared" si="4"/>
        <v>176374.11325182018</v>
      </c>
      <c r="K26" s="37">
        <f t="shared" si="4"/>
        <v>193938.33639991417</v>
      </c>
      <c r="L26" s="37">
        <f t="shared" si="4"/>
        <v>199888.87686687961</v>
      </c>
      <c r="M26" s="37">
        <f t="shared" si="4"/>
        <v>238159.58477640944</v>
      </c>
      <c r="N26" s="37">
        <f t="shared" si="4"/>
        <v>241516.00856821408</v>
      </c>
      <c r="O26" s="37">
        <f t="shared" si="4"/>
        <v>246098.91961046902</v>
      </c>
      <c r="P26" s="37">
        <f t="shared" si="4"/>
        <v>267303.11946781899</v>
      </c>
      <c r="Q26" s="37">
        <f t="shared" si="4"/>
        <v>293086.47183310136</v>
      </c>
      <c r="R26" s="37">
        <f t="shared" si="4"/>
        <v>305427.33888335462</v>
      </c>
      <c r="S26" s="37">
        <f t="shared" si="4"/>
        <v>294512.00718811294</v>
      </c>
      <c r="T26" s="37">
        <f t="shared" si="4"/>
        <v>283876.92650821747</v>
      </c>
      <c r="U26" s="37">
        <f t="shared" si="4"/>
        <v>298690.83617186081</v>
      </c>
      <c r="V26" s="37">
        <f t="shared" si="4"/>
        <v>299205.9813762898</v>
      </c>
    </row>
    <row r="27" spans="2:22" ht="14.25" customHeight="1" x14ac:dyDescent="0.2">
      <c r="B27" s="38" t="s">
        <v>49</v>
      </c>
      <c r="C27" s="79" t="s">
        <v>50</v>
      </c>
      <c r="D27" s="39">
        <f t="shared" ref="D27:V27" si="5">+D18+D26</f>
        <v>188814.05932356213</v>
      </c>
      <c r="E27" s="39">
        <f t="shared" si="5"/>
        <v>217547.04551960866</v>
      </c>
      <c r="F27" s="39">
        <f t="shared" si="5"/>
        <v>216310.42367685263</v>
      </c>
      <c r="G27" s="39">
        <f t="shared" si="5"/>
        <v>218295.99360159671</v>
      </c>
      <c r="H27" s="39">
        <f t="shared" si="5"/>
        <v>235656.55832738339</v>
      </c>
      <c r="I27" s="39">
        <f t="shared" si="5"/>
        <v>257114.14206943708</v>
      </c>
      <c r="J27" s="39">
        <f t="shared" si="5"/>
        <v>278865.88992699794</v>
      </c>
      <c r="K27" s="39">
        <f t="shared" si="5"/>
        <v>291879.23189949978</v>
      </c>
      <c r="L27" s="39">
        <f t="shared" si="5"/>
        <v>289841.79217069363</v>
      </c>
      <c r="M27" s="39">
        <f t="shared" si="5"/>
        <v>322151.38633840292</v>
      </c>
      <c r="N27" s="39">
        <f t="shared" si="5"/>
        <v>329206.05616715003</v>
      </c>
      <c r="O27" s="39">
        <f t="shared" si="5"/>
        <v>320668.55607856868</v>
      </c>
      <c r="P27" s="39">
        <f t="shared" si="5"/>
        <v>342629.47802790644</v>
      </c>
      <c r="Q27" s="39">
        <f t="shared" si="5"/>
        <v>383477.96046692948</v>
      </c>
      <c r="R27" s="39">
        <f t="shared" si="5"/>
        <v>385601.75488278217</v>
      </c>
      <c r="S27" s="39">
        <f t="shared" si="5"/>
        <v>380649.8902243115</v>
      </c>
      <c r="T27" s="39">
        <f t="shared" si="5"/>
        <v>364861.65049744572</v>
      </c>
      <c r="U27" s="39">
        <f t="shared" si="5"/>
        <v>381991.7988393213</v>
      </c>
      <c r="V27" s="39">
        <f t="shared" si="5"/>
        <v>376586.4443565557</v>
      </c>
    </row>
    <row r="28" spans="2:22" x14ac:dyDescent="0.2">
      <c r="B28" s="1" t="s">
        <v>52</v>
      </c>
      <c r="C28" s="7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x14ac:dyDescent="0.2">
      <c r="B29" s="1"/>
    </row>
    <row r="32" spans="2:22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5" spans="1:22" ht="18" customHeight="1" x14ac:dyDescent="0.2">
      <c r="C35" s="131"/>
      <c r="D35" s="164" t="s">
        <v>62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</row>
    <row r="36" spans="1:22" x14ac:dyDescent="0.2">
      <c r="B36" s="159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x14ac:dyDescent="0.2">
      <c r="A37" s="17"/>
      <c r="B37" s="167"/>
      <c r="C37" s="161" t="s">
        <v>38</v>
      </c>
      <c r="D37" s="155">
        <v>2000</v>
      </c>
      <c r="E37" s="155">
        <v>2001</v>
      </c>
      <c r="F37" s="155">
        <v>2002</v>
      </c>
      <c r="G37" s="155">
        <v>2003</v>
      </c>
      <c r="H37" s="155">
        <v>2004</v>
      </c>
      <c r="I37" s="155">
        <v>2005</v>
      </c>
      <c r="J37" s="155">
        <v>2006</v>
      </c>
      <c r="K37" s="155">
        <v>2007</v>
      </c>
      <c r="L37" s="155">
        <v>2008</v>
      </c>
      <c r="M37" s="155">
        <v>2009</v>
      </c>
      <c r="N37" s="155">
        <v>2010</v>
      </c>
      <c r="O37" s="155">
        <v>2011</v>
      </c>
      <c r="P37" s="155">
        <v>2012</v>
      </c>
      <c r="Q37" s="155">
        <v>2013</v>
      </c>
      <c r="R37" s="155">
        <v>2014</v>
      </c>
      <c r="S37" s="155">
        <v>2015</v>
      </c>
      <c r="T37" s="155">
        <v>2016</v>
      </c>
      <c r="U37" s="155">
        <v>2017</v>
      </c>
      <c r="V37" s="155">
        <v>2018</v>
      </c>
    </row>
    <row r="38" spans="1:22" ht="12" customHeight="1" thickBot="1" x14ac:dyDescent="0.25">
      <c r="A38" s="17"/>
      <c r="B38" s="156"/>
      <c r="C38" s="162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</row>
    <row r="39" spans="1:22" x14ac:dyDescent="0.2">
      <c r="A39" s="18"/>
      <c r="B39" s="34" t="s">
        <v>39</v>
      </c>
      <c r="C39" s="76" t="s">
        <v>40</v>
      </c>
      <c r="D39" s="41">
        <f t="shared" ref="D39:V39" si="6">+D40+D41+D42+D43</f>
        <v>93623.661989511733</v>
      </c>
      <c r="E39" s="41">
        <f t="shared" si="6"/>
        <v>99698.736172615929</v>
      </c>
      <c r="F39" s="41">
        <f t="shared" si="6"/>
        <v>105185.25618015237</v>
      </c>
      <c r="G39" s="41">
        <f t="shared" si="6"/>
        <v>105835.7441249629</v>
      </c>
      <c r="H39" s="41">
        <f t="shared" si="6"/>
        <v>124140.71675608428</v>
      </c>
      <c r="I39" s="41">
        <f t="shared" si="6"/>
        <v>133161.13044780132</v>
      </c>
      <c r="J39" s="41">
        <f t="shared" si="6"/>
        <v>134036.63423906401</v>
      </c>
      <c r="K39" s="41">
        <f t="shared" si="6"/>
        <v>135529.69663177567</v>
      </c>
      <c r="L39" s="41">
        <f t="shared" si="6"/>
        <v>145102.35204501837</v>
      </c>
      <c r="M39" s="41">
        <f t="shared" si="6"/>
        <v>158262.9825551234</v>
      </c>
      <c r="N39" s="41">
        <f t="shared" si="6"/>
        <v>170219.86688150073</v>
      </c>
      <c r="O39" s="41">
        <f t="shared" si="6"/>
        <v>173040.31612817454</v>
      </c>
      <c r="P39" s="41">
        <f t="shared" si="6"/>
        <v>184313.07569005666</v>
      </c>
      <c r="Q39" s="41">
        <f t="shared" si="6"/>
        <v>197692.54221975827</v>
      </c>
      <c r="R39" s="41">
        <f t="shared" si="6"/>
        <v>207591.97681380174</v>
      </c>
      <c r="S39" s="41">
        <f t="shared" si="6"/>
        <v>205438.11065577931</v>
      </c>
      <c r="T39" s="41">
        <f t="shared" si="6"/>
        <v>210324.66236464368</v>
      </c>
      <c r="U39" s="41">
        <f t="shared" si="6"/>
        <v>229365.56393243637</v>
      </c>
      <c r="V39" s="41">
        <f t="shared" si="6"/>
        <v>230222.16457651847</v>
      </c>
    </row>
    <row r="40" spans="1:22" x14ac:dyDescent="0.2">
      <c r="A40" s="19"/>
      <c r="B40" s="40"/>
      <c r="C40" s="77" t="s">
        <v>56</v>
      </c>
      <c r="D40" s="42">
        <f>6229.34470914813*Deflactores!$A$5</f>
        <v>23247.388528646057</v>
      </c>
      <c r="E40" s="42">
        <f>6726.46650103465*Deflactores!$B$5</f>
        <v>23319.090176384521</v>
      </c>
      <c r="F40" s="42">
        <f>7268.31370541013*Deflactores!$C$5</f>
        <v>23550.906249888099</v>
      </c>
      <c r="G40" s="42">
        <f>7871.33608497666*Deflactores!$D$5</f>
        <v>23950.138840641524</v>
      </c>
      <c r="H40" s="42">
        <f>8637.75072587096*Deflactores!$E$5</f>
        <v>24912.66608145335</v>
      </c>
      <c r="I40" s="42">
        <f>9205.8149212342*Deflactores!$F$5</f>
        <v>25321.646983870072</v>
      </c>
      <c r="J40" s="42">
        <f>10208.7169930046*Deflactores!$G$5</f>
        <v>26876.718288560121</v>
      </c>
      <c r="K40" s="42">
        <f>11156.1130705759*Deflactores!$H$5</f>
        <v>27788.541479382791</v>
      </c>
      <c r="L40" s="42">
        <f>12493.0049102242*Deflactores!$I$5</f>
        <v>28900.636736289602</v>
      </c>
      <c r="M40" s="42">
        <f>14056.3603982619*Deflactores!$J$5</f>
        <v>31879.060540933093</v>
      </c>
      <c r="N40" s="42">
        <f>15117.7111655028*Deflactores!$K$5</f>
        <v>33232.276978517562</v>
      </c>
      <c r="O40" s="42">
        <f>15971.7121530199*Deflactores!$L$5</f>
        <v>33848.157303903885</v>
      </c>
      <c r="P40" s="42">
        <f>18009.2414348955*Deflactores!$M$5</f>
        <v>37257.130806659596</v>
      </c>
      <c r="Q40" s="42">
        <f>19954.0662497947*Deflactores!$N$5</f>
        <v>40494.940648497737</v>
      </c>
      <c r="R40" s="42">
        <f>22135.4433816682*Deflactores!$O$5</f>
        <v>43335.756066168287</v>
      </c>
      <c r="S40" s="42">
        <f>23620.5928754438*Deflactores!$P$5</f>
        <v>43311.148867521842</v>
      </c>
      <c r="T40" s="42">
        <f>25682.0221128836*Deflactores!$Q$5</f>
        <v>44530.518226486529</v>
      </c>
      <c r="U40" s="42">
        <f>27697.2227396041*Deflactores!$R$5</f>
        <v>46137.679599204479</v>
      </c>
      <c r="V40" s="42">
        <f>30597.1369734961*Deflactores!$S$5</f>
        <v>49397.479804028939</v>
      </c>
    </row>
    <row r="41" spans="1:22" x14ac:dyDescent="0.2">
      <c r="A41" s="19"/>
      <c r="B41" s="40"/>
      <c r="C41" s="77" t="s">
        <v>57</v>
      </c>
      <c r="D41" s="42">
        <f>1596.57007627469*Deflactores!$A$5</f>
        <v>5958.2647307767074</v>
      </c>
      <c r="E41" s="42">
        <f>1829.54278383933*Deflactores!$B$5</f>
        <v>6342.5980269641632</v>
      </c>
      <c r="F41" s="42">
        <f>2226.05470737772*Deflactores!$C$5</f>
        <v>7212.8980456019754</v>
      </c>
      <c r="G41" s="42">
        <f>2417.68016574717*Deflactores!$D$5</f>
        <v>7356.2829762060192</v>
      </c>
      <c r="H41" s="42">
        <f>2828.14770289286*Deflactores!$E$5</f>
        <v>8156.8340633139633</v>
      </c>
      <c r="I41" s="42">
        <f>3077.40431181113*Deflactores!$F$5</f>
        <v>8464.7525805215573</v>
      </c>
      <c r="J41" s="42">
        <f>3405.41970167447*Deflactores!$G$5</f>
        <v>8965.5248587001297</v>
      </c>
      <c r="K41" s="42">
        <f>3660.57232159174*Deflactores!$H$5</f>
        <v>9118.0472224795703</v>
      </c>
      <c r="L41" s="42">
        <f>4040.32346250055*Deflactores!$I$5</f>
        <v>9346.6641153141663</v>
      </c>
      <c r="M41" s="42">
        <f>4714.56557007867*Deflactores!$J$5</f>
        <v>10692.37818143316</v>
      </c>
      <c r="N41" s="42">
        <f>5115.03328875987*Deflactores!$K$5</f>
        <v>11244.043568863361</v>
      </c>
      <c r="O41" s="42">
        <f>5538.64446035544*Deflactores!$L$5</f>
        <v>11737.809143339698</v>
      </c>
      <c r="P41" s="42">
        <f>6339.27391526422*Deflactores!$M$5</f>
        <v>13114.553343851854</v>
      </c>
      <c r="Q41" s="42">
        <f>7298.75466031102*Deflactores!$N$5</f>
        <v>14812.150720421807</v>
      </c>
      <c r="R41" s="42">
        <f>7705.7529421135*Deflactores!$O$5</f>
        <v>15085.96977470721</v>
      </c>
      <c r="S41" s="42">
        <f>7555.74307359211*Deflactores!$P$5</f>
        <v>13854.34797469902</v>
      </c>
      <c r="T41" s="42">
        <f>7831.48943369265*Deflactores!$Q$5</f>
        <v>13579.159827630503</v>
      </c>
      <c r="U41" s="42">
        <f>7888.59478150278*Deflactores!$R$5</f>
        <v>13140.720350871328</v>
      </c>
      <c r="V41" s="42">
        <f>8495.0124562587*Deflactores!$S$5</f>
        <v>13714.753985201552</v>
      </c>
    </row>
    <row r="42" spans="1:22" x14ac:dyDescent="0.2">
      <c r="A42" s="19"/>
      <c r="B42" s="40"/>
      <c r="C42" s="77" t="s">
        <v>58</v>
      </c>
      <c r="D42" s="42">
        <f>16896.717733324*Deflactores!$A$5</f>
        <v>63057.124038840229</v>
      </c>
      <c r="E42" s="42">
        <f>19814.7527644027*Deflactores!$B$5</f>
        <v>68693.125352634655</v>
      </c>
      <c r="F42" s="42">
        <f>22488.2350405503*Deflactores!$C$5</f>
        <v>72866.738645475649</v>
      </c>
      <c r="G42" s="42">
        <f>23913.5827532928*Deflactores!$D$5</f>
        <v>72761.932781864118</v>
      </c>
      <c r="H42" s="42">
        <f>31009.4681464219*Deflactores!$E$5</f>
        <v>89436.306952164043</v>
      </c>
      <c r="I42" s="42">
        <f>35355.9534924003*Deflactores!$F$5</f>
        <v>97250.594409371639</v>
      </c>
      <c r="J42" s="42">
        <f>36413.0400920942*Deflactores!$G$5</f>
        <v>95865.427678706154</v>
      </c>
      <c r="K42" s="42">
        <f>38831.5536958484*Deflactores!$H$5</f>
        <v>96724.749360241069</v>
      </c>
      <c r="L42" s="42">
        <f>45345.3529492324*Deflactores!$I$5</f>
        <v>104899.46835705564</v>
      </c>
      <c r="M42" s="42">
        <f>49968.2824841892*Deflactores!$J$5</f>
        <v>113325.34577278516</v>
      </c>
      <c r="N42" s="42">
        <f>55854.780206257*Deflactores!$K$5</f>
        <v>122781.91493856459</v>
      </c>
      <c r="O42" s="42">
        <f>58806.1827981491*Deflactores!$L$5</f>
        <v>124625.39436747369</v>
      </c>
      <c r="P42" s="42">
        <f>63379.4659801904*Deflactores!$M$5</f>
        <v>131118.07418522108</v>
      </c>
      <c r="Q42" s="42">
        <f>68834.5395314248*Deflactores!$N$5</f>
        <v>139693.36164353957</v>
      </c>
      <c r="R42" s="42">
        <f>74778.5653516604*Deflactores!$O$5</f>
        <v>146398.04639022134</v>
      </c>
      <c r="S42" s="42">
        <f>79382.531331979*Deflactores!$P$5</f>
        <v>145557.25379672382</v>
      </c>
      <c r="T42" s="42">
        <f>86181.6360799038*Deflactores!$Q$5</f>
        <v>149431.88271453767</v>
      </c>
      <c r="U42" s="42">
        <f>100569.729085475*Deflactores!$R$5</f>
        <v>167527.76917555908</v>
      </c>
      <c r="V42" s="42">
        <f>101954.562562704*Deflactores!$S$5</f>
        <v>164600.3169996698</v>
      </c>
    </row>
    <row r="43" spans="1:22" x14ac:dyDescent="0.2">
      <c r="A43" s="19"/>
      <c r="B43" s="40"/>
      <c r="C43" s="77" t="s">
        <v>59</v>
      </c>
      <c r="D43" s="42">
        <f>364.66116788752*Deflactores!$A$5</f>
        <v>1360.884691248737</v>
      </c>
      <c r="E43" s="42">
        <f>387.65879767971*Deflactores!$B$5</f>
        <v>1343.9226166325916</v>
      </c>
      <c r="F43" s="42">
        <f>479.817779598889*Deflactores!$C$5</f>
        <v>1554.7132391866501</v>
      </c>
      <c r="G43" s="42">
        <f>580.86164121037*Deflactores!$D$5</f>
        <v>1767.3895262512494</v>
      </c>
      <c r="H43" s="42">
        <f>566.85792074237*Deflactores!$E$5</f>
        <v>1634.909659152924</v>
      </c>
      <c r="I43" s="42">
        <f>772.24073378377*Deflactores!$F$5</f>
        <v>2124.1364740380641</v>
      </c>
      <c r="J43" s="42">
        <f>884.62170552628*Deflactores!$G$5</f>
        <v>2328.9634130975955</v>
      </c>
      <c r="K43" s="42">
        <f>762.12358491262*Deflactores!$H$5</f>
        <v>1898.3585696722405</v>
      </c>
      <c r="L43" s="42">
        <f>845.34836377169*Deflactores!$I$5</f>
        <v>1955.5828363589403</v>
      </c>
      <c r="M43" s="42">
        <f>1043.32223535658*Deflactores!$J$5</f>
        <v>2366.1980599719645</v>
      </c>
      <c r="N43" s="42">
        <f>1347.27716808666*Deflactores!$K$5</f>
        <v>2961.6313955552105</v>
      </c>
      <c r="O43" s="42">
        <f>1334.88093767173*Deflactores!$L$5</f>
        <v>2828.9553134572529</v>
      </c>
      <c r="P43" s="42">
        <f>1364.72677257973*Deflactores!$M$5</f>
        <v>2823.3173543241146</v>
      </c>
      <c r="Q43" s="42">
        <f>1326.53920545499*Deflactores!$N$5</f>
        <v>2692.0892072991815</v>
      </c>
      <c r="R43" s="42">
        <f>1416.01262221363*Deflactores!$O$5</f>
        <v>2772.2045827048887</v>
      </c>
      <c r="S43" s="42">
        <f>1480.87536685052*Deflactores!$P$5</f>
        <v>2715.3600168346247</v>
      </c>
      <c r="T43" s="42">
        <f>1605.09420454212*Deflactores!$Q$5</f>
        <v>2783.101595988986</v>
      </c>
      <c r="U43" s="42">
        <f>1536.44762065123*Deflactores!$R$5</f>
        <v>2559.394806801477</v>
      </c>
      <c r="V43" s="42">
        <f>1554.47195109871*Deflactores!$S$5</f>
        <v>2509.6137876181861</v>
      </c>
    </row>
    <row r="44" spans="1:22" x14ac:dyDescent="0.2">
      <c r="A44" s="20"/>
      <c r="B44" s="34" t="s">
        <v>41</v>
      </c>
      <c r="C44" s="76" t="s">
        <v>42</v>
      </c>
      <c r="D44" s="41">
        <f t="shared" ref="D44:V44" si="7">+D45+D48</f>
        <v>58747.358878667219</v>
      </c>
      <c r="E44" s="41">
        <f t="shared" si="7"/>
        <v>73171.758419214981</v>
      </c>
      <c r="F44" s="41">
        <f t="shared" si="7"/>
        <v>73639.452843372754</v>
      </c>
      <c r="G44" s="41">
        <f t="shared" si="7"/>
        <v>82519.810265657434</v>
      </c>
      <c r="H44" s="41">
        <f t="shared" si="7"/>
        <v>74065.47996582897</v>
      </c>
      <c r="I44" s="41">
        <f t="shared" si="7"/>
        <v>84928.043332820496</v>
      </c>
      <c r="J44" s="41">
        <f t="shared" si="7"/>
        <v>98969.921219039708</v>
      </c>
      <c r="K44" s="41">
        <f t="shared" si="7"/>
        <v>94698.906367439311</v>
      </c>
      <c r="L44" s="41">
        <f t="shared" si="7"/>
        <v>82302.950602572353</v>
      </c>
      <c r="M44" s="41">
        <f t="shared" si="7"/>
        <v>74272.12865258177</v>
      </c>
      <c r="N44" s="41">
        <f t="shared" si="7"/>
        <v>71104.956219908112</v>
      </c>
      <c r="O44" s="41">
        <f t="shared" si="7"/>
        <v>71447.994622746279</v>
      </c>
      <c r="P44" s="41">
        <f t="shared" si="7"/>
        <v>74978.655044662941</v>
      </c>
      <c r="Q44" s="41">
        <f t="shared" si="7"/>
        <v>76984.079964134551</v>
      </c>
      <c r="R44" s="41">
        <f t="shared" si="7"/>
        <v>78288.30229133449</v>
      </c>
      <c r="S44" s="41">
        <f t="shared" si="7"/>
        <v>84924.511085523205</v>
      </c>
      <c r="T44" s="41">
        <f t="shared" si="7"/>
        <v>68783.837151145533</v>
      </c>
      <c r="U44" s="41">
        <f t="shared" si="7"/>
        <v>81490.537315087073</v>
      </c>
      <c r="V44" s="41">
        <f t="shared" si="7"/>
        <v>75832.239699976475</v>
      </c>
    </row>
    <row r="45" spans="1:22" x14ac:dyDescent="0.2">
      <c r="A45" s="20"/>
      <c r="B45" s="34"/>
      <c r="C45" s="76" t="s">
        <v>43</v>
      </c>
      <c r="D45" s="41">
        <f t="shared" ref="D45:V45" si="8">+D46+D47</f>
        <v>18605.03157972702</v>
      </c>
      <c r="E45" s="41">
        <f t="shared" si="8"/>
        <v>27021.810797396734</v>
      </c>
      <c r="F45" s="41">
        <f t="shared" si="8"/>
        <v>30631.282863606717</v>
      </c>
      <c r="G45" s="41">
        <f t="shared" si="8"/>
        <v>40319.881620840446</v>
      </c>
      <c r="H45" s="41">
        <f t="shared" si="8"/>
        <v>24484.803472840438</v>
      </c>
      <c r="I45" s="41">
        <f t="shared" si="8"/>
        <v>35250.148093637006</v>
      </c>
      <c r="J45" s="41">
        <f t="shared" si="8"/>
        <v>25390.882937533366</v>
      </c>
      <c r="K45" s="41">
        <f t="shared" si="8"/>
        <v>18562.635894512419</v>
      </c>
      <c r="L45" s="41">
        <f t="shared" si="8"/>
        <v>16971.721262203169</v>
      </c>
      <c r="M45" s="41">
        <f t="shared" si="8"/>
        <v>15583.258747834614</v>
      </c>
      <c r="N45" s="41">
        <f t="shared" si="8"/>
        <v>15471.817749852216</v>
      </c>
      <c r="O45" s="41">
        <f t="shared" si="8"/>
        <v>12983.162701345471</v>
      </c>
      <c r="P45" s="41">
        <f t="shared" si="8"/>
        <v>13400.535003881649</v>
      </c>
      <c r="Q45" s="41">
        <f t="shared" si="8"/>
        <v>13927.298212007563</v>
      </c>
      <c r="R45" s="41">
        <f t="shared" si="8"/>
        <v>17312.896783726948</v>
      </c>
      <c r="S45" s="41">
        <f t="shared" si="8"/>
        <v>20190.909224833445</v>
      </c>
      <c r="T45" s="41">
        <f t="shared" si="8"/>
        <v>16116.336475046406</v>
      </c>
      <c r="U45" s="41">
        <f t="shared" si="8"/>
        <v>23289.119481552836</v>
      </c>
      <c r="V45" s="41">
        <f t="shared" si="8"/>
        <v>18031.865810807474</v>
      </c>
    </row>
    <row r="46" spans="1:22" x14ac:dyDescent="0.2">
      <c r="A46" s="20"/>
      <c r="B46" s="32"/>
      <c r="C46" s="77" t="s">
        <v>60</v>
      </c>
      <c r="D46" s="42">
        <f>2529.12285638793*Deflactores!$A$5</f>
        <v>9438.4729733747008</v>
      </c>
      <c r="E46" s="42">
        <f>4401.08491145749*Deflactores!$B$5</f>
        <v>15257.534681606798</v>
      </c>
      <c r="F46" s="42">
        <f>5653.35639142516*Deflactores!$C$5</f>
        <v>18318.095746549348</v>
      </c>
      <c r="G46" s="42">
        <f>7846.01808666962*Deflactores!$D$5</f>
        <v>23873.103688276726</v>
      </c>
      <c r="H46" s="42">
        <f>4063.2054549756*Deflactores!$E$5</f>
        <v>11718.939794936041</v>
      </c>
      <c r="I46" s="42">
        <f>8412.98639776208*Deflactores!$F$5</f>
        <v>23140.881439279648</v>
      </c>
      <c r="J46" s="42">
        <f>4943.76835664344*Deflactores!$G$5</f>
        <v>13015.569879785351</v>
      </c>
      <c r="K46" s="42">
        <f>3520.36640878998*Deflactores!$H$5</f>
        <v>8768.8110863003494</v>
      </c>
      <c r="L46" s="42">
        <f>3472.57379676566*Deflactores!$I$5</f>
        <v>8033.2629788809754</v>
      </c>
      <c r="M46" s="42">
        <f>2846.32466081057*Deflactores!$J$5</f>
        <v>6455.309454953288</v>
      </c>
      <c r="N46" s="42">
        <f>3361.86607698633*Deflactores!$K$5</f>
        <v>7390.1706026790716</v>
      </c>
      <c r="O46" s="42">
        <f>2373.50938587854*Deflactores!$L$5</f>
        <v>5030.0755664644748</v>
      </c>
      <c r="P46" s="42">
        <f>3393.41661617164*Deflactores!$M$5</f>
        <v>7020.2272098604117</v>
      </c>
      <c r="Q46" s="42">
        <f>2909.260866124*Deflactores!$N$5</f>
        <v>5904.0771254280371</v>
      </c>
      <c r="R46" s="42">
        <f>4841.01924007462*Deflactores!$O$5</f>
        <v>9477.5254907810522</v>
      </c>
      <c r="S46" s="42">
        <f>5998.70697983921*Deflactores!$P$5</f>
        <v>10999.338263289756</v>
      </c>
      <c r="T46" s="42">
        <f>3415.50685603909*Deflactores!$Q$5</f>
        <v>5922.2085253652613</v>
      </c>
      <c r="U46" s="42">
        <f>7662.71728925502*Deflactores!$R$5</f>
        <v>12764.456511569586</v>
      </c>
      <c r="V46" s="42">
        <f>3074.46566123586*Deflactores!$S$5</f>
        <v>4963.5642557221181</v>
      </c>
    </row>
    <row r="47" spans="1:22" x14ac:dyDescent="0.2">
      <c r="A47" s="20"/>
      <c r="B47" s="32"/>
      <c r="C47" s="77" t="s">
        <v>61</v>
      </c>
      <c r="D47" s="42">
        <f>2456.26098110826*Deflactores!$A$5</f>
        <v>9166.5586063523187</v>
      </c>
      <c r="E47" s="42">
        <f>3393.44325199792*Deflactores!$B$5</f>
        <v>11764.276115789937</v>
      </c>
      <c r="F47" s="42">
        <f>3800.11307125868*Deflactores!$C$5</f>
        <v>12313.187117057369</v>
      </c>
      <c r="G47" s="42">
        <f>5405.31800185251*Deflactores!$D$5</f>
        <v>16446.77793256372</v>
      </c>
      <c r="H47" s="42">
        <f>4426.1962123869*Deflactores!$E$5</f>
        <v>12765.863677904395</v>
      </c>
      <c r="I47" s="42">
        <f>4402.38613716149*Deflactores!$F$5</f>
        <v>12109.266654357354</v>
      </c>
      <c r="J47" s="42">
        <f>4700.57643756894*Deflactores!$G$5</f>
        <v>12375.313057748017</v>
      </c>
      <c r="K47" s="42">
        <f>3931.87303604579*Deflactores!$H$5</f>
        <v>9793.8248082120699</v>
      </c>
      <c r="L47" s="42">
        <f>3863.8665383853*Deflactores!$I$5</f>
        <v>8938.4582833221939</v>
      </c>
      <c r="M47" s="42">
        <f>4024.76556023518*Deflactores!$J$5</f>
        <v>9127.949292881327</v>
      </c>
      <c r="N47" s="42">
        <f>3676.42600570078*Deflactores!$K$5</f>
        <v>8081.6471471731447</v>
      </c>
      <c r="O47" s="42">
        <f>3752.77204326732*Deflactores!$L$5</f>
        <v>7953.0871348809969</v>
      </c>
      <c r="P47" s="42">
        <f>3084.09426608168*Deflactores!$M$5</f>
        <v>6380.307794021237</v>
      </c>
      <c r="Q47" s="42">
        <f>3953.4786947341*Deflactores!$N$5</f>
        <v>8023.2210865795259</v>
      </c>
      <c r="R47" s="42">
        <f>4002.22433790083*Deflactores!$O$5</f>
        <v>7835.3712929458961</v>
      </c>
      <c r="S47" s="42">
        <f>5012.80527636111*Deflactores!$P$5</f>
        <v>9191.5709615436899</v>
      </c>
      <c r="T47" s="42">
        <f>5879.24483819627*Deflactores!$Q$5</f>
        <v>10194.127949681144</v>
      </c>
      <c r="U47" s="42">
        <f>6318.1316674607*Deflactores!$R$5</f>
        <v>10524.66296998325</v>
      </c>
      <c r="V47" s="42">
        <f>8094.59539794753*Deflactores!$S$5</f>
        <v>13068.301555085354</v>
      </c>
    </row>
    <row r="48" spans="1:22" x14ac:dyDescent="0.2">
      <c r="A48" s="20"/>
      <c r="B48" s="34"/>
      <c r="C48" s="76" t="s">
        <v>44</v>
      </c>
      <c r="D48" s="41">
        <f t="shared" ref="D48:V48" si="9">+D49+D50</f>
        <v>40142.327298940196</v>
      </c>
      <c r="E48" s="41">
        <f t="shared" si="9"/>
        <v>46149.947621818239</v>
      </c>
      <c r="F48" s="41">
        <f t="shared" si="9"/>
        <v>43008.169979766033</v>
      </c>
      <c r="G48" s="41">
        <f t="shared" si="9"/>
        <v>42199.928644816988</v>
      </c>
      <c r="H48" s="41">
        <f t="shared" si="9"/>
        <v>49580.676492988539</v>
      </c>
      <c r="I48" s="41">
        <f t="shared" si="9"/>
        <v>49677.895239183483</v>
      </c>
      <c r="J48" s="41">
        <f t="shared" si="9"/>
        <v>73579.038281506349</v>
      </c>
      <c r="K48" s="41">
        <f t="shared" si="9"/>
        <v>76136.270472926888</v>
      </c>
      <c r="L48" s="41">
        <f t="shared" si="9"/>
        <v>65331.22934036918</v>
      </c>
      <c r="M48" s="41">
        <f t="shared" si="9"/>
        <v>58688.86990474716</v>
      </c>
      <c r="N48" s="41">
        <f t="shared" si="9"/>
        <v>55633.138470055899</v>
      </c>
      <c r="O48" s="41">
        <f t="shared" si="9"/>
        <v>58464.831921400808</v>
      </c>
      <c r="P48" s="41">
        <f t="shared" si="9"/>
        <v>61578.120040781287</v>
      </c>
      <c r="Q48" s="41">
        <f t="shared" si="9"/>
        <v>63056.78175212699</v>
      </c>
      <c r="R48" s="41">
        <f t="shared" si="9"/>
        <v>60975.405507607546</v>
      </c>
      <c r="S48" s="41">
        <f t="shared" si="9"/>
        <v>64733.601860689756</v>
      </c>
      <c r="T48" s="41">
        <f t="shared" si="9"/>
        <v>52667.500676099124</v>
      </c>
      <c r="U48" s="41">
        <f t="shared" si="9"/>
        <v>58201.417833534229</v>
      </c>
      <c r="V48" s="41">
        <f t="shared" si="9"/>
        <v>57800.373889169001</v>
      </c>
    </row>
    <row r="49" spans="1:23" x14ac:dyDescent="0.2">
      <c r="A49" s="20"/>
      <c r="B49" s="32"/>
      <c r="C49" s="77" t="s">
        <v>60</v>
      </c>
      <c r="D49" s="42">
        <f>6097.3360698846*Deflactores!$A$5</f>
        <v>22754.743432029332</v>
      </c>
      <c r="E49" s="42">
        <f>8299.71921353252*Deflactores!$B$5</f>
        <v>28773.190314597698</v>
      </c>
      <c r="F49" s="42">
        <f>8073.9692020217*Deflactores!$C$5</f>
        <v>26161.404068148615</v>
      </c>
      <c r="G49" s="42">
        <f>7122.00538144606*Deflactores!$D$5</f>
        <v>21670.147973351974</v>
      </c>
      <c r="H49" s="42">
        <f>9585.33095689588*Deflactores!$E$5</f>
        <v>27645.640281577646</v>
      </c>
      <c r="I49" s="42">
        <f>9500.55414984848*Deflactores!$F$5</f>
        <v>26132.360947068933</v>
      </c>
      <c r="J49" s="42">
        <f>17042.9660504578*Deflactores!$G$5</f>
        <v>44869.39912758163</v>
      </c>
      <c r="K49" s="42">
        <f>18284.2117513306*Deflactores!$H$5</f>
        <v>45543.781553250243</v>
      </c>
      <c r="L49" s="42">
        <f>16320.6135952349*Deflactores!$I$5</f>
        <v>37755.218077535246</v>
      </c>
      <c r="M49" s="42">
        <f>13697.4375719467*Deflactores!$J$5</f>
        <v>31065.043100754203</v>
      </c>
      <c r="N49" s="42">
        <f>13846.3351238026*Deflactores!$K$5</f>
        <v>30437.494071297817</v>
      </c>
      <c r="O49" s="42">
        <f>14339.7438762528*Deflactores!$L$5</f>
        <v>30389.597669359675</v>
      </c>
      <c r="P49" s="42">
        <f>16597.5153211496*Deflactores!$M$5</f>
        <v>34336.582227578736</v>
      </c>
      <c r="Q49" s="42">
        <f>18015.9348243149*Deflactores!$N$5</f>
        <v>36561.68132875381</v>
      </c>
      <c r="R49" s="42">
        <f>17332.1654576053*Deflactores!$O$5</f>
        <v>33932.11879330541</v>
      </c>
      <c r="S49" s="42">
        <f>20378.0256286111*Deflactores!$P$5</f>
        <v>37365.518565984254</v>
      </c>
      <c r="T49" s="42">
        <f>13863.0831808706*Deflactores!$Q$5</f>
        <v>24037.448279875451</v>
      </c>
      <c r="U49" s="42">
        <f>17064.1076072919*Deflactores!$R$5</f>
        <v>28425.17232985342</v>
      </c>
      <c r="V49" s="42">
        <f>15625.5341167473*Deflactores!$S$5</f>
        <v>25226.608836891941</v>
      </c>
    </row>
    <row r="50" spans="1:23" x14ac:dyDescent="0.2">
      <c r="A50" s="20"/>
      <c r="B50" s="32"/>
      <c r="C50" s="77" t="s">
        <v>61</v>
      </c>
      <c r="D50" s="42">
        <f>4659.15788488432*Deflactores!$A$5</f>
        <v>17387.583866910863</v>
      </c>
      <c r="E50" s="42">
        <f>5012.38148827941*Deflactores!$B$5</f>
        <v>17376.757307220538</v>
      </c>
      <c r="F50" s="42">
        <f>5199.2725149516*Deflactores!$C$5</f>
        <v>16846.765911617418</v>
      </c>
      <c r="G50" s="42">
        <f>6747.21781327387*Deflactores!$D$5</f>
        <v>20529.780671465011</v>
      </c>
      <c r="H50" s="42">
        <f>7605.34317513989*Deflactores!$E$5</f>
        <v>21935.036211410898</v>
      </c>
      <c r="I50" s="42">
        <f>8560.10002243746*Deflactores!$F$5</f>
        <v>23545.534292114549</v>
      </c>
      <c r="J50" s="42">
        <f>10904.9244013713*Deflactores!$G$5</f>
        <v>28709.639153924723</v>
      </c>
      <c r="K50" s="42">
        <f>12281.7984438467*Deflactores!$H$5</f>
        <v>30592.488919676645</v>
      </c>
      <c r="L50" s="42">
        <f>11920.4032511296*Deflactores!$I$5</f>
        <v>27576.011262833934</v>
      </c>
      <c r="M50" s="42">
        <f>12180.1100329642*Deflactores!$J$5</f>
        <v>27623.826803992961</v>
      </c>
      <c r="N50" s="42">
        <f>11461.7627583981*Deflactores!$K$5</f>
        <v>25195.644398758079</v>
      </c>
      <c r="O50" s="42">
        <f>13247.6801048927*Deflactores!$L$5</f>
        <v>28075.234252041137</v>
      </c>
      <c r="P50" s="42">
        <f>13167.9337864661*Deflactores!$M$5</f>
        <v>27241.537813202547</v>
      </c>
      <c r="Q50" s="42">
        <f>13055.5812819191*Deflactores!$N$5</f>
        <v>26495.100423373176</v>
      </c>
      <c r="R50" s="42">
        <f>13813.4232850269*Deflactores!$O$5</f>
        <v>27043.286714302136</v>
      </c>
      <c r="S50" s="42">
        <f>14925.7262896167*Deflactores!$P$5</f>
        <v>27368.083294705502</v>
      </c>
      <c r="T50" s="42">
        <f>16511.7691869908*Deflactores!$Q$5</f>
        <v>28630.052396223677</v>
      </c>
      <c r="U50" s="42">
        <f>17875.1794894948*Deflactores!$R$5</f>
        <v>29776.245503680813</v>
      </c>
      <c r="V50" s="42">
        <f>20176.4129465915*Deflactores!$S$5</f>
        <v>32573.76505227706</v>
      </c>
      <c r="W50" s="8"/>
    </row>
    <row r="51" spans="1:23" x14ac:dyDescent="0.2">
      <c r="A51" s="20"/>
      <c r="B51" s="34" t="s">
        <v>45</v>
      </c>
      <c r="C51" s="76" t="s">
        <v>46</v>
      </c>
      <c r="D51" s="41">
        <f>6121.69409217148*Deflactores!$A$5</f>
        <v>22845.645514725278</v>
      </c>
      <c r="E51" s="41">
        <f>10492.4693544647*Deflactores!$B$5</f>
        <v>36374.943517830361</v>
      </c>
      <c r="F51" s="41">
        <f>9102.44983691707*Deflactores!$C$5</f>
        <v>29493.903461263279</v>
      </c>
      <c r="G51" s="41">
        <f>8778.31985272493*Deflactores!$D$5</f>
        <v>26709.821177829348</v>
      </c>
      <c r="H51" s="41">
        <f>10641.5272262762*Deflactores!$E$5</f>
        <v>30691.880652550557</v>
      </c>
      <c r="I51" s="41">
        <f>11840.0308939321*Deflactores!$F$5</f>
        <v>32567.359341835392</v>
      </c>
      <c r="J51" s="41">
        <f>13883.9606047052*Deflactores!$G$5</f>
        <v>36552.614609439035</v>
      </c>
      <c r="K51" s="41">
        <f>18532.0549980688*Deflactores!$H$5</f>
        <v>46161.129396428194</v>
      </c>
      <c r="L51" s="41">
        <f>21521.435365871*Deflactores!$I$5</f>
        <v>49786.515735981695</v>
      </c>
      <c r="M51" s="41">
        <f>29111.3938450518*Deflactores!$J$5</f>
        <v>66023.057215586756</v>
      </c>
      <c r="N51" s="41">
        <f>24032.3175212147*Deflactores!$K$5</f>
        <v>52828.673835436733</v>
      </c>
      <c r="O51" s="41">
        <f>31114.3666888396*Deflactores!$L$5</f>
        <v>65939.328733523391</v>
      </c>
      <c r="P51" s="41">
        <f>35903.2676563934*Deflactores!$M$5</f>
        <v>74275.906861288706</v>
      </c>
      <c r="Q51" s="41">
        <f>41561.2131226722*Deflactores!$N$5</f>
        <v>84344.656252681933</v>
      </c>
      <c r="R51" s="41">
        <f>42707.1147641359*Deflactores!$O$5</f>
        <v>83610.03101664409</v>
      </c>
      <c r="S51" s="41">
        <f>44603.1725570932*Deflactores!$P$5</f>
        <v>81785.188744875326</v>
      </c>
      <c r="T51" s="41">
        <f>39927.7164345177*Deflactores!$Q$5</f>
        <v>69231.382817684236</v>
      </c>
      <c r="U51" s="41">
        <f>39636.1358050744*Deflactores!$R$5</f>
        <v>66025.368374216239</v>
      </c>
      <c r="V51" s="41">
        <f>37423.5730461529*Deflactores!$S$5</f>
        <v>60418.404354082639</v>
      </c>
    </row>
    <row r="52" spans="1:23" x14ac:dyDescent="0.2">
      <c r="A52" s="21"/>
      <c r="B52" s="36" t="s">
        <v>47</v>
      </c>
      <c r="C52" s="78" t="s">
        <v>48</v>
      </c>
      <c r="D52" s="43">
        <f t="shared" ref="D52:V52" si="10">+D39+D51</f>
        <v>116469.30750423702</v>
      </c>
      <c r="E52" s="43">
        <f t="shared" si="10"/>
        <v>136073.6796904463</v>
      </c>
      <c r="F52" s="43">
        <f t="shared" si="10"/>
        <v>134679.15964141564</v>
      </c>
      <c r="G52" s="43">
        <f t="shared" si="10"/>
        <v>132545.56530279224</v>
      </c>
      <c r="H52" s="43">
        <f t="shared" si="10"/>
        <v>154832.59740863484</v>
      </c>
      <c r="I52" s="43">
        <f t="shared" si="10"/>
        <v>165728.48978963672</v>
      </c>
      <c r="J52" s="43">
        <f t="shared" si="10"/>
        <v>170589.24884850305</v>
      </c>
      <c r="K52" s="43">
        <f t="shared" si="10"/>
        <v>181690.82602820388</v>
      </c>
      <c r="L52" s="43">
        <f t="shared" si="10"/>
        <v>194888.86778100007</v>
      </c>
      <c r="M52" s="43">
        <f t="shared" si="10"/>
        <v>224286.03977071017</v>
      </c>
      <c r="N52" s="43">
        <f t="shared" si="10"/>
        <v>223048.54071693745</v>
      </c>
      <c r="O52" s="43">
        <f t="shared" si="10"/>
        <v>238979.64486169792</v>
      </c>
      <c r="P52" s="43">
        <f t="shared" si="10"/>
        <v>258588.98255134537</v>
      </c>
      <c r="Q52" s="43">
        <f t="shared" si="10"/>
        <v>282037.19847244018</v>
      </c>
      <c r="R52" s="43">
        <f t="shared" si="10"/>
        <v>291202.00783044583</v>
      </c>
      <c r="S52" s="43">
        <f t="shared" si="10"/>
        <v>287223.29940065462</v>
      </c>
      <c r="T52" s="43">
        <f t="shared" si="10"/>
        <v>279556.04518232791</v>
      </c>
      <c r="U52" s="43">
        <f t="shared" si="10"/>
        <v>295390.9323066526</v>
      </c>
      <c r="V52" s="43">
        <f t="shared" si="10"/>
        <v>290640.56893060112</v>
      </c>
    </row>
    <row r="53" spans="1:23" x14ac:dyDescent="0.2">
      <c r="A53" s="20"/>
      <c r="B53" s="38" t="s">
        <v>49</v>
      </c>
      <c r="C53" s="79" t="s">
        <v>63</v>
      </c>
      <c r="D53" s="44">
        <f t="shared" ref="D53:V53" si="11">+D39+D44+D51</f>
        <v>175216.66638290422</v>
      </c>
      <c r="E53" s="44">
        <f t="shared" si="11"/>
        <v>209245.43810966128</v>
      </c>
      <c r="F53" s="44">
        <f t="shared" si="11"/>
        <v>208318.61248478841</v>
      </c>
      <c r="G53" s="44">
        <f t="shared" si="11"/>
        <v>215065.37556844967</v>
      </c>
      <c r="H53" s="44">
        <f t="shared" si="11"/>
        <v>228898.07737446378</v>
      </c>
      <c r="I53" s="44">
        <f t="shared" si="11"/>
        <v>250656.53312245721</v>
      </c>
      <c r="J53" s="44">
        <f t="shared" si="11"/>
        <v>269559.17006754276</v>
      </c>
      <c r="K53" s="44">
        <f t="shared" si="11"/>
        <v>276389.73239564319</v>
      </c>
      <c r="L53" s="44">
        <f t="shared" si="11"/>
        <v>277191.81838357239</v>
      </c>
      <c r="M53" s="44">
        <f t="shared" si="11"/>
        <v>298558.16842329194</v>
      </c>
      <c r="N53" s="44">
        <f t="shared" si="11"/>
        <v>294153.49693684559</v>
      </c>
      <c r="O53" s="44">
        <f t="shared" si="11"/>
        <v>310427.63948444423</v>
      </c>
      <c r="P53" s="44">
        <f t="shared" si="11"/>
        <v>333567.63759600831</v>
      </c>
      <c r="Q53" s="44">
        <f t="shared" si="11"/>
        <v>359021.27843657474</v>
      </c>
      <c r="R53" s="44">
        <f t="shared" si="11"/>
        <v>369490.31012178032</v>
      </c>
      <c r="S53" s="44">
        <f t="shared" si="11"/>
        <v>372147.81048617786</v>
      </c>
      <c r="T53" s="44">
        <f t="shared" si="11"/>
        <v>348339.88233347342</v>
      </c>
      <c r="U53" s="44">
        <f t="shared" si="11"/>
        <v>376881.4696217397</v>
      </c>
      <c r="V53" s="44">
        <f t="shared" si="11"/>
        <v>366472.80863057758</v>
      </c>
    </row>
    <row r="54" spans="1:23" x14ac:dyDescent="0.2">
      <c r="A54" s="20"/>
      <c r="B54" s="36" t="s">
        <v>64</v>
      </c>
      <c r="C54" s="78" t="s">
        <v>65</v>
      </c>
      <c r="D54" s="43">
        <f t="shared" ref="D54:V54" si="12">+D26</f>
        <v>127061.81947214218</v>
      </c>
      <c r="E54" s="43">
        <f t="shared" si="12"/>
        <v>143347.67210441464</v>
      </c>
      <c r="F54" s="43">
        <f t="shared" si="12"/>
        <v>141900.78307788781</v>
      </c>
      <c r="G54" s="43">
        <f t="shared" si="12"/>
        <v>135105.69626355026</v>
      </c>
      <c r="H54" s="43">
        <f t="shared" si="12"/>
        <v>158106.95203872834</v>
      </c>
      <c r="I54" s="43">
        <f t="shared" si="12"/>
        <v>170310.133582593</v>
      </c>
      <c r="J54" s="43">
        <f t="shared" si="12"/>
        <v>176374.11325182018</v>
      </c>
      <c r="K54" s="43">
        <f t="shared" si="12"/>
        <v>193938.33639991417</v>
      </c>
      <c r="L54" s="43">
        <f t="shared" si="12"/>
        <v>199888.87686687961</v>
      </c>
      <c r="M54" s="43">
        <f t="shared" si="12"/>
        <v>238159.58477640944</v>
      </c>
      <c r="N54" s="43">
        <f t="shared" si="12"/>
        <v>241516.00856821408</v>
      </c>
      <c r="O54" s="43">
        <f t="shared" si="12"/>
        <v>246098.91961046902</v>
      </c>
      <c r="P54" s="43">
        <f t="shared" si="12"/>
        <v>267303.11946781899</v>
      </c>
      <c r="Q54" s="43">
        <f t="shared" si="12"/>
        <v>293086.47183310136</v>
      </c>
      <c r="R54" s="43">
        <f t="shared" si="12"/>
        <v>305427.33888335462</v>
      </c>
      <c r="S54" s="43">
        <f t="shared" si="12"/>
        <v>294512.00718811294</v>
      </c>
      <c r="T54" s="43">
        <f t="shared" si="12"/>
        <v>283876.92650821747</v>
      </c>
      <c r="U54" s="43">
        <f t="shared" si="12"/>
        <v>298690.83617186081</v>
      </c>
      <c r="V54" s="43">
        <f t="shared" si="12"/>
        <v>299205.9813762898</v>
      </c>
    </row>
    <row r="55" spans="1:23" x14ac:dyDescent="0.2">
      <c r="A55" s="22"/>
      <c r="B55" s="38" t="s">
        <v>66</v>
      </c>
      <c r="C55" s="79" t="s">
        <v>67</v>
      </c>
      <c r="D55" s="45">
        <f t="shared" ref="D55:V55" si="13">+D52/D$26*100</f>
        <v>91.663497333888316</v>
      </c>
      <c r="E55" s="45">
        <f t="shared" si="13"/>
        <v>94.925629201240213</v>
      </c>
      <c r="F55" s="45">
        <f t="shared" si="13"/>
        <v>94.910793809708366</v>
      </c>
      <c r="G55" s="45">
        <f t="shared" si="13"/>
        <v>98.105090287411727</v>
      </c>
      <c r="H55" s="45">
        <f t="shared" si="13"/>
        <v>97.929025518567045</v>
      </c>
      <c r="I55" s="45">
        <f t="shared" si="13"/>
        <v>97.309823146410508</v>
      </c>
      <c r="J55" s="45">
        <f t="shared" si="13"/>
        <v>96.720117087104668</v>
      </c>
      <c r="K55" s="45">
        <f t="shared" si="13"/>
        <v>93.684843028427821</v>
      </c>
      <c r="L55" s="45">
        <f t="shared" si="13"/>
        <v>97.498605643169725</v>
      </c>
      <c r="M55" s="45">
        <f t="shared" si="13"/>
        <v>94.174685424177184</v>
      </c>
      <c r="N55" s="45">
        <f t="shared" si="13"/>
        <v>92.353522252724446</v>
      </c>
      <c r="O55" s="45">
        <f t="shared" si="13"/>
        <v>97.107149125221824</v>
      </c>
      <c r="P55" s="45">
        <f t="shared" si="13"/>
        <v>96.739979341122989</v>
      </c>
      <c r="Q55" s="45">
        <f t="shared" si="13"/>
        <v>96.230029556958456</v>
      </c>
      <c r="R55" s="45">
        <f t="shared" si="13"/>
        <v>95.342482730944539</v>
      </c>
      <c r="S55" s="45">
        <f t="shared" si="13"/>
        <v>97.525157681329162</v>
      </c>
      <c r="T55" s="45">
        <f t="shared" si="13"/>
        <v>98.477903301604016</v>
      </c>
      <c r="U55" s="45">
        <f t="shared" si="13"/>
        <v>98.895210878411575</v>
      </c>
      <c r="V55" s="45">
        <f t="shared" si="13"/>
        <v>97.137285689848369</v>
      </c>
    </row>
    <row r="56" spans="1:23" x14ac:dyDescent="0.2">
      <c r="B56" s="1" t="s">
        <v>52</v>
      </c>
      <c r="C56" s="15"/>
      <c r="D56" s="12"/>
      <c r="E56" s="12"/>
      <c r="F56" s="12"/>
      <c r="G56" s="12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3" x14ac:dyDescent="0.2">
      <c r="V57" s="23"/>
    </row>
    <row r="61" spans="1:23" ht="18" customHeight="1" x14ac:dyDescent="0.2">
      <c r="C61" s="131"/>
      <c r="D61" s="164" t="s">
        <v>68</v>
      </c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</row>
    <row r="62" spans="1:23" x14ac:dyDescent="0.2">
      <c r="U62" s="29"/>
      <c r="V62" s="29"/>
    </row>
    <row r="63" spans="1:23" x14ac:dyDescent="0.2">
      <c r="B63" s="167"/>
      <c r="C63" s="161" t="s">
        <v>38</v>
      </c>
      <c r="D63" s="155">
        <v>2000</v>
      </c>
      <c r="E63" s="155">
        <v>2001</v>
      </c>
      <c r="F63" s="155">
        <v>2002</v>
      </c>
      <c r="G63" s="155">
        <v>2003</v>
      </c>
      <c r="H63" s="155">
        <v>2004</v>
      </c>
      <c r="I63" s="155">
        <v>2005</v>
      </c>
      <c r="J63" s="155">
        <v>2006</v>
      </c>
      <c r="K63" s="155">
        <v>2007</v>
      </c>
      <c r="L63" s="155">
        <v>2008</v>
      </c>
      <c r="M63" s="155">
        <v>2009</v>
      </c>
      <c r="N63" s="155">
        <v>2010</v>
      </c>
      <c r="O63" s="155">
        <v>2011</v>
      </c>
      <c r="P63" s="155">
        <v>2012</v>
      </c>
      <c r="Q63" s="155">
        <v>2013</v>
      </c>
      <c r="R63" s="155">
        <v>2014</v>
      </c>
      <c r="S63" s="155">
        <v>2015</v>
      </c>
      <c r="T63" s="155">
        <v>2016</v>
      </c>
      <c r="U63" s="155">
        <v>2017</v>
      </c>
      <c r="V63" s="155">
        <v>2018</v>
      </c>
    </row>
    <row r="64" spans="1:23" ht="12" customHeight="1" thickBot="1" x14ac:dyDescent="0.25">
      <c r="B64" s="156"/>
      <c r="C64" s="162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</row>
    <row r="65" spans="2:22" ht="12.75" customHeight="1" x14ac:dyDescent="0.2">
      <c r="B65" s="34" t="s">
        <v>39</v>
      </c>
      <c r="C65" s="76" t="s">
        <v>40</v>
      </c>
      <c r="D65" s="46">
        <f t="shared" ref="D65:V65" si="14">+IFERROR(IF(D39&gt;0,+((D39/D13)*100)," "),"")</f>
        <v>94.932289539555541</v>
      </c>
      <c r="E65" s="46">
        <f t="shared" si="14"/>
        <v>96.237721411121555</v>
      </c>
      <c r="F65" s="46">
        <f t="shared" si="14"/>
        <v>97.893496224903913</v>
      </c>
      <c r="G65" s="46">
        <f t="shared" si="14"/>
        <v>98.146559458328284</v>
      </c>
      <c r="H65" s="46">
        <f t="shared" si="14"/>
        <v>98.622380290304719</v>
      </c>
      <c r="I65" s="46">
        <f t="shared" si="14"/>
        <v>98.16041320779415</v>
      </c>
      <c r="J65" s="46">
        <f t="shared" si="14"/>
        <v>97.886144839682004</v>
      </c>
      <c r="K65" s="46">
        <f t="shared" si="14"/>
        <v>95.679795313690335</v>
      </c>
      <c r="L65" s="46">
        <f t="shared" si="14"/>
        <v>97.52371825609319</v>
      </c>
      <c r="M65" s="46">
        <f t="shared" si="14"/>
        <v>94.529092965709793</v>
      </c>
      <c r="N65" s="46">
        <f t="shared" si="14"/>
        <v>91.983290185035258</v>
      </c>
      <c r="O65" s="46">
        <f t="shared" si="14"/>
        <v>98.062835266629648</v>
      </c>
      <c r="P65" s="46">
        <f t="shared" si="14"/>
        <v>97.766714692032295</v>
      </c>
      <c r="Q65" s="46">
        <f t="shared" si="14"/>
        <v>96.665596480826693</v>
      </c>
      <c r="R65" s="46">
        <f t="shared" si="14"/>
        <v>95.078670761247324</v>
      </c>
      <c r="S65" s="46">
        <f t="shared" si="14"/>
        <v>97.826289839176454</v>
      </c>
      <c r="T65" s="46">
        <f t="shared" si="14"/>
        <v>98.956883759356899</v>
      </c>
      <c r="U65" s="46">
        <f t="shared" si="14"/>
        <v>99.137014390568069</v>
      </c>
      <c r="V65" s="46">
        <f t="shared" si="14"/>
        <v>97.200335529479347</v>
      </c>
    </row>
    <row r="66" spans="2:22" x14ac:dyDescent="0.2">
      <c r="B66" s="40"/>
      <c r="C66" s="77" t="s">
        <v>56</v>
      </c>
      <c r="D66" s="47">
        <f t="shared" ref="D66:V66" si="15">+IFERROR(IF(D40&gt;0,+((D40/D14)*100)," "),"")</f>
        <v>98.087237490222748</v>
      </c>
      <c r="E66" s="47">
        <f t="shared" si="15"/>
        <v>97.977226288950064</v>
      </c>
      <c r="F66" s="47">
        <f t="shared" si="15"/>
        <v>98.522576730374524</v>
      </c>
      <c r="G66" s="47">
        <f t="shared" si="15"/>
        <v>98.586426725982463</v>
      </c>
      <c r="H66" s="47">
        <f t="shared" si="15"/>
        <v>98.630873658360656</v>
      </c>
      <c r="I66" s="47">
        <f t="shared" si="15"/>
        <v>98.855024373886195</v>
      </c>
      <c r="J66" s="47">
        <f t="shared" si="15"/>
        <v>98.208660257864594</v>
      </c>
      <c r="K66" s="47">
        <f t="shared" si="15"/>
        <v>97.48353478582753</v>
      </c>
      <c r="L66" s="47">
        <f t="shared" si="15"/>
        <v>97.399483440043994</v>
      </c>
      <c r="M66" s="47">
        <f t="shared" si="15"/>
        <v>97.358379934196137</v>
      </c>
      <c r="N66" s="47">
        <f t="shared" si="15"/>
        <v>95.549834180875521</v>
      </c>
      <c r="O66" s="47">
        <f t="shared" si="15"/>
        <v>98.525502117204752</v>
      </c>
      <c r="P66" s="47">
        <f t="shared" si="15"/>
        <v>97.27989520364585</v>
      </c>
      <c r="Q66" s="47">
        <f t="shared" si="15"/>
        <v>95.568679806240823</v>
      </c>
      <c r="R66" s="47">
        <f t="shared" si="15"/>
        <v>94.602745438862542</v>
      </c>
      <c r="S66" s="47">
        <f t="shared" si="15"/>
        <v>95.975353469967999</v>
      </c>
      <c r="T66" s="47">
        <f t="shared" si="15"/>
        <v>98.594332485726767</v>
      </c>
      <c r="U66" s="47">
        <f t="shared" si="15"/>
        <v>98.774260385916151</v>
      </c>
      <c r="V66" s="47">
        <f t="shared" si="15"/>
        <v>96.836519891536071</v>
      </c>
    </row>
    <row r="67" spans="2:22" x14ac:dyDescent="0.2">
      <c r="B67" s="40"/>
      <c r="C67" s="77" t="s">
        <v>57</v>
      </c>
      <c r="D67" s="47">
        <f t="shared" ref="D67:V67" si="16">+IFERROR(IF(D41&gt;0,+((D41/D15)*100)," "),"")</f>
        <v>93.139836752508558</v>
      </c>
      <c r="E67" s="47">
        <f t="shared" si="16"/>
        <v>95.665654829715606</v>
      </c>
      <c r="F67" s="47">
        <f t="shared" si="16"/>
        <v>96.806705427962143</v>
      </c>
      <c r="G67" s="47">
        <f t="shared" si="16"/>
        <v>97.714316972265465</v>
      </c>
      <c r="H67" s="47">
        <f t="shared" si="16"/>
        <v>97.572212836936785</v>
      </c>
      <c r="I67" s="47">
        <f t="shared" si="16"/>
        <v>97.766118042632968</v>
      </c>
      <c r="J67" s="47">
        <f t="shared" si="16"/>
        <v>97.578380304430951</v>
      </c>
      <c r="K67" s="47">
        <f t="shared" si="16"/>
        <v>95.341106767225895</v>
      </c>
      <c r="L67" s="47">
        <f t="shared" si="16"/>
        <v>98.189760963487316</v>
      </c>
      <c r="M67" s="47">
        <f t="shared" si="16"/>
        <v>98.034611585169387</v>
      </c>
      <c r="N67" s="47">
        <f t="shared" si="16"/>
        <v>97.337241044914464</v>
      </c>
      <c r="O67" s="47">
        <f t="shared" si="16"/>
        <v>96.731850415440718</v>
      </c>
      <c r="P67" s="47">
        <f t="shared" si="16"/>
        <v>96.182097473933027</v>
      </c>
      <c r="Q67" s="47">
        <f t="shared" si="16"/>
        <v>97.095840834487205</v>
      </c>
      <c r="R67" s="47">
        <f t="shared" si="16"/>
        <v>97.40889495259259</v>
      </c>
      <c r="S67" s="47">
        <f t="shared" si="16"/>
        <v>97.637236836163297</v>
      </c>
      <c r="T67" s="47">
        <f t="shared" si="16"/>
        <v>98.477679428295559</v>
      </c>
      <c r="U67" s="47">
        <f t="shared" si="16"/>
        <v>98.664552386762864</v>
      </c>
      <c r="V67" s="47">
        <f t="shared" si="16"/>
        <v>98.230525857218581</v>
      </c>
    </row>
    <row r="68" spans="2:22" x14ac:dyDescent="0.2">
      <c r="B68" s="40"/>
      <c r="C68" s="77" t="s">
        <v>58</v>
      </c>
      <c r="D68" s="47">
        <f t="shared" ref="D68:V68" si="17">+IFERROR(IF(D42&gt;0,+((D42/D16)*100)," "),"")</f>
        <v>94.020389732380778</v>
      </c>
      <c r="E68" s="47">
        <f t="shared" si="17"/>
        <v>95.800847124460759</v>
      </c>
      <c r="F68" s="47">
        <f t="shared" si="17"/>
        <v>97.985864421235519</v>
      </c>
      <c r="G68" s="47">
        <f t="shared" si="17"/>
        <v>98.110662920753967</v>
      </c>
      <c r="H68" s="47">
        <f t="shared" si="17"/>
        <v>98.763616948407403</v>
      </c>
      <c r="I68" s="47">
        <f t="shared" si="17"/>
        <v>98.073608666261848</v>
      </c>
      <c r="J68" s="47">
        <f t="shared" si="17"/>
        <v>97.931970251965765</v>
      </c>
      <c r="K68" s="47">
        <f t="shared" si="17"/>
        <v>95.335904036793082</v>
      </c>
      <c r="L68" s="47">
        <f t="shared" si="17"/>
        <v>97.606272711109838</v>
      </c>
      <c r="M68" s="47">
        <f t="shared" si="17"/>
        <v>93.521510895492298</v>
      </c>
      <c r="N68" s="47">
        <f t="shared" si="17"/>
        <v>90.535837968536526</v>
      </c>
      <c r="O68" s="47">
        <f t="shared" si="17"/>
        <v>98.36751296992</v>
      </c>
      <c r="P68" s="47">
        <f t="shared" si="17"/>
        <v>98.39483900985762</v>
      </c>
      <c r="Q68" s="47">
        <f t="shared" si="17"/>
        <v>97.247308567290304</v>
      </c>
      <c r="R68" s="47">
        <f t="shared" si="17"/>
        <v>95.08242026955368</v>
      </c>
      <c r="S68" s="47">
        <f t="shared" si="17"/>
        <v>98.689040805971359</v>
      </c>
      <c r="T68" s="47">
        <f t="shared" si="17"/>
        <v>99.230300545393291</v>
      </c>
      <c r="U68" s="47">
        <f t="shared" si="17"/>
        <v>99.313254020223823</v>
      </c>
      <c r="V68" s="47">
        <f t="shared" si="17"/>
        <v>97.216575754819061</v>
      </c>
    </row>
    <row r="69" spans="2:22" x14ac:dyDescent="0.2">
      <c r="B69" s="40"/>
      <c r="C69" s="77" t="s">
        <v>59</v>
      </c>
      <c r="D69" s="47">
        <f t="shared" ref="D69:V69" si="18">+IFERROR(IF(D43&gt;0,+((D43/D17)*100)," "),"")</f>
        <v>93.456370911872781</v>
      </c>
      <c r="E69" s="47">
        <f t="shared" si="18"/>
        <v>91.939658484266545</v>
      </c>
      <c r="F69" s="47">
        <f t="shared" si="18"/>
        <v>89.907850580285114</v>
      </c>
      <c r="G69" s="47">
        <f t="shared" si="18"/>
        <v>95.567476576798171</v>
      </c>
      <c r="H69" s="47">
        <f t="shared" si="18"/>
        <v>96.137850239324578</v>
      </c>
      <c r="I69" s="47">
        <f t="shared" si="18"/>
        <v>95.564091440822182</v>
      </c>
      <c r="J69" s="47">
        <f t="shared" si="18"/>
        <v>93.669403862649986</v>
      </c>
      <c r="K69" s="47">
        <f t="shared" si="18"/>
        <v>89.420595930136102</v>
      </c>
      <c r="L69" s="47">
        <f t="shared" si="18"/>
        <v>92.095687709859504</v>
      </c>
      <c r="M69" s="47">
        <f t="shared" si="18"/>
        <v>91.146412231256875</v>
      </c>
      <c r="N69" s="47">
        <f t="shared" si="18"/>
        <v>95.333429715553294</v>
      </c>
      <c r="O69" s="47">
        <f t="shared" si="18"/>
        <v>86.357568714849307</v>
      </c>
      <c r="P69" s="47">
        <f t="shared" si="18"/>
        <v>84.727189263527109</v>
      </c>
      <c r="Q69" s="47">
        <f t="shared" si="18"/>
        <v>83.1799671070778</v>
      </c>
      <c r="R69" s="47">
        <f t="shared" si="18"/>
        <v>90.239913250285369</v>
      </c>
      <c r="S69" s="47">
        <f t="shared" si="18"/>
        <v>84.982801322796846</v>
      </c>
      <c r="T69" s="47">
        <f t="shared" si="18"/>
        <v>92.885489308648005</v>
      </c>
      <c r="U69" s="47">
        <f t="shared" si="18"/>
        <v>96.684445185266085</v>
      </c>
      <c r="V69" s="47">
        <f t="shared" si="18"/>
        <v>97.755672473558306</v>
      </c>
    </row>
    <row r="70" spans="2:22" x14ac:dyDescent="0.2">
      <c r="B70" s="34" t="s">
        <v>41</v>
      </c>
      <c r="C70" s="76" t="s">
        <v>42</v>
      </c>
      <c r="D70" s="46">
        <f t="shared" ref="D70:V70" si="19">+IFERROR(IF(D44&gt;0,+((D44/D18)*100)," "),"")</f>
        <v>95.133972500458796</v>
      </c>
      <c r="E70" s="46">
        <f t="shared" si="19"/>
        <v>98.615062434248784</v>
      </c>
      <c r="F70" s="46">
        <f t="shared" si="19"/>
        <v>98.964935525299694</v>
      </c>
      <c r="G70" s="46">
        <f t="shared" si="19"/>
        <v>99.194032124125641</v>
      </c>
      <c r="H70" s="46">
        <f t="shared" si="19"/>
        <v>95.507228869921704</v>
      </c>
      <c r="I70" s="46">
        <f t="shared" si="19"/>
        <v>97.838849626042446</v>
      </c>
      <c r="J70" s="46">
        <f t="shared" si="19"/>
        <v>96.563767776902068</v>
      </c>
      <c r="K70" s="46">
        <f t="shared" si="19"/>
        <v>96.689851450092164</v>
      </c>
      <c r="L70" s="46">
        <f t="shared" si="19"/>
        <v>91.495590025732852</v>
      </c>
      <c r="M70" s="46">
        <f t="shared" si="19"/>
        <v>88.427831373235009</v>
      </c>
      <c r="N70" s="46">
        <f t="shared" si="19"/>
        <v>81.086689044938893</v>
      </c>
      <c r="O70" s="46">
        <f t="shared" si="19"/>
        <v>95.813789642532626</v>
      </c>
      <c r="P70" s="46">
        <f t="shared" si="19"/>
        <v>99.538403923844086</v>
      </c>
      <c r="Q70" s="46">
        <f t="shared" si="19"/>
        <v>85.167399196171715</v>
      </c>
      <c r="R70" s="46">
        <f t="shared" si="19"/>
        <v>97.6474868141147</v>
      </c>
      <c r="S70" s="46">
        <f t="shared" si="19"/>
        <v>98.591360841587644</v>
      </c>
      <c r="T70" s="46">
        <f t="shared" si="19"/>
        <v>84.934335468371131</v>
      </c>
      <c r="U70" s="46">
        <f t="shared" si="19"/>
        <v>97.826645341902363</v>
      </c>
      <c r="V70" s="46">
        <f t="shared" si="19"/>
        <v>97.999206491328096</v>
      </c>
    </row>
    <row r="71" spans="2:22" x14ac:dyDescent="0.2">
      <c r="B71" s="34"/>
      <c r="C71" s="76" t="s">
        <v>43</v>
      </c>
      <c r="D71" s="46">
        <f t="shared" ref="D71:V71" si="20">+IFERROR(IF(D45&gt;0,+((D45/D19)*100)," "),"")</f>
        <v>97.272970544375454</v>
      </c>
      <c r="E71" s="46">
        <f t="shared" si="20"/>
        <v>98.236153469509077</v>
      </c>
      <c r="F71" s="46">
        <f t="shared" si="20"/>
        <v>98.518056226966195</v>
      </c>
      <c r="G71" s="46">
        <f t="shared" si="20"/>
        <v>99.265479327649885</v>
      </c>
      <c r="H71" s="46">
        <f t="shared" si="20"/>
        <v>90.249588555679239</v>
      </c>
      <c r="I71" s="46">
        <f t="shared" si="20"/>
        <v>97.810705573956085</v>
      </c>
      <c r="J71" s="46">
        <f t="shared" si="20"/>
        <v>90.818989350761839</v>
      </c>
      <c r="K71" s="46">
        <f t="shared" si="20"/>
        <v>96.579582035136852</v>
      </c>
      <c r="L71" s="46">
        <f t="shared" si="20"/>
        <v>89.550528725751576</v>
      </c>
      <c r="M71" s="46">
        <f t="shared" si="20"/>
        <v>83.089149843931381</v>
      </c>
      <c r="N71" s="46">
        <f t="shared" si="20"/>
        <v>81.634272985352467</v>
      </c>
      <c r="O71" s="46">
        <f t="shared" si="20"/>
        <v>87.134232122752437</v>
      </c>
      <c r="P71" s="46">
        <f t="shared" si="20"/>
        <v>98.717871629869478</v>
      </c>
      <c r="Q71" s="46">
        <f t="shared" si="20"/>
        <v>97.208202594122085</v>
      </c>
      <c r="R71" s="46">
        <f t="shared" si="20"/>
        <v>98.122537401281733</v>
      </c>
      <c r="S71" s="46">
        <f t="shared" si="20"/>
        <v>98.864303193123874</v>
      </c>
      <c r="T71" s="46">
        <f t="shared" si="20"/>
        <v>96.04342002284622</v>
      </c>
      <c r="U71" s="46">
        <f t="shared" si="20"/>
        <v>97.047810592109769</v>
      </c>
      <c r="V71" s="46">
        <f t="shared" si="20"/>
        <v>99.951362422736551</v>
      </c>
    </row>
    <row r="72" spans="2:22" x14ac:dyDescent="0.2">
      <c r="B72" s="32"/>
      <c r="C72" s="77" t="s">
        <v>60</v>
      </c>
      <c r="D72" s="47">
        <f t="shared" ref="D72:V72" si="21">+IFERROR(IF(D46&gt;0,+((D46/D20)*100)," "),"")</f>
        <v>97.355893919192397</v>
      </c>
      <c r="E72" s="47">
        <f t="shared" si="21"/>
        <v>98.481399118001121</v>
      </c>
      <c r="F72" s="47">
        <f t="shared" si="21"/>
        <v>98.93016029040885</v>
      </c>
      <c r="G72" s="47">
        <f t="shared" si="21"/>
        <v>99.160555395152329</v>
      </c>
      <c r="H72" s="47">
        <f t="shared" si="21"/>
        <v>90.860770275630486</v>
      </c>
      <c r="I72" s="47">
        <f t="shared" si="21"/>
        <v>98.170157471357683</v>
      </c>
      <c r="J72" s="47">
        <f t="shared" si="21"/>
        <v>91.191653854725203</v>
      </c>
      <c r="K72" s="47">
        <f t="shared" si="21"/>
        <v>94.589999348209503</v>
      </c>
      <c r="L72" s="47">
        <f t="shared" si="21"/>
        <v>84.016604182096472</v>
      </c>
      <c r="M72" s="47">
        <f t="shared" si="21"/>
        <v>83.587062493140081</v>
      </c>
      <c r="N72" s="47">
        <f t="shared" si="21"/>
        <v>86.640688780666991</v>
      </c>
      <c r="O72" s="47">
        <f t="shared" si="21"/>
        <v>78.482917027138541</v>
      </c>
      <c r="P72" s="47">
        <f t="shared" si="21"/>
        <v>99.976776958306672</v>
      </c>
      <c r="Q72" s="47">
        <f t="shared" si="21"/>
        <v>98.172195874067341</v>
      </c>
      <c r="R72" s="47">
        <f t="shared" si="21"/>
        <v>97.123765688935521</v>
      </c>
      <c r="S72" s="47">
        <f t="shared" si="21"/>
        <v>98.669191798204011</v>
      </c>
      <c r="T72" s="47">
        <f t="shared" si="21"/>
        <v>96.017625211873835</v>
      </c>
      <c r="U72" s="47">
        <f t="shared" si="21"/>
        <v>97.185137731190579</v>
      </c>
      <c r="V72" s="47">
        <f t="shared" si="21"/>
        <v>99.994519786176355</v>
      </c>
    </row>
    <row r="73" spans="2:22" x14ac:dyDescent="0.2">
      <c r="B73" s="32"/>
      <c r="C73" s="77" t="s">
        <v>61</v>
      </c>
      <c r="D73" s="47">
        <f t="shared" ref="D73:V73" si="22">+IFERROR(IF(D47&gt;0,+((D47/D21)*100)," "),"")</f>
        <v>97.18773483162785</v>
      </c>
      <c r="E73" s="47">
        <f t="shared" si="22"/>
        <v>97.919898606705189</v>
      </c>
      <c r="F73" s="47">
        <f t="shared" si="22"/>
        <v>97.911290829857506</v>
      </c>
      <c r="G73" s="47">
        <f t="shared" si="22"/>
        <v>99.418175958726053</v>
      </c>
      <c r="H73" s="47">
        <f t="shared" si="22"/>
        <v>89.695723709869569</v>
      </c>
      <c r="I73" s="47">
        <f t="shared" si="22"/>
        <v>97.131061581182365</v>
      </c>
      <c r="J73" s="47">
        <f t="shared" si="22"/>
        <v>90.430316699992758</v>
      </c>
      <c r="K73" s="47">
        <f t="shared" si="22"/>
        <v>98.433315398756562</v>
      </c>
      <c r="L73" s="47">
        <f t="shared" si="22"/>
        <v>95.185176806420301</v>
      </c>
      <c r="M73" s="47">
        <f t="shared" si="22"/>
        <v>82.740590635538339</v>
      </c>
      <c r="N73" s="47">
        <f t="shared" si="22"/>
        <v>77.537235729085012</v>
      </c>
      <c r="O73" s="47">
        <f t="shared" si="22"/>
        <v>93.664334890163602</v>
      </c>
      <c r="P73" s="47">
        <f t="shared" si="22"/>
        <v>97.368835889300271</v>
      </c>
      <c r="Q73" s="47">
        <f t="shared" si="22"/>
        <v>96.51083009880729</v>
      </c>
      <c r="R73" s="47">
        <f t="shared" si="22"/>
        <v>99.358430259655478</v>
      </c>
      <c r="S73" s="47">
        <f t="shared" si="22"/>
        <v>99.098805054552898</v>
      </c>
      <c r="T73" s="47">
        <f t="shared" si="22"/>
        <v>96.058411706367991</v>
      </c>
      <c r="U73" s="47">
        <f t="shared" si="22"/>
        <v>96.881778228596488</v>
      </c>
      <c r="V73" s="47">
        <f t="shared" si="22"/>
        <v>99.934980278776791</v>
      </c>
    </row>
    <row r="74" spans="2:22" x14ac:dyDescent="0.2">
      <c r="B74" s="34"/>
      <c r="C74" s="76" t="s">
        <v>44</v>
      </c>
      <c r="D74" s="46">
        <f t="shared" ref="D74:V74" si="23">+IFERROR(IF(D48&gt;0,+((D48/D22)*100)," "),"")</f>
        <v>94.174178757669864</v>
      </c>
      <c r="E74" s="46">
        <f t="shared" si="23"/>
        <v>98.838281843877652</v>
      </c>
      <c r="F74" s="46">
        <f t="shared" si="23"/>
        <v>99.285691895973329</v>
      </c>
      <c r="G74" s="46">
        <f t="shared" si="23"/>
        <v>99.125863974067855</v>
      </c>
      <c r="H74" s="46">
        <f t="shared" si="23"/>
        <v>98.336298740453316</v>
      </c>
      <c r="I74" s="46">
        <f t="shared" si="23"/>
        <v>97.858829742284541</v>
      </c>
      <c r="J74" s="46">
        <f t="shared" si="23"/>
        <v>98.71862962615478</v>
      </c>
      <c r="K74" s="46">
        <f t="shared" si="23"/>
        <v>96.716774211276785</v>
      </c>
      <c r="L74" s="46">
        <f t="shared" si="23"/>
        <v>92.014781795283596</v>
      </c>
      <c r="M74" s="46">
        <f t="shared" si="23"/>
        <v>89.96264069740117</v>
      </c>
      <c r="N74" s="46">
        <f t="shared" si="23"/>
        <v>80.935706717205619</v>
      </c>
      <c r="O74" s="46">
        <f t="shared" si="23"/>
        <v>97.981180509933424</v>
      </c>
      <c r="P74" s="46">
        <f t="shared" si="23"/>
        <v>99.718777348736808</v>
      </c>
      <c r="Q74" s="46">
        <f t="shared" si="23"/>
        <v>82.899419741201569</v>
      </c>
      <c r="R74" s="46">
        <f t="shared" si="23"/>
        <v>97.513441814738172</v>
      </c>
      <c r="S74" s="46">
        <f t="shared" si="23"/>
        <v>98.506536095026092</v>
      </c>
      <c r="T74" s="46">
        <f t="shared" si="23"/>
        <v>82.030902771071268</v>
      </c>
      <c r="U74" s="46">
        <f t="shared" si="23"/>
        <v>98.141806822461632</v>
      </c>
      <c r="V74" s="46">
        <f t="shared" si="23"/>
        <v>97.405707193855065</v>
      </c>
    </row>
    <row r="75" spans="2:22" x14ac:dyDescent="0.2">
      <c r="B75" s="32"/>
      <c r="C75" s="77" t="s">
        <v>60</v>
      </c>
      <c r="D75" s="47">
        <f t="shared" ref="D75:V75" si="24">+IFERROR(IF(D49&gt;0,+((D49/D23)*100)," "),"")</f>
        <v>95.170612990135396</v>
      </c>
      <c r="E75" s="47">
        <f t="shared" si="24"/>
        <v>98.674932714766157</v>
      </c>
      <c r="F75" s="47">
        <f t="shared" si="24"/>
        <v>99.435224735694774</v>
      </c>
      <c r="G75" s="47">
        <f t="shared" si="24"/>
        <v>99.651555508077763</v>
      </c>
      <c r="H75" s="47">
        <f t="shared" si="24"/>
        <v>98.900241151700783</v>
      </c>
      <c r="I75" s="47">
        <f t="shared" si="24"/>
        <v>98.699364310674042</v>
      </c>
      <c r="J75" s="47">
        <f t="shared" si="24"/>
        <v>99.533245241804948</v>
      </c>
      <c r="K75" s="47">
        <f t="shared" si="24"/>
        <v>95.59067686123727</v>
      </c>
      <c r="L75" s="47">
        <f t="shared" si="24"/>
        <v>87.865247013167462</v>
      </c>
      <c r="M75" s="47">
        <f t="shared" si="24"/>
        <v>85.349983647478965</v>
      </c>
      <c r="N75" s="47">
        <f t="shared" si="24"/>
        <v>76.242575643688483</v>
      </c>
      <c r="O75" s="47">
        <f t="shared" si="24"/>
        <v>96.927083622465716</v>
      </c>
      <c r="P75" s="47">
        <f t="shared" si="24"/>
        <v>99.548281168110748</v>
      </c>
      <c r="Q75" s="47">
        <f t="shared" si="24"/>
        <v>78.984788213106071</v>
      </c>
      <c r="R75" s="47">
        <f t="shared" si="24"/>
        <v>97.46092224970667</v>
      </c>
      <c r="S75" s="47">
        <f t="shared" si="24"/>
        <v>99.895478393148423</v>
      </c>
      <c r="T75" s="47">
        <f t="shared" si="24"/>
        <v>69.593905862466869</v>
      </c>
      <c r="U75" s="47">
        <f t="shared" si="24"/>
        <v>99.756062114259379</v>
      </c>
      <c r="V75" s="47">
        <f t="shared" si="24"/>
        <v>96.965213923575362</v>
      </c>
    </row>
    <row r="76" spans="2:22" x14ac:dyDescent="0.2">
      <c r="B76" s="32"/>
      <c r="C76" s="77" t="s">
        <v>61</v>
      </c>
      <c r="D76" s="47">
        <f t="shared" ref="D76:V76" si="25">+IFERROR(IF(D50&gt;0,+((D50/D24)*100)," "),"")</f>
        <v>92.901261746480301</v>
      </c>
      <c r="E76" s="47">
        <f t="shared" si="25"/>
        <v>99.109954885825175</v>
      </c>
      <c r="F76" s="47">
        <f t="shared" si="25"/>
        <v>99.054371208661166</v>
      </c>
      <c r="G76" s="47">
        <f t="shared" si="25"/>
        <v>98.576955583450086</v>
      </c>
      <c r="H76" s="47">
        <f t="shared" si="25"/>
        <v>97.634634075737097</v>
      </c>
      <c r="I76" s="47">
        <f t="shared" si="25"/>
        <v>96.94255485660868</v>
      </c>
      <c r="J76" s="47">
        <f t="shared" si="25"/>
        <v>97.471859641459574</v>
      </c>
      <c r="K76" s="47">
        <f t="shared" si="25"/>
        <v>98.443250512640773</v>
      </c>
      <c r="L76" s="47">
        <f t="shared" si="25"/>
        <v>98.375634779855091</v>
      </c>
      <c r="M76" s="47">
        <f t="shared" si="25"/>
        <v>95.78406288174854</v>
      </c>
      <c r="N76" s="47">
        <f t="shared" si="25"/>
        <v>87.437712240974463</v>
      </c>
      <c r="O76" s="47">
        <f t="shared" si="25"/>
        <v>99.148318757911653</v>
      </c>
      <c r="P76" s="47">
        <f t="shared" si="25"/>
        <v>99.934512956822175</v>
      </c>
      <c r="Q76" s="47">
        <f t="shared" si="25"/>
        <v>88.985343416353331</v>
      </c>
      <c r="R76" s="47">
        <f t="shared" si="25"/>
        <v>97.579419996413634</v>
      </c>
      <c r="S76" s="47">
        <f t="shared" si="25"/>
        <v>96.671421835065189</v>
      </c>
      <c r="T76" s="47">
        <f t="shared" si="25"/>
        <v>96.511622650620509</v>
      </c>
      <c r="U76" s="47">
        <f t="shared" si="25"/>
        <v>96.648797408588067</v>
      </c>
      <c r="V76" s="47">
        <f t="shared" si="25"/>
        <v>97.749604870617418</v>
      </c>
    </row>
    <row r="77" spans="2:22" x14ac:dyDescent="0.2">
      <c r="B77" s="34" t="s">
        <v>45</v>
      </c>
      <c r="C77" s="76" t="s">
        <v>46</v>
      </c>
      <c r="D77" s="46">
        <f t="shared" ref="D77:V77" si="26">+IFERROR(IF(D51&gt;0,+((D51/D25)*100)," "),"")</f>
        <v>80.328413452785057</v>
      </c>
      <c r="E77" s="46">
        <f t="shared" si="26"/>
        <v>91.506175293855691</v>
      </c>
      <c r="F77" s="46">
        <f t="shared" si="26"/>
        <v>85.608393039853453</v>
      </c>
      <c r="G77" s="46">
        <f t="shared" si="26"/>
        <v>97.941115639634518</v>
      </c>
      <c r="H77" s="46">
        <f t="shared" si="26"/>
        <v>95.221298515953066</v>
      </c>
      <c r="I77" s="46">
        <f t="shared" si="26"/>
        <v>93.980050899499673</v>
      </c>
      <c r="J77" s="46">
        <f t="shared" si="26"/>
        <v>92.6721053904824</v>
      </c>
      <c r="K77" s="46">
        <f t="shared" si="26"/>
        <v>88.280591548463306</v>
      </c>
      <c r="L77" s="46">
        <f t="shared" si="26"/>
        <v>97.425488878885872</v>
      </c>
      <c r="M77" s="46">
        <f t="shared" si="26"/>
        <v>93.335863583955785</v>
      </c>
      <c r="N77" s="46">
        <f t="shared" si="26"/>
        <v>93.566990145436378</v>
      </c>
      <c r="O77" s="46">
        <f t="shared" si="26"/>
        <v>94.685576772045451</v>
      </c>
      <c r="P77" s="46">
        <f t="shared" si="26"/>
        <v>94.282958287672813</v>
      </c>
      <c r="Q77" s="46">
        <f t="shared" si="26"/>
        <v>95.224340682546298</v>
      </c>
      <c r="R77" s="46">
        <f t="shared" si="26"/>
        <v>96.00386460866271</v>
      </c>
      <c r="S77" s="46">
        <f t="shared" si="26"/>
        <v>96.776851394611455</v>
      </c>
      <c r="T77" s="46">
        <f t="shared" si="26"/>
        <v>97.050791297858083</v>
      </c>
      <c r="U77" s="46">
        <f t="shared" si="26"/>
        <v>98.064298787639345</v>
      </c>
      <c r="V77" s="46">
        <f t="shared" si="26"/>
        <v>96.897784348358527</v>
      </c>
    </row>
    <row r="78" spans="2:22" x14ac:dyDescent="0.2">
      <c r="B78" s="36" t="s">
        <v>47</v>
      </c>
      <c r="C78" s="78" t="s">
        <v>48</v>
      </c>
      <c r="D78" s="48">
        <f t="shared" ref="D78:V78" si="27">+IFERROR(IF(D52&gt;0,+((D52/D26)*100)," "),"")</f>
        <v>91.663497333888316</v>
      </c>
      <c r="E78" s="48">
        <f t="shared" si="27"/>
        <v>94.925629201240213</v>
      </c>
      <c r="F78" s="48">
        <f t="shared" si="27"/>
        <v>94.910793809708366</v>
      </c>
      <c r="G78" s="48">
        <f t="shared" si="27"/>
        <v>98.105090287411727</v>
      </c>
      <c r="H78" s="48">
        <f t="shared" si="27"/>
        <v>97.929025518567045</v>
      </c>
      <c r="I78" s="48">
        <f t="shared" si="27"/>
        <v>97.309823146410508</v>
      </c>
      <c r="J78" s="48">
        <f t="shared" si="27"/>
        <v>96.720117087104668</v>
      </c>
      <c r="K78" s="48">
        <f t="shared" si="27"/>
        <v>93.684843028427821</v>
      </c>
      <c r="L78" s="48">
        <f t="shared" si="27"/>
        <v>97.498605643169725</v>
      </c>
      <c r="M78" s="48">
        <f t="shared" si="27"/>
        <v>94.174685424177184</v>
      </c>
      <c r="N78" s="48">
        <f t="shared" si="27"/>
        <v>92.353522252724446</v>
      </c>
      <c r="O78" s="48">
        <f t="shared" si="27"/>
        <v>97.107149125221824</v>
      </c>
      <c r="P78" s="48">
        <f t="shared" si="27"/>
        <v>96.739979341122989</v>
      </c>
      <c r="Q78" s="48">
        <f t="shared" si="27"/>
        <v>96.230029556958456</v>
      </c>
      <c r="R78" s="48">
        <f t="shared" si="27"/>
        <v>95.342482730944539</v>
      </c>
      <c r="S78" s="48">
        <f t="shared" si="27"/>
        <v>97.525157681329162</v>
      </c>
      <c r="T78" s="48">
        <f t="shared" si="27"/>
        <v>98.477903301604016</v>
      </c>
      <c r="U78" s="48">
        <f t="shared" si="27"/>
        <v>98.895210878411575</v>
      </c>
      <c r="V78" s="48">
        <f t="shared" si="27"/>
        <v>97.137285689848369</v>
      </c>
    </row>
    <row r="79" spans="2:22" x14ac:dyDescent="0.2">
      <c r="B79" s="38" t="s">
        <v>49</v>
      </c>
      <c r="C79" s="79" t="s">
        <v>63</v>
      </c>
      <c r="D79" s="45">
        <f t="shared" ref="D79:V79" si="28">+IFERROR(IF(D53&gt;0,+((D53/D27)*100)," "),"")</f>
        <v>92.798527297505601</v>
      </c>
      <c r="E79" s="45">
        <f t="shared" si="28"/>
        <v>96.183994413659306</v>
      </c>
      <c r="F79" s="45">
        <f t="shared" si="28"/>
        <v>96.305397097273854</v>
      </c>
      <c r="G79" s="45">
        <f t="shared" si="28"/>
        <v>98.520074519075635</v>
      </c>
      <c r="H79" s="45">
        <f t="shared" si="28"/>
        <v>97.132063286976106</v>
      </c>
      <c r="I79" s="45">
        <f t="shared" si="28"/>
        <v>97.48842716506978</v>
      </c>
      <c r="J79" s="45">
        <f t="shared" si="28"/>
        <v>96.662653915152006</v>
      </c>
      <c r="K79" s="45">
        <f t="shared" si="28"/>
        <v>94.693182038662499</v>
      </c>
      <c r="L79" s="45">
        <f t="shared" si="28"/>
        <v>95.63555907780497</v>
      </c>
      <c r="M79" s="45">
        <f t="shared" si="28"/>
        <v>92.676356857167903</v>
      </c>
      <c r="N79" s="45">
        <f t="shared" si="28"/>
        <v>89.352395384698823</v>
      </c>
      <c r="O79" s="45">
        <f t="shared" si="28"/>
        <v>96.806385783701458</v>
      </c>
      <c r="P79" s="45">
        <f t="shared" si="28"/>
        <v>97.355207005522132</v>
      </c>
      <c r="Q79" s="45">
        <f t="shared" si="28"/>
        <v>93.622402184319569</v>
      </c>
      <c r="R79" s="45">
        <f t="shared" si="28"/>
        <v>95.821739772450073</v>
      </c>
      <c r="S79" s="45">
        <f t="shared" si="28"/>
        <v>97.766430529344561</v>
      </c>
      <c r="T79" s="45">
        <f t="shared" si="28"/>
        <v>95.471771795844589</v>
      </c>
      <c r="U79" s="45">
        <f t="shared" si="28"/>
        <v>98.662188760829608</v>
      </c>
      <c r="V79" s="45">
        <f t="shared" si="28"/>
        <v>97.314391986876075</v>
      </c>
    </row>
    <row r="80" spans="2:22" x14ac:dyDescent="0.2">
      <c r="B80" s="1" t="s">
        <v>52</v>
      </c>
      <c r="C80" s="15"/>
      <c r="D80" s="12"/>
      <c r="E80" s="12"/>
      <c r="F80" s="12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2:22" x14ac:dyDescent="0.2">
      <c r="D81" s="24">
        <f t="shared" ref="D81:V81" si="29">+D78-D55</f>
        <v>0</v>
      </c>
      <c r="E81" s="24">
        <f t="shared" si="29"/>
        <v>0</v>
      </c>
      <c r="F81" s="24">
        <f t="shared" si="29"/>
        <v>0</v>
      </c>
      <c r="G81" s="24">
        <f t="shared" si="29"/>
        <v>0</v>
      </c>
      <c r="H81" s="24">
        <f t="shared" si="29"/>
        <v>0</v>
      </c>
      <c r="I81" s="24">
        <f t="shared" si="29"/>
        <v>0</v>
      </c>
      <c r="J81" s="24">
        <f t="shared" si="29"/>
        <v>0</v>
      </c>
      <c r="K81" s="24">
        <f t="shared" si="29"/>
        <v>0</v>
      </c>
      <c r="L81" s="24">
        <f t="shared" si="29"/>
        <v>0</v>
      </c>
      <c r="M81" s="24">
        <f t="shared" si="29"/>
        <v>0</v>
      </c>
      <c r="N81" s="24">
        <f t="shared" si="29"/>
        <v>0</v>
      </c>
      <c r="O81" s="24">
        <f t="shared" si="29"/>
        <v>0</v>
      </c>
      <c r="P81" s="25">
        <f t="shared" si="29"/>
        <v>0</v>
      </c>
      <c r="Q81" s="24">
        <f t="shared" si="29"/>
        <v>0</v>
      </c>
      <c r="R81" s="24">
        <f t="shared" si="29"/>
        <v>0</v>
      </c>
      <c r="S81" s="24">
        <f t="shared" si="29"/>
        <v>0</v>
      </c>
      <c r="T81" s="24">
        <f t="shared" si="29"/>
        <v>0</v>
      </c>
      <c r="U81" s="24">
        <f t="shared" si="29"/>
        <v>0</v>
      </c>
      <c r="V81" s="24">
        <f t="shared" si="29"/>
        <v>0</v>
      </c>
    </row>
    <row r="83" spans="2:22" ht="18" customHeight="1" x14ac:dyDescent="0.2">
      <c r="C83" s="131"/>
      <c r="D83" s="164" t="s">
        <v>69</v>
      </c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</row>
    <row r="84" spans="2:22" x14ac:dyDescent="0.2">
      <c r="B84" s="159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</row>
    <row r="85" spans="2:22" x14ac:dyDescent="0.2">
      <c r="B85" s="167"/>
      <c r="C85" s="161" t="s">
        <v>38</v>
      </c>
      <c r="D85" s="155">
        <v>2000</v>
      </c>
      <c r="E85" s="155">
        <v>2001</v>
      </c>
      <c r="F85" s="155">
        <v>2002</v>
      </c>
      <c r="G85" s="155">
        <v>2003</v>
      </c>
      <c r="H85" s="155">
        <v>2004</v>
      </c>
      <c r="I85" s="155">
        <v>2005</v>
      </c>
      <c r="J85" s="155">
        <v>2006</v>
      </c>
      <c r="K85" s="155">
        <v>2007</v>
      </c>
      <c r="L85" s="155">
        <v>2008</v>
      </c>
      <c r="M85" s="155">
        <v>2009</v>
      </c>
      <c r="N85" s="155">
        <v>2010</v>
      </c>
      <c r="O85" s="155">
        <v>2011</v>
      </c>
      <c r="P85" s="155">
        <v>2012</v>
      </c>
      <c r="Q85" s="155">
        <v>2013</v>
      </c>
      <c r="R85" s="155">
        <v>2014</v>
      </c>
      <c r="S85" s="155">
        <v>2015</v>
      </c>
      <c r="T85" s="155">
        <v>2016</v>
      </c>
      <c r="U85" s="155">
        <v>2017</v>
      </c>
      <c r="V85" s="155">
        <v>2018</v>
      </c>
    </row>
    <row r="86" spans="2:22" ht="12" customHeight="1" thickBot="1" x14ac:dyDescent="0.25">
      <c r="B86" s="156"/>
      <c r="C86" s="162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</row>
    <row r="87" spans="2:22" x14ac:dyDescent="0.2">
      <c r="B87" s="34" t="s">
        <v>39</v>
      </c>
      <c r="C87" s="76" t="s">
        <v>40</v>
      </c>
      <c r="D87" s="41">
        <f t="shared" ref="D87:V87" si="30">+D88+D89+D90+D91</f>
        <v>91772.625891566378</v>
      </c>
      <c r="E87" s="41">
        <f t="shared" si="30"/>
        <v>97063.318208242912</v>
      </c>
      <c r="F87" s="41">
        <f t="shared" si="30"/>
        <v>99958.561164106926</v>
      </c>
      <c r="G87" s="41">
        <f t="shared" si="30"/>
        <v>100142.45286736827</v>
      </c>
      <c r="H87" s="41">
        <f t="shared" si="30"/>
        <v>116606.76873935209</v>
      </c>
      <c r="I87" s="41">
        <f t="shared" si="30"/>
        <v>127642.11002824087</v>
      </c>
      <c r="J87" s="41">
        <f t="shared" si="30"/>
        <v>128536.16473722896</v>
      </c>
      <c r="K87" s="41">
        <f t="shared" si="30"/>
        <v>134836.07495387984</v>
      </c>
      <c r="L87" s="41">
        <f t="shared" si="30"/>
        <v>142847.74989418036</v>
      </c>
      <c r="M87" s="41">
        <f t="shared" si="30"/>
        <v>155942.7052264525</v>
      </c>
      <c r="N87" s="41">
        <f t="shared" si="30"/>
        <v>168510.81639546694</v>
      </c>
      <c r="O87" s="41">
        <f t="shared" si="30"/>
        <v>171719.2017865745</v>
      </c>
      <c r="P87" s="41">
        <f t="shared" si="30"/>
        <v>182224.07928337541</v>
      </c>
      <c r="Q87" s="41">
        <f t="shared" si="30"/>
        <v>196939.79561040294</v>
      </c>
      <c r="R87" s="41">
        <f t="shared" si="30"/>
        <v>204759.052117163</v>
      </c>
      <c r="S87" s="41">
        <f t="shared" si="30"/>
        <v>198882.88552925171</v>
      </c>
      <c r="T87" s="41">
        <f t="shared" si="30"/>
        <v>201761.43189592916</v>
      </c>
      <c r="U87" s="41">
        <f t="shared" si="30"/>
        <v>222073.45104339713</v>
      </c>
      <c r="V87" s="41">
        <f t="shared" si="30"/>
        <v>222622.2629577</v>
      </c>
    </row>
    <row r="88" spans="2:22" x14ac:dyDescent="0.2">
      <c r="B88" s="40"/>
      <c r="C88" s="77" t="s">
        <v>56</v>
      </c>
      <c r="D88" s="42">
        <f>6222.5106703873*Deflactores!$A$5</f>
        <v>23221.884472969137</v>
      </c>
      <c r="E88" s="42">
        <f>6685.30941233611*Deflactores!$B$5</f>
        <v>23176.408151191787</v>
      </c>
      <c r="F88" s="42">
        <f>7238.07231110505*Deflactores!$C$5</f>
        <v>23452.917600661982</v>
      </c>
      <c r="G88" s="42">
        <f>7844.09820114789*Deflactores!$D$5</f>
        <v>23867.262046615491</v>
      </c>
      <c r="H88" s="42">
        <f>8434.40658026032*Deflactores!$E$5</f>
        <v>24326.188772720237</v>
      </c>
      <c r="I88" s="42">
        <f>9156.64798084961*Deflactores!$F$5</f>
        <v>25186.407690190175</v>
      </c>
      <c r="J88" s="42">
        <f>10168.0709480329*Deflactores!$G$5</f>
        <v>26769.708533955592</v>
      </c>
      <c r="K88" s="42">
        <f>11140.1214504097*Deflactores!$H$5</f>
        <v>27748.70826888199</v>
      </c>
      <c r="L88" s="42">
        <f>12479.7762938995*Deflactores!$I$5</f>
        <v>28870.034376195195</v>
      </c>
      <c r="M88" s="42">
        <f>14035.1063040376*Deflactores!$J$5</f>
        <v>31830.857411721707</v>
      </c>
      <c r="N88" s="42">
        <f>15089.2243835499*Deflactores!$K$5</f>
        <v>33169.656346483949</v>
      </c>
      <c r="O88" s="42">
        <f>15935.0894048688*Deflactores!$L$5</f>
        <v>33770.544301087197</v>
      </c>
      <c r="P88" s="42">
        <f>17972.183671833*Deflactores!$M$5</f>
        <v>37180.466504567092</v>
      </c>
      <c r="Q88" s="42">
        <f>19931.2260284696*Deflactores!$N$5</f>
        <v>40448.588521799349</v>
      </c>
      <c r="R88" s="42">
        <f>22110.0012866487*Deflactores!$O$5</f>
        <v>43285.94669914696</v>
      </c>
      <c r="S88" s="42">
        <f>23599.7200985663*Deflactores!$P$5</f>
        <v>43272.876164064015</v>
      </c>
      <c r="T88" s="42">
        <f>25647.5532380311*Deflactores!$Q$5</f>
        <v>44470.752026881259</v>
      </c>
      <c r="U88" s="42">
        <f>27662.1138929682*Deflactores!$R$5</f>
        <v>46079.195731258085</v>
      </c>
      <c r="V88" s="42">
        <f>30436.0931659071*Deflactores!$S$5</f>
        <v>49137.482986685129</v>
      </c>
    </row>
    <row r="89" spans="2:22" x14ac:dyDescent="0.2">
      <c r="B89" s="40"/>
      <c r="C89" s="77" t="s">
        <v>57</v>
      </c>
      <c r="D89" s="42">
        <f>1509.79490454475*Deflactores!$A$5</f>
        <v>5634.4271160620501</v>
      </c>
      <c r="E89" s="42">
        <f>1567.18143316451*Deflactores!$B$5</f>
        <v>5433.0524291018819</v>
      </c>
      <c r="F89" s="42">
        <f>1779.6989316252*Deflactores!$C$5</f>
        <v>5766.6089261575207</v>
      </c>
      <c r="G89" s="42">
        <f>1905.12128011906*Deflactores!$D$5</f>
        <v>5796.7184572639799</v>
      </c>
      <c r="H89" s="42">
        <f>2098.486238833*Deflactores!$E$5</f>
        <v>6052.3727303209616</v>
      </c>
      <c r="I89" s="42">
        <f>2301.29749506388*Deflactores!$F$5</f>
        <v>6329.9820030554765</v>
      </c>
      <c r="J89" s="42">
        <f>2677.9972009597*Deflactores!$G$5</f>
        <v>7050.4233193129867</v>
      </c>
      <c r="K89" s="42">
        <f>3516.7371874363*Deflactores!$H$5</f>
        <v>8759.7711305840003</v>
      </c>
      <c r="L89" s="42">
        <f>3865.81691541085*Deflactores!$I$5</f>
        <v>8942.9701792446958</v>
      </c>
      <c r="M89" s="42">
        <f>4435.87925903355*Deflactores!$J$5</f>
        <v>10060.332792013913</v>
      </c>
      <c r="N89" s="42">
        <f>4856.37379719149*Deflactores!$K$5</f>
        <v>10675.449303976369</v>
      </c>
      <c r="O89" s="42">
        <f>5213.29149581089*Deflactores!$L$5</f>
        <v>11048.302707355429</v>
      </c>
      <c r="P89" s="42">
        <f>6064.67037284668*Deflactores!$M$5</f>
        <v>12546.45944956942</v>
      </c>
      <c r="Q89" s="42">
        <f>7042.13859880661*Deflactores!$N$5</f>
        <v>14291.372045539978</v>
      </c>
      <c r="R89" s="42">
        <f>7393.44360173692*Deflactores!$O$5</f>
        <v>14474.544868578883</v>
      </c>
      <c r="S89" s="42">
        <f>7280.82087573002*Deflactores!$P$5</f>
        <v>13350.245630554638</v>
      </c>
      <c r="T89" s="42">
        <f>7532.62311881693*Deflactores!$Q$5</f>
        <v>13060.950170176011</v>
      </c>
      <c r="U89" s="42">
        <f>7627.69609476036*Deflactores!$R$5</f>
        <v>12706.118653439658</v>
      </c>
      <c r="V89" s="42">
        <f>7424.01930719366*Deflactores!$S$5</f>
        <v>11985.691475300035</v>
      </c>
    </row>
    <row r="90" spans="2:22" x14ac:dyDescent="0.2">
      <c r="B90" s="40"/>
      <c r="C90" s="77" t="s">
        <v>58</v>
      </c>
      <c r="D90" s="42">
        <f>16521.4056766249*Deflactores!$A$5</f>
        <v>61656.491129770999</v>
      </c>
      <c r="E90" s="42">
        <f>19438.3167747745*Deflactores!$B$5</f>
        <v>67388.109593405592</v>
      </c>
      <c r="F90" s="42">
        <f>21404.5451994368*Deflactores!$C$5</f>
        <v>69355.349499871896</v>
      </c>
      <c r="G90" s="42">
        <f>22669.6889987837*Deflactores!$D$5</f>
        <v>68977.133377813749</v>
      </c>
      <c r="H90" s="42">
        <f>29417.0063911575*Deflactores!$E$5</f>
        <v>84843.390437733513</v>
      </c>
      <c r="I90" s="42">
        <f>34315.1913924482*Deflactores!$F$5</f>
        <v>94387.859201824671</v>
      </c>
      <c r="J90" s="42">
        <f>35353.3597601397*Deflactores!$G$5</f>
        <v>93075.583491881785</v>
      </c>
      <c r="K90" s="42">
        <f>38728.9699409587*Deflactores!$H$5</f>
        <v>96469.225513375277</v>
      </c>
      <c r="L90" s="42">
        <f>44586.0133366478*Deflactores!$I$5</f>
        <v>103142.85347853089</v>
      </c>
      <c r="M90" s="42">
        <f>49308.6283378089*Deflactores!$J$5</f>
        <v>111829.28606225473</v>
      </c>
      <c r="N90" s="42">
        <f>55477.1940014816*Deflactores!$K$5</f>
        <v>121951.89184823085</v>
      </c>
      <c r="O90" s="42">
        <f>58611.1904183702*Deflactores!$L$5</f>
        <v>124212.15546856385</v>
      </c>
      <c r="P90" s="42">
        <f>62795.5768154854*Deflactores!$M$5</f>
        <v>129910.13685678627</v>
      </c>
      <c r="Q90" s="42">
        <f>68782.6627123917*Deflactores!$N$5</f>
        <v>139588.0824146606</v>
      </c>
      <c r="R90" s="42">
        <f>73694.7340581271*Deflactores!$O$5</f>
        <v>144276.17118114661</v>
      </c>
      <c r="S90" s="42">
        <f>76130.0930047469*Deflactores!$P$5</f>
        <v>139593.52370256389</v>
      </c>
      <c r="T90" s="42">
        <f>81649.188911274*Deflactores!$Q$5</f>
        <v>141572.991371554</v>
      </c>
      <c r="U90" s="42">
        <f>96543.1494385549*Deflactores!$R$5</f>
        <v>160820.34426957252</v>
      </c>
      <c r="V90" s="42">
        <f>98607.118809533*Deflactores!$S$5</f>
        <v>159196.04386994458</v>
      </c>
    </row>
    <row r="91" spans="2:22" x14ac:dyDescent="0.2">
      <c r="B91" s="40"/>
      <c r="C91" s="77" t="s">
        <v>59</v>
      </c>
      <c r="D91" s="42">
        <f>337.580834339759*Deflactores!$A$5</f>
        <v>1259.8231727641999</v>
      </c>
      <c r="E91" s="42">
        <f>307.41844551728*Deflactores!$B$5</f>
        <v>1065.7480345436536</v>
      </c>
      <c r="F91" s="42">
        <f>427.03484704744*Deflactores!$C$5</f>
        <v>1383.6851374155256</v>
      </c>
      <c r="G91" s="42">
        <f>493.42276520221*Deflactores!$D$5</f>
        <v>1501.3389856750391</v>
      </c>
      <c r="H91" s="42">
        <f>480.14541149472*Deflactores!$E$5</f>
        <v>1384.8167985773696</v>
      </c>
      <c r="I91" s="42">
        <f>631.80834804961*Deflactores!$F$5</f>
        <v>1737.8611331705411</v>
      </c>
      <c r="J91" s="42">
        <f>623.10001560738*Deflactores!$G$5</f>
        <v>1640.4493920786094</v>
      </c>
      <c r="K91" s="42">
        <f>746.069610028979*Deflactores!$H$5</f>
        <v>1858.3700410385845</v>
      </c>
      <c r="L91" s="42">
        <f>817.816386361249*Deflactores!$I$5</f>
        <v>1891.8918602095837</v>
      </c>
      <c r="M91" s="42">
        <f>979.84227344476*Deflactores!$J$5</f>
        <v>2222.2289604621606</v>
      </c>
      <c r="N91" s="42">
        <f>1234.5446646181*Deflactores!$K$5</f>
        <v>2713.8188967757842</v>
      </c>
      <c r="O91" s="42">
        <f>1268.46330796908*Deflactores!$L$5</f>
        <v>2688.1993095680477</v>
      </c>
      <c r="P91" s="42">
        <f>1250.50435285058*Deflactores!$M$5</f>
        <v>2587.0164724526394</v>
      </c>
      <c r="Q91" s="42">
        <f>1286.95299068583*Deflactores!$N$5</f>
        <v>2611.7526284030223</v>
      </c>
      <c r="R91" s="42">
        <f>1390.56754040796*Deflactores!$O$5</f>
        <v>2722.3893682905518</v>
      </c>
      <c r="S91" s="42">
        <f>1454.08681026565*Deflactores!$P$5</f>
        <v>2666.2400320691472</v>
      </c>
      <c r="T91" s="42">
        <f>1532.21689725901*Deflactores!$Q$5</f>
        <v>2656.7383273178725</v>
      </c>
      <c r="U91" s="42">
        <f>1481.45715325321*Deflactores!$R$5</f>
        <v>2467.792389126852</v>
      </c>
      <c r="V91" s="42">
        <f>1426.52159888162*Deflactores!$S$5</f>
        <v>2303.0446257702333</v>
      </c>
    </row>
    <row r="92" spans="2:22" x14ac:dyDescent="0.2">
      <c r="B92" s="34" t="s">
        <v>41</v>
      </c>
      <c r="C92" s="76" t="s">
        <v>42</v>
      </c>
      <c r="D92" s="41">
        <f t="shared" ref="D92:V92" si="31">+D93+D96</f>
        <v>58727.457407151393</v>
      </c>
      <c r="E92" s="41">
        <f t="shared" si="31"/>
        <v>73166.947113955946</v>
      </c>
      <c r="F92" s="41">
        <f t="shared" si="31"/>
        <v>73138.205134766453</v>
      </c>
      <c r="G92" s="41">
        <f t="shared" si="31"/>
        <v>82208.679816081756</v>
      </c>
      <c r="H92" s="41">
        <f t="shared" si="31"/>
        <v>73387.907592890566</v>
      </c>
      <c r="I92" s="41">
        <f t="shared" si="31"/>
        <v>84888.550733238313</v>
      </c>
      <c r="J92" s="41">
        <f t="shared" si="31"/>
        <v>98934.798802240417</v>
      </c>
      <c r="K92" s="41">
        <f t="shared" si="31"/>
        <v>94662.369984927122</v>
      </c>
      <c r="L92" s="41">
        <f t="shared" si="31"/>
        <v>82258.323948201578</v>
      </c>
      <c r="M92" s="41">
        <f t="shared" si="31"/>
        <v>74225.420400741947</v>
      </c>
      <c r="N92" s="41">
        <f t="shared" si="31"/>
        <v>70810.3427012342</v>
      </c>
      <c r="O92" s="41">
        <f t="shared" si="31"/>
        <v>71401.825642671538</v>
      </c>
      <c r="P92" s="41">
        <f t="shared" si="31"/>
        <v>74971.75544799988</v>
      </c>
      <c r="Q92" s="41">
        <f t="shared" si="31"/>
        <v>76743.868482141072</v>
      </c>
      <c r="R92" s="41">
        <f t="shared" si="31"/>
        <v>78281.788307805284</v>
      </c>
      <c r="S92" s="41">
        <f t="shared" si="31"/>
        <v>84446.770252786722</v>
      </c>
      <c r="T92" s="41">
        <f t="shared" si="31"/>
        <v>68729.568210073601</v>
      </c>
      <c r="U92" s="41">
        <f t="shared" si="31"/>
        <v>81479.775688830821</v>
      </c>
      <c r="V92" s="41">
        <f t="shared" si="31"/>
        <v>58757.388794278108</v>
      </c>
    </row>
    <row r="93" spans="2:22" x14ac:dyDescent="0.2">
      <c r="B93" s="34"/>
      <c r="C93" s="76" t="s">
        <v>43</v>
      </c>
      <c r="D93" s="41">
        <f t="shared" ref="D93:V93" si="32">+D94+D95</f>
        <v>18588.920749524928</v>
      </c>
      <c r="E93" s="41">
        <f t="shared" si="32"/>
        <v>27019.363638444855</v>
      </c>
      <c r="F93" s="41">
        <f t="shared" si="32"/>
        <v>30603.506698302423</v>
      </c>
      <c r="G93" s="41">
        <f t="shared" si="32"/>
        <v>40113.965284826474</v>
      </c>
      <c r="H93" s="41">
        <f t="shared" si="32"/>
        <v>23856.80643590563</v>
      </c>
      <c r="I93" s="41">
        <f t="shared" si="32"/>
        <v>35217.176953001093</v>
      </c>
      <c r="J93" s="41">
        <f t="shared" si="32"/>
        <v>25362.655744767228</v>
      </c>
      <c r="K93" s="41">
        <f t="shared" si="32"/>
        <v>18527.555680582082</v>
      </c>
      <c r="L93" s="41">
        <f t="shared" si="32"/>
        <v>16930.396492772394</v>
      </c>
      <c r="M93" s="41">
        <f t="shared" si="32"/>
        <v>15537.402211881239</v>
      </c>
      <c r="N93" s="41">
        <f t="shared" si="32"/>
        <v>15451.079590032839</v>
      </c>
      <c r="O93" s="41">
        <f t="shared" si="32"/>
        <v>12944.83079358734</v>
      </c>
      <c r="P93" s="41">
        <f t="shared" si="32"/>
        <v>13393.635407234948</v>
      </c>
      <c r="Q93" s="41">
        <f t="shared" si="32"/>
        <v>13916.538687497279</v>
      </c>
      <c r="R93" s="41">
        <f t="shared" si="32"/>
        <v>17306.382800213789</v>
      </c>
      <c r="S93" s="41">
        <f t="shared" si="32"/>
        <v>20179.947075095501</v>
      </c>
      <c r="T93" s="41">
        <f t="shared" si="32"/>
        <v>16062.067533974474</v>
      </c>
      <c r="U93" s="41">
        <f t="shared" si="32"/>
        <v>23278.357855296919</v>
      </c>
      <c r="V93" s="41">
        <f t="shared" si="32"/>
        <v>15496.126979728282</v>
      </c>
    </row>
    <row r="94" spans="2:22" x14ac:dyDescent="0.2">
      <c r="B94" s="32"/>
      <c r="C94" s="77" t="s">
        <v>60</v>
      </c>
      <c r="D94" s="42">
        <f>2528.19439917843*Deflactores!$A$5</f>
        <v>9435.0080494558551</v>
      </c>
      <c r="E94" s="42">
        <f>4400.69780606549*Deflactores!$B$5</f>
        <v>15256.192677518555</v>
      </c>
      <c r="F94" s="42">
        <f>5650.68020492847*Deflactores!$C$5</f>
        <v>18309.424324284806</v>
      </c>
      <c r="G94" s="42">
        <f>7831.35986322709*Deflactores!$D$5</f>
        <v>23828.503066118588</v>
      </c>
      <c r="H94" s="42">
        <f>3998.81074597693*Deflactores!$E$5</f>
        <v>11533.215069413302</v>
      </c>
      <c r="I94" s="42">
        <f>8412.48963703729*Deflactores!$F$5</f>
        <v>23139.515042082203</v>
      </c>
      <c r="J94" s="42">
        <f>4943.37765192544*Deflactores!$G$5</f>
        <v>13014.54126270772</v>
      </c>
      <c r="K94" s="42">
        <f>3520.15184954198*Deflactores!$H$5</f>
        <v>8768.2766449115697</v>
      </c>
      <c r="L94" s="42">
        <f>3472.01625758266*Deflactores!$I$5</f>
        <v>8031.9731981188661</v>
      </c>
      <c r="M94" s="42">
        <f>2846.20163202057*Deflactores!$J$5</f>
        <v>6455.0304323518767</v>
      </c>
      <c r="N94" s="42">
        <f>3361.21751808032*Deflactores!$K$5</f>
        <v>7388.7449179993309</v>
      </c>
      <c r="O94" s="42">
        <f>2373.34432345691*Deflactores!$L$5</f>
        <v>5029.7257568286159</v>
      </c>
      <c r="P94" s="42">
        <f>3393.25689011586*Deflactores!$M$5</f>
        <v>7019.8967720363135</v>
      </c>
      <c r="Q94" s="42">
        <f>2909.26086612295*Deflactores!$N$5</f>
        <v>5904.0771254259062</v>
      </c>
      <c r="R94" s="42">
        <f>4841.01869407645*Deflactores!$O$5</f>
        <v>9477.5244218508706</v>
      </c>
      <c r="S94" s="42">
        <f>5998.70627778673*Deflactores!$P$5</f>
        <v>10999.336975993554</v>
      </c>
      <c r="T94" s="42">
        <f>3415.46895859314*Deflactores!$Q$5</f>
        <v>5922.1428143048079</v>
      </c>
      <c r="U94" s="42">
        <f>7662.71728925486*Deflactores!$R$5</f>
        <v>12764.45651156932</v>
      </c>
      <c r="V94" s="42">
        <f>2964.89476357482*Deflactores!$S$5</f>
        <v>4786.667763445439</v>
      </c>
    </row>
    <row r="95" spans="2:22" x14ac:dyDescent="0.2">
      <c r="B95" s="32"/>
      <c r="C95" s="77" t="s">
        <v>61</v>
      </c>
      <c r="D95" s="42">
        <f>2452.87239794328*Deflactores!$A$5</f>
        <v>9153.9127000690733</v>
      </c>
      <c r="E95" s="42">
        <f>3393.12446652591*Deflactores!$B$5</f>
        <v>11763.170960926298</v>
      </c>
      <c r="F95" s="42">
        <f>3794.21693867674*Deflactores!$C$5</f>
        <v>12294.082374017615</v>
      </c>
      <c r="G95" s="42">
        <f>5352.30076433268*Deflactores!$D$5</f>
        <v>16285.462218707886</v>
      </c>
      <c r="H95" s="42">
        <f>4272.85100371105*Deflactores!$E$5</f>
        <v>12323.591366492326</v>
      </c>
      <c r="I95" s="42">
        <f>4390.89607022734*Deflactores!$F$5</f>
        <v>12077.66191091889</v>
      </c>
      <c r="J95" s="42">
        <f>4690.24546788597*Deflactores!$G$5</f>
        <v>12348.114482059507</v>
      </c>
      <c r="K95" s="42">
        <f>3918.00413454659*Deflactores!$H$5</f>
        <v>9759.2790356705136</v>
      </c>
      <c r="L95" s="42">
        <f>3846.56043836466*Deflactores!$I$5</f>
        <v>8898.4232946535285</v>
      </c>
      <c r="M95" s="42">
        <f>4004.66917273627*Deflactores!$J$5</f>
        <v>9082.3717795293614</v>
      </c>
      <c r="N95" s="42">
        <f>3667.64055831056*Deflactores!$K$5</f>
        <v>8062.3346720335085</v>
      </c>
      <c r="O95" s="42">
        <f>3734.84967506482*Deflactores!$L$5</f>
        <v>7915.1050367587241</v>
      </c>
      <c r="P95" s="42">
        <f>3080.91888556528*Deflactores!$M$5</f>
        <v>6373.7386351986343</v>
      </c>
      <c r="Q95" s="42">
        <f>3948.17689007866*Deflactores!$N$5</f>
        <v>8012.461562071373</v>
      </c>
      <c r="R95" s="42">
        <f>3998.89761038785*Deflactores!$O$5</f>
        <v>7828.8583783629201</v>
      </c>
      <c r="S95" s="42">
        <f>5006.82755293262*Deflactores!$P$5</f>
        <v>9180.6100991019448</v>
      </c>
      <c r="T95" s="42">
        <f>5847.9842868444*Deflactores!$Q$5</f>
        <v>10139.924719669667</v>
      </c>
      <c r="U95" s="42">
        <f>6311.67128275925*Deflactores!$R$5</f>
        <v>10513.901343727601</v>
      </c>
      <c r="V95" s="42">
        <f>6633.51231383975*Deflactores!$S$5</f>
        <v>10709.459216282843</v>
      </c>
    </row>
    <row r="96" spans="2:22" x14ac:dyDescent="0.2">
      <c r="B96" s="34"/>
      <c r="C96" s="76" t="s">
        <v>44</v>
      </c>
      <c r="D96" s="41">
        <f t="shared" ref="D96:V96" si="33">+D97+D98</f>
        <v>40138.536657626464</v>
      </c>
      <c r="E96" s="41">
        <f t="shared" si="33"/>
        <v>46147.583475511099</v>
      </c>
      <c r="F96" s="41">
        <f t="shared" si="33"/>
        <v>42534.69843646403</v>
      </c>
      <c r="G96" s="41">
        <f t="shared" si="33"/>
        <v>42094.714531255282</v>
      </c>
      <c r="H96" s="41">
        <f t="shared" si="33"/>
        <v>49531.101156984936</v>
      </c>
      <c r="I96" s="41">
        <f t="shared" si="33"/>
        <v>49671.37378023722</v>
      </c>
      <c r="J96" s="41">
        <f t="shared" si="33"/>
        <v>73572.143057473193</v>
      </c>
      <c r="K96" s="41">
        <f t="shared" si="33"/>
        <v>76134.81430434504</v>
      </c>
      <c r="L96" s="41">
        <f t="shared" si="33"/>
        <v>65327.927455429191</v>
      </c>
      <c r="M96" s="41">
        <f t="shared" si="33"/>
        <v>58688.018188860704</v>
      </c>
      <c r="N96" s="41">
        <f t="shared" si="33"/>
        <v>55359.263111201355</v>
      </c>
      <c r="O96" s="41">
        <f t="shared" si="33"/>
        <v>58456.994849084193</v>
      </c>
      <c r="P96" s="41">
        <f t="shared" si="33"/>
        <v>61578.120040764938</v>
      </c>
      <c r="Q96" s="41">
        <f t="shared" si="33"/>
        <v>62827.329794643796</v>
      </c>
      <c r="R96" s="41">
        <f t="shared" si="33"/>
        <v>60975.405507591495</v>
      </c>
      <c r="S96" s="41">
        <f t="shared" si="33"/>
        <v>64266.823177691214</v>
      </c>
      <c r="T96" s="41">
        <f t="shared" si="33"/>
        <v>52667.500676099124</v>
      </c>
      <c r="U96" s="41">
        <f t="shared" si="33"/>
        <v>58201.417833533895</v>
      </c>
      <c r="V96" s="41">
        <f t="shared" si="33"/>
        <v>43261.261814549827</v>
      </c>
    </row>
    <row r="97" spans="2:22" x14ac:dyDescent="0.2">
      <c r="B97" s="32"/>
      <c r="C97" s="77" t="s">
        <v>60</v>
      </c>
      <c r="D97" s="42">
        <f>6096.57281942159*Deflactores!$A$5</f>
        <v>22751.89504574045</v>
      </c>
      <c r="E97" s="42">
        <f>8299.71921352721*Deflactores!$B$5</f>
        <v>28773.190314579289</v>
      </c>
      <c r="F97" s="42">
        <f>7978.55782091956*Deflactores!$C$5</f>
        <v>25852.250585981728</v>
      </c>
      <c r="G97" s="42">
        <f>7097.41569989782*Deflactores!$D$5</f>
        <v>21595.328872659331</v>
      </c>
      <c r="H97" s="42">
        <f>9574.16824854075*Deflactores!$E$5</f>
        <v>27613.445230499929</v>
      </c>
      <c r="I97" s="42">
        <f>9499.94739798648*Deflactores!$F$5</f>
        <v>26130.692006666824</v>
      </c>
      <c r="J97" s="42">
        <f>17042.0838498208*Deflactores!$G$5</f>
        <v>44867.076538169968</v>
      </c>
      <c r="K97" s="42">
        <f>18284.0067513306*Deflactores!$H$5</f>
        <v>45543.270922803305</v>
      </c>
      <c r="L97" s="42">
        <f>16319.6666775809*Deflactores!$I$5</f>
        <v>37753.027529838029</v>
      </c>
      <c r="M97" s="42">
        <f>13697.2853268317*Deflactores!$J$5</f>
        <v>31064.697817117423</v>
      </c>
      <c r="N97" s="42">
        <f>13721.8843482966*Deflactores!$K$5</f>
        <v>30163.922060526493</v>
      </c>
      <c r="O97" s="42">
        <f>14339.7438762527*Deflactores!$L$5</f>
        <v>30389.597669359464</v>
      </c>
      <c r="P97" s="42">
        <f>16597.5153211496*Deflactores!$M$5</f>
        <v>34336.582227578736</v>
      </c>
      <c r="Q97" s="42">
        <f>17902.8713283008*Deflactores!$N$5</f>
        <v>36332.229371278736</v>
      </c>
      <c r="R97" s="42">
        <f>17332.1654576053*Deflactores!$O$5</f>
        <v>33932.11879330541</v>
      </c>
      <c r="S97" s="42">
        <f>20378.0256286111*Deflactores!$P$5</f>
        <v>37365.518565984254</v>
      </c>
      <c r="T97" s="42">
        <f>13863.0831808706*Deflactores!$Q$5</f>
        <v>24037.448279875451</v>
      </c>
      <c r="U97" s="42">
        <f>17064.1076072919*Deflactores!$R$5</f>
        <v>28425.17232985342</v>
      </c>
      <c r="V97" s="42">
        <f>8078.18611674733*Deflactores!$S$5</f>
        <v>13041.809627510966</v>
      </c>
    </row>
    <row r="98" spans="2:22" x14ac:dyDescent="0.2">
      <c r="B98" s="32"/>
      <c r="C98" s="77" t="s">
        <v>61</v>
      </c>
      <c r="D98" s="42">
        <f>4658.90539926227*Deflactores!$A$5</f>
        <v>17386.641611886018</v>
      </c>
      <c r="E98" s="42">
        <f>5011.69954268486*Deflactores!$B$5</f>
        <v>17374.393160931806</v>
      </c>
      <c r="F98" s="42">
        <f>5148.56044454877*Deflactores!$C$5</f>
        <v>16682.447850482302</v>
      </c>
      <c r="G98" s="42">
        <f>6737.22833625282*Deflactores!$D$5</f>
        <v>20499.385658595951</v>
      </c>
      <c r="H98" s="42">
        <f>7599.31706102414*Deflactores!$E$5</f>
        <v>21917.655926485011</v>
      </c>
      <c r="I98" s="42">
        <f>8558.33586437745*Deflactores!$F$5</f>
        <v>23540.681773570399</v>
      </c>
      <c r="J98" s="42">
        <f>10903.1875549207*Deflactores!$G$5</f>
        <v>28705.066519303229</v>
      </c>
      <c r="K98" s="42">
        <f>12281.4188438467*Deflactores!$H$5</f>
        <v>30591.543381541738</v>
      </c>
      <c r="L98" s="42">
        <f>11919.9228485088*Deflactores!$I$5</f>
        <v>27574.899925591159</v>
      </c>
      <c r="M98" s="42">
        <f>12179.8867329642*Deflactores!$J$5</f>
        <v>27623.320371743284</v>
      </c>
      <c r="N98" s="42">
        <f>11461.6247621751*Deflactores!$K$5</f>
        <v>25195.341050674862</v>
      </c>
      <c r="O98" s="42">
        <f>13243.9820760152*Deflactores!$L$5</f>
        <v>28067.397179724732</v>
      </c>
      <c r="P98" s="42">
        <f>13167.9337864582*Deflactores!$M$5</f>
        <v>27241.537813186202</v>
      </c>
      <c r="Q98" s="42">
        <f>13055.5812819151*Deflactores!$N$5</f>
        <v>26495.100423365056</v>
      </c>
      <c r="R98" s="42">
        <f>13813.4232850187*Deflactores!$O$5</f>
        <v>27043.286714286081</v>
      </c>
      <c r="S98" s="42">
        <f>14671.1592896101*Deflactores!$P$5</f>
        <v>26901.304611706964</v>
      </c>
      <c r="T98" s="42">
        <f>16511.7691869908*Deflactores!$Q$5</f>
        <v>28630.052396223677</v>
      </c>
      <c r="U98" s="42">
        <f>17875.1794894946*Deflactores!$R$5</f>
        <v>29776.245503680479</v>
      </c>
      <c r="V98" s="42">
        <f>18718.1354494006*Deflactores!$S$5</f>
        <v>30219.45218703886</v>
      </c>
    </row>
    <row r="99" spans="2:22" x14ac:dyDescent="0.2">
      <c r="B99" s="34" t="s">
        <v>45</v>
      </c>
      <c r="C99" s="76" t="s">
        <v>46</v>
      </c>
      <c r="D99" s="41">
        <f>5581.99048829882*Deflactores!$A$5</f>
        <v>20831.517230716094</v>
      </c>
      <c r="E99" s="41">
        <f>7555.19066943339*Deflactores!$B$5</f>
        <v>26192.083539432853</v>
      </c>
      <c r="F99" s="41">
        <f>5972.67121990339*Deflactores!$C$5</f>
        <v>19352.744757927645</v>
      </c>
      <c r="G99" s="41">
        <f>5976.30189347048*Deflactores!$D$5</f>
        <v>18184.112399341317</v>
      </c>
      <c r="H99" s="41">
        <f>7275.83445640455*Deflactores!$E$5</f>
        <v>20984.67992754704</v>
      </c>
      <c r="I99" s="41">
        <f>8461.05924694498*Deflactores!$F$5</f>
        <v>23273.11130995741</v>
      </c>
      <c r="J99" s="41">
        <f>9755.87068493296*Deflactores!$G$5</f>
        <v>25684.499652428269</v>
      </c>
      <c r="K99" s="41">
        <f>16687.53328392*Deflactores!$H$5</f>
        <v>41566.646726793486</v>
      </c>
      <c r="L99" s="41">
        <f>19157.6575629929*Deflactores!$I$5</f>
        <v>44318.280984038516</v>
      </c>
      <c r="M99" s="41">
        <f>26678.1905786701*Deflactores!$J$5</f>
        <v>60504.684604212198</v>
      </c>
      <c r="N99" s="41">
        <f>20476.8992045138*Deflactores!$K$5</f>
        <v>45013.029986868118</v>
      </c>
      <c r="O99" s="41">
        <f>27590.4748416657*Deflactores!$L$5</f>
        <v>58471.297477867811</v>
      </c>
      <c r="P99" s="41">
        <f>32789.8224625118*Deflactores!$M$5</f>
        <v>67834.878499980303</v>
      </c>
      <c r="Q99" s="41">
        <f>38799.7487277938*Deflactores!$N$5</f>
        <v>78740.518460732332</v>
      </c>
      <c r="R99" s="41">
        <f>38961.2009183642*Deflactores!$O$5</f>
        <v>76276.452652468099</v>
      </c>
      <c r="S99" s="41">
        <f>40346.9232374241*Deflactores!$P$5</f>
        <v>73980.852550879019</v>
      </c>
      <c r="T99" s="41">
        <f>35578.7360453404*Deflactores!$Q$5</f>
        <v>61690.607810340101</v>
      </c>
      <c r="U99" s="41">
        <f>35465.7740558358*Deflactores!$R$5</f>
        <v>59078.433080085772</v>
      </c>
      <c r="V99" s="41">
        <f>30074.2400329509*Deflactores!$S$5</f>
        <v>48553.290000174275</v>
      </c>
    </row>
    <row r="100" spans="2:22" x14ac:dyDescent="0.2">
      <c r="B100" s="36" t="s">
        <v>47</v>
      </c>
      <c r="C100" s="78" t="s">
        <v>48</v>
      </c>
      <c r="D100" s="43">
        <f t="shared" ref="D100:V100" si="34">+D87+D99</f>
        <v>112604.14312228248</v>
      </c>
      <c r="E100" s="43">
        <f t="shared" si="34"/>
        <v>123255.40174767576</v>
      </c>
      <c r="F100" s="43">
        <f t="shared" si="34"/>
        <v>119311.30592203457</v>
      </c>
      <c r="G100" s="43">
        <f t="shared" si="34"/>
        <v>118326.56526670959</v>
      </c>
      <c r="H100" s="43">
        <f t="shared" si="34"/>
        <v>137591.44866689912</v>
      </c>
      <c r="I100" s="43">
        <f t="shared" si="34"/>
        <v>150915.22133819829</v>
      </c>
      <c r="J100" s="43">
        <f t="shared" si="34"/>
        <v>154220.66438965724</v>
      </c>
      <c r="K100" s="43">
        <f t="shared" si="34"/>
        <v>176402.72168067333</v>
      </c>
      <c r="L100" s="43">
        <f t="shared" si="34"/>
        <v>187166.03087821888</v>
      </c>
      <c r="M100" s="43">
        <f t="shared" si="34"/>
        <v>216447.3898306647</v>
      </c>
      <c r="N100" s="43">
        <f t="shared" si="34"/>
        <v>213523.84638233506</v>
      </c>
      <c r="O100" s="43">
        <f t="shared" si="34"/>
        <v>230190.4992644423</v>
      </c>
      <c r="P100" s="43">
        <f t="shared" si="34"/>
        <v>250058.95778335573</v>
      </c>
      <c r="Q100" s="43">
        <f t="shared" si="34"/>
        <v>275680.31407113525</v>
      </c>
      <c r="R100" s="43">
        <f t="shared" si="34"/>
        <v>281035.50476963108</v>
      </c>
      <c r="S100" s="43">
        <f t="shared" si="34"/>
        <v>272863.73808013072</v>
      </c>
      <c r="T100" s="43">
        <f t="shared" si="34"/>
        <v>263452.03970626928</v>
      </c>
      <c r="U100" s="43">
        <f t="shared" si="34"/>
        <v>281151.88412348292</v>
      </c>
      <c r="V100" s="43">
        <f t="shared" si="34"/>
        <v>271175.55295787426</v>
      </c>
    </row>
    <row r="101" spans="2:22" x14ac:dyDescent="0.2">
      <c r="B101" s="38" t="s">
        <v>49</v>
      </c>
      <c r="C101" s="79" t="s">
        <v>63</v>
      </c>
      <c r="D101" s="44">
        <f t="shared" ref="D101:V101" si="35">+D87+D92+D99</f>
        <v>171331.60052943387</v>
      </c>
      <c r="E101" s="44">
        <f t="shared" si="35"/>
        <v>196422.3488616317</v>
      </c>
      <c r="F101" s="44">
        <f t="shared" si="35"/>
        <v>192449.51105680101</v>
      </c>
      <c r="G101" s="44">
        <f t="shared" si="35"/>
        <v>200535.24508279131</v>
      </c>
      <c r="H101" s="44">
        <f t="shared" si="35"/>
        <v>210979.35625978973</v>
      </c>
      <c r="I101" s="44">
        <f t="shared" si="35"/>
        <v>235803.77207143657</v>
      </c>
      <c r="J101" s="44">
        <f t="shared" si="35"/>
        <v>253155.46319189764</v>
      </c>
      <c r="K101" s="44">
        <f t="shared" si="35"/>
        <v>271065.09166560043</v>
      </c>
      <c r="L101" s="44">
        <f t="shared" si="35"/>
        <v>269424.35482642043</v>
      </c>
      <c r="M101" s="44">
        <f t="shared" si="35"/>
        <v>290672.81023140665</v>
      </c>
      <c r="N101" s="44">
        <f t="shared" si="35"/>
        <v>284334.18908356922</v>
      </c>
      <c r="O101" s="44">
        <f t="shared" si="35"/>
        <v>301592.32490711386</v>
      </c>
      <c r="P101" s="44">
        <f t="shared" si="35"/>
        <v>325030.71323135559</v>
      </c>
      <c r="Q101" s="44">
        <f t="shared" si="35"/>
        <v>352424.1825532763</v>
      </c>
      <c r="R101" s="44">
        <f t="shared" si="35"/>
        <v>359317.29307743639</v>
      </c>
      <c r="S101" s="44">
        <f t="shared" si="35"/>
        <v>357310.50833291747</v>
      </c>
      <c r="T101" s="44">
        <f t="shared" si="35"/>
        <v>332181.60791634291</v>
      </c>
      <c r="U101" s="44">
        <f t="shared" si="35"/>
        <v>362631.65981231374</v>
      </c>
      <c r="V101" s="44">
        <f t="shared" si="35"/>
        <v>329932.94175215234</v>
      </c>
    </row>
    <row r="102" spans="2:22" x14ac:dyDescent="0.2">
      <c r="B102" s="36" t="s">
        <v>64</v>
      </c>
      <c r="C102" s="78" t="s">
        <v>65</v>
      </c>
      <c r="D102" s="43">
        <f t="shared" ref="D102:V102" si="36">+D26</f>
        <v>127061.81947214218</v>
      </c>
      <c r="E102" s="43">
        <f t="shared" si="36"/>
        <v>143347.67210441464</v>
      </c>
      <c r="F102" s="43">
        <f t="shared" si="36"/>
        <v>141900.78307788781</v>
      </c>
      <c r="G102" s="43">
        <f t="shared" si="36"/>
        <v>135105.69626355026</v>
      </c>
      <c r="H102" s="43">
        <f t="shared" si="36"/>
        <v>158106.95203872834</v>
      </c>
      <c r="I102" s="43">
        <f t="shared" si="36"/>
        <v>170310.133582593</v>
      </c>
      <c r="J102" s="43">
        <f t="shared" si="36"/>
        <v>176374.11325182018</v>
      </c>
      <c r="K102" s="43">
        <f t="shared" si="36"/>
        <v>193938.33639991417</v>
      </c>
      <c r="L102" s="43">
        <f t="shared" si="36"/>
        <v>199888.87686687961</v>
      </c>
      <c r="M102" s="43">
        <f t="shared" si="36"/>
        <v>238159.58477640944</v>
      </c>
      <c r="N102" s="43">
        <f t="shared" si="36"/>
        <v>241516.00856821408</v>
      </c>
      <c r="O102" s="43">
        <f t="shared" si="36"/>
        <v>246098.91961046902</v>
      </c>
      <c r="P102" s="43">
        <f t="shared" si="36"/>
        <v>267303.11946781899</v>
      </c>
      <c r="Q102" s="43">
        <f t="shared" si="36"/>
        <v>293086.47183310136</v>
      </c>
      <c r="R102" s="43">
        <f t="shared" si="36"/>
        <v>305427.33888335462</v>
      </c>
      <c r="S102" s="43">
        <f t="shared" si="36"/>
        <v>294512.00718811294</v>
      </c>
      <c r="T102" s="43">
        <f t="shared" si="36"/>
        <v>283876.92650821747</v>
      </c>
      <c r="U102" s="43">
        <f t="shared" si="36"/>
        <v>298690.83617186081</v>
      </c>
      <c r="V102" s="43">
        <f t="shared" si="36"/>
        <v>299205.9813762898</v>
      </c>
    </row>
    <row r="103" spans="2:22" x14ac:dyDescent="0.2">
      <c r="B103" s="38" t="s">
        <v>66</v>
      </c>
      <c r="C103" s="79" t="s">
        <v>70</v>
      </c>
      <c r="D103" s="45">
        <f t="shared" ref="D103:V103" si="37">+D100/D$26*100</f>
        <v>88.621541537873625</v>
      </c>
      <c r="E103" s="45">
        <f t="shared" si="37"/>
        <v>85.983539138254272</v>
      </c>
      <c r="F103" s="45">
        <f t="shared" si="37"/>
        <v>84.080794576408991</v>
      </c>
      <c r="G103" s="45">
        <f t="shared" si="37"/>
        <v>87.580737555202944</v>
      </c>
      <c r="H103" s="45">
        <f t="shared" si="37"/>
        <v>87.024287605769572</v>
      </c>
      <c r="I103" s="45">
        <f t="shared" si="37"/>
        <v>88.612003386757351</v>
      </c>
      <c r="J103" s="45">
        <f t="shared" si="37"/>
        <v>87.4395122653101</v>
      </c>
      <c r="K103" s="45">
        <f t="shared" si="37"/>
        <v>90.958149355740986</v>
      </c>
      <c r="L103" s="45">
        <f t="shared" si="37"/>
        <v>93.635040534479671</v>
      </c>
      <c r="M103" s="45">
        <f t="shared" si="37"/>
        <v>90.883341954879242</v>
      </c>
      <c r="N103" s="45">
        <f t="shared" si="37"/>
        <v>88.40981086437057</v>
      </c>
      <c r="O103" s="45">
        <f t="shared" si="37"/>
        <v>93.535761810248118</v>
      </c>
      <c r="P103" s="45">
        <f t="shared" si="37"/>
        <v>93.548836347740675</v>
      </c>
      <c r="Q103" s="45">
        <f t="shared" si="37"/>
        <v>94.061084548495273</v>
      </c>
      <c r="R103" s="45">
        <f t="shared" si="37"/>
        <v>92.013866799579787</v>
      </c>
      <c r="S103" s="45">
        <f t="shared" si="37"/>
        <v>92.649444308002387</v>
      </c>
      <c r="T103" s="45">
        <f t="shared" si="37"/>
        <v>92.805020452637265</v>
      </c>
      <c r="U103" s="45">
        <f t="shared" si="37"/>
        <v>94.128058204542199</v>
      </c>
      <c r="V103" s="45">
        <f t="shared" si="37"/>
        <v>90.631728587282595</v>
      </c>
    </row>
    <row r="104" spans="2:22" x14ac:dyDescent="0.2">
      <c r="B104" s="1" t="s">
        <v>52</v>
      </c>
      <c r="C104" s="15"/>
      <c r="D104" s="12"/>
      <c r="E104" s="12"/>
      <c r="F104" s="12"/>
      <c r="G104" s="12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10" spans="2:22" ht="18" customHeight="1" x14ac:dyDescent="0.2">
      <c r="C110" s="131"/>
      <c r="D110" s="164" t="s">
        <v>71</v>
      </c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</row>
    <row r="111" spans="2:22" x14ac:dyDescent="0.2">
      <c r="U111" s="29"/>
      <c r="V111" s="29"/>
    </row>
    <row r="112" spans="2:22" x14ac:dyDescent="0.2">
      <c r="B112" s="167"/>
      <c r="C112" s="161" t="s">
        <v>38</v>
      </c>
      <c r="D112" s="155">
        <v>2000</v>
      </c>
      <c r="E112" s="155">
        <v>2001</v>
      </c>
      <c r="F112" s="155">
        <v>2002</v>
      </c>
      <c r="G112" s="155">
        <v>2003</v>
      </c>
      <c r="H112" s="155">
        <v>2004</v>
      </c>
      <c r="I112" s="155">
        <v>2005</v>
      </c>
      <c r="J112" s="155">
        <v>2006</v>
      </c>
      <c r="K112" s="155">
        <v>2007</v>
      </c>
      <c r="L112" s="155">
        <v>2008</v>
      </c>
      <c r="M112" s="155">
        <v>2009</v>
      </c>
      <c r="N112" s="155">
        <v>2010</v>
      </c>
      <c r="O112" s="155">
        <v>2011</v>
      </c>
      <c r="P112" s="155">
        <v>2012</v>
      </c>
      <c r="Q112" s="155">
        <v>2013</v>
      </c>
      <c r="R112" s="155">
        <v>2014</v>
      </c>
      <c r="S112" s="155">
        <v>2015</v>
      </c>
      <c r="T112" s="155">
        <v>2016</v>
      </c>
      <c r="U112" s="155">
        <v>2017</v>
      </c>
      <c r="V112" s="155">
        <v>2018</v>
      </c>
    </row>
    <row r="113" spans="2:22" ht="12" customHeight="1" thickBot="1" x14ac:dyDescent="0.25">
      <c r="B113" s="156"/>
      <c r="C113" s="162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</row>
    <row r="114" spans="2:22" x14ac:dyDescent="0.2">
      <c r="B114" s="34" t="s">
        <v>39</v>
      </c>
      <c r="C114" s="76" t="s">
        <v>40</v>
      </c>
      <c r="D114" s="46">
        <f t="shared" ref="D114:V114" si="38">+IFERROR(IF(D87&gt;0,+((D87/D13)*100)," "),"")</f>
        <v>93.05538052890391</v>
      </c>
      <c r="E114" s="46">
        <f t="shared" si="38"/>
        <v>93.693791271244237</v>
      </c>
      <c r="F114" s="46">
        <f t="shared" si="38"/>
        <v>93.029131508753565</v>
      </c>
      <c r="G114" s="46">
        <f t="shared" si="38"/>
        <v>92.86689752986554</v>
      </c>
      <c r="H114" s="46">
        <f t="shared" si="38"/>
        <v>92.637108851495071</v>
      </c>
      <c r="I114" s="46">
        <f t="shared" si="38"/>
        <v>94.092038877653792</v>
      </c>
      <c r="J114" s="46">
        <f t="shared" si="38"/>
        <v>93.869185167428768</v>
      </c>
      <c r="K114" s="46">
        <f t="shared" si="38"/>
        <v>95.190119753163387</v>
      </c>
      <c r="L114" s="46">
        <f t="shared" si="38"/>
        <v>96.00839350884381</v>
      </c>
      <c r="M114" s="46">
        <f t="shared" si="38"/>
        <v>93.143211644840804</v>
      </c>
      <c r="N114" s="46">
        <f t="shared" si="38"/>
        <v>91.059754703086142</v>
      </c>
      <c r="O114" s="46">
        <f t="shared" si="38"/>
        <v>97.314152988721958</v>
      </c>
      <c r="P114" s="46">
        <f t="shared" si="38"/>
        <v>96.658630987606841</v>
      </c>
      <c r="Q114" s="46">
        <f t="shared" si="38"/>
        <v>96.297526450590738</v>
      </c>
      <c r="R114" s="46">
        <f t="shared" si="38"/>
        <v>93.781170160996709</v>
      </c>
      <c r="S114" s="46">
        <f t="shared" si="38"/>
        <v>94.704798159070307</v>
      </c>
      <c r="T114" s="46">
        <f t="shared" si="38"/>
        <v>94.927919240550125</v>
      </c>
      <c r="U114" s="46">
        <f t="shared" si="38"/>
        <v>95.98519731731605</v>
      </c>
      <c r="V114" s="46">
        <f t="shared" si="38"/>
        <v>93.99163931771794</v>
      </c>
    </row>
    <row r="115" spans="2:22" x14ac:dyDescent="0.2">
      <c r="B115" s="40"/>
      <c r="C115" s="77" t="s">
        <v>56</v>
      </c>
      <c r="D115" s="47">
        <f t="shared" ref="D115:V115" si="39">+IFERROR(IF(D88&gt;0,+((D88/D14)*100)," "),"")</f>
        <v>97.979628742553587</v>
      </c>
      <c r="E115" s="47">
        <f t="shared" si="39"/>
        <v>97.377735101089229</v>
      </c>
      <c r="F115" s="47">
        <f t="shared" si="39"/>
        <v>98.112652198823554</v>
      </c>
      <c r="G115" s="47">
        <f t="shared" si="39"/>
        <v>98.245279351602036</v>
      </c>
      <c r="H115" s="47">
        <f t="shared" si="39"/>
        <v>96.308971652689152</v>
      </c>
      <c r="I115" s="47">
        <f t="shared" si="39"/>
        <v>98.327053832256368</v>
      </c>
      <c r="J115" s="47">
        <f t="shared" si="39"/>
        <v>97.817642108944725</v>
      </c>
      <c r="K115" s="47">
        <f t="shared" si="39"/>
        <v>97.343797975086062</v>
      </c>
      <c r="L115" s="47">
        <f t="shared" si="39"/>
        <v>97.296348893478836</v>
      </c>
      <c r="M115" s="47">
        <f t="shared" si="39"/>
        <v>97.211167987289684</v>
      </c>
      <c r="N115" s="47">
        <f t="shared" si="39"/>
        <v>95.369786602101982</v>
      </c>
      <c r="O115" s="47">
        <f t="shared" si="39"/>
        <v>98.299585533188633</v>
      </c>
      <c r="P115" s="47">
        <f t="shared" si="39"/>
        <v>97.079721569446235</v>
      </c>
      <c r="Q115" s="47">
        <f t="shared" si="39"/>
        <v>95.459288077698034</v>
      </c>
      <c r="R115" s="47">
        <f t="shared" si="39"/>
        <v>94.494010682704271</v>
      </c>
      <c r="S115" s="47">
        <f t="shared" si="39"/>
        <v>95.890543061131893</v>
      </c>
      <c r="T115" s="47">
        <f t="shared" si="39"/>
        <v>98.46200506646521</v>
      </c>
      <c r="U115" s="47">
        <f t="shared" si="39"/>
        <v>98.649054678756755</v>
      </c>
      <c r="V115" s="47">
        <f t="shared" si="39"/>
        <v>96.326834234001851</v>
      </c>
    </row>
    <row r="116" spans="2:22" x14ac:dyDescent="0.2">
      <c r="B116" s="40"/>
      <c r="C116" s="77" t="s">
        <v>57</v>
      </c>
      <c r="D116" s="47">
        <f t="shared" ref="D116:V116" si="40">+IFERROR(IF(D89&gt;0,+((D89/D15)*100)," "),"")</f>
        <v>88.077593980205108</v>
      </c>
      <c r="E116" s="47">
        <f t="shared" si="40"/>
        <v>81.946942900145629</v>
      </c>
      <c r="F116" s="47">
        <f t="shared" si="40"/>
        <v>77.395577769628389</v>
      </c>
      <c r="G116" s="47">
        <f t="shared" si="40"/>
        <v>76.998449701319785</v>
      </c>
      <c r="H116" s="47">
        <f t="shared" si="40"/>
        <v>72.398604118645366</v>
      </c>
      <c r="I116" s="47">
        <f t="shared" si="40"/>
        <v>73.109965333485619</v>
      </c>
      <c r="J116" s="47">
        <f t="shared" si="40"/>
        <v>76.734926153436206</v>
      </c>
      <c r="K116" s="47">
        <f t="shared" si="40"/>
        <v>91.59486173294421</v>
      </c>
      <c r="L116" s="47">
        <f t="shared" si="40"/>
        <v>93.948824240392256</v>
      </c>
      <c r="M116" s="47">
        <f t="shared" si="40"/>
        <v>92.239612268412358</v>
      </c>
      <c r="N116" s="47">
        <f t="shared" si="40"/>
        <v>92.415044089779769</v>
      </c>
      <c r="O116" s="47">
        <f t="shared" si="40"/>
        <v>91.049594671492159</v>
      </c>
      <c r="P116" s="47">
        <f t="shared" si="40"/>
        <v>92.015698445190282</v>
      </c>
      <c r="Q116" s="47">
        <f t="shared" si="40"/>
        <v>93.682059522053933</v>
      </c>
      <c r="R116" s="47">
        <f t="shared" si="40"/>
        <v>93.460973450568446</v>
      </c>
      <c r="S116" s="47">
        <f t="shared" si="40"/>
        <v>94.084622158462508</v>
      </c>
      <c r="T116" s="47">
        <f t="shared" si="40"/>
        <v>94.719561461408418</v>
      </c>
      <c r="U116" s="47">
        <f t="shared" si="40"/>
        <v>95.401429757356951</v>
      </c>
      <c r="V116" s="47">
        <f t="shared" si="40"/>
        <v>85.846292077240051</v>
      </c>
    </row>
    <row r="117" spans="2:22" x14ac:dyDescent="0.2">
      <c r="B117" s="40"/>
      <c r="C117" s="77" t="s">
        <v>58</v>
      </c>
      <c r="D117" s="47">
        <f t="shared" ref="D117:V117" si="41">+IFERROR(IF(D90&gt;0,+((D90/D16)*100)," "),"")</f>
        <v>91.93199680311281</v>
      </c>
      <c r="E117" s="47">
        <f t="shared" si="41"/>
        <v>93.980845274157403</v>
      </c>
      <c r="F117" s="47">
        <f t="shared" si="41"/>
        <v>93.264004939842465</v>
      </c>
      <c r="G117" s="47">
        <f t="shared" si="41"/>
        <v>93.007318845677261</v>
      </c>
      <c r="H117" s="47">
        <f t="shared" si="41"/>
        <v>93.691705296802084</v>
      </c>
      <c r="I117" s="47">
        <f t="shared" si="41"/>
        <v>95.186646646490018</v>
      </c>
      <c r="J117" s="47">
        <f t="shared" si="41"/>
        <v>95.081986221983811</v>
      </c>
      <c r="K117" s="47">
        <f t="shared" si="41"/>
        <v>95.084049189868836</v>
      </c>
      <c r="L117" s="47">
        <f t="shared" si="41"/>
        <v>95.971787488572033</v>
      </c>
      <c r="M117" s="47">
        <f t="shared" si="41"/>
        <v>92.286890664999447</v>
      </c>
      <c r="N117" s="47">
        <f t="shared" si="41"/>
        <v>89.923802913909796</v>
      </c>
      <c r="O117" s="47">
        <f t="shared" si="41"/>
        <v>98.041341221742186</v>
      </c>
      <c r="P117" s="47">
        <f t="shared" si="41"/>
        <v>97.488367497795565</v>
      </c>
      <c r="Q117" s="47">
        <f t="shared" si="41"/>
        <v>97.174018601782535</v>
      </c>
      <c r="R117" s="47">
        <f t="shared" si="41"/>
        <v>93.704307409693371</v>
      </c>
      <c r="S117" s="47">
        <f t="shared" si="41"/>
        <v>94.645581704714303</v>
      </c>
      <c r="T117" s="47">
        <f t="shared" si="41"/>
        <v>94.011600655172401</v>
      </c>
      <c r="U117" s="47">
        <f t="shared" si="41"/>
        <v>95.336980732589055</v>
      </c>
      <c r="V117" s="47">
        <f t="shared" si="41"/>
        <v>94.024692909801715</v>
      </c>
    </row>
    <row r="118" spans="2:22" x14ac:dyDescent="0.2">
      <c r="B118" s="40"/>
      <c r="C118" s="77" t="s">
        <v>59</v>
      </c>
      <c r="D118" s="47">
        <f t="shared" ref="D118:V118" si="42">+IFERROR(IF(D91&gt;0,+((D91/D17)*100)," "),"")</f>
        <v>86.516148263220998</v>
      </c>
      <c r="E118" s="47">
        <f t="shared" si="42"/>
        <v>72.909339506271081</v>
      </c>
      <c r="F118" s="47">
        <f t="shared" si="42"/>
        <v>80.017429227012002</v>
      </c>
      <c r="G118" s="47">
        <f t="shared" si="42"/>
        <v>81.181412595367192</v>
      </c>
      <c r="H118" s="47">
        <f t="shared" si="42"/>
        <v>81.431600361032082</v>
      </c>
      <c r="I118" s="47">
        <f t="shared" si="42"/>
        <v>78.185710886100253</v>
      </c>
      <c r="J118" s="47">
        <f t="shared" si="42"/>
        <v>65.977814747410463</v>
      </c>
      <c r="K118" s="47">
        <f t="shared" si="42"/>
        <v>87.536969665890254</v>
      </c>
      <c r="L118" s="47">
        <f t="shared" si="42"/>
        <v>89.096242153102409</v>
      </c>
      <c r="M118" s="47">
        <f t="shared" si="42"/>
        <v>85.600694349703488</v>
      </c>
      <c r="N118" s="47">
        <f t="shared" si="42"/>
        <v>87.356469628460758</v>
      </c>
      <c r="O118" s="47">
        <f t="shared" si="42"/>
        <v>82.060807214210882</v>
      </c>
      <c r="P118" s="47">
        <f t="shared" si="42"/>
        <v>77.63584704838469</v>
      </c>
      <c r="Q118" s="47">
        <f t="shared" si="42"/>
        <v>80.69773361646412</v>
      </c>
      <c r="R118" s="47">
        <f t="shared" si="42"/>
        <v>88.618344389408605</v>
      </c>
      <c r="S118" s="47">
        <f t="shared" si="42"/>
        <v>83.445489923784066</v>
      </c>
      <c r="T118" s="47">
        <f t="shared" si="42"/>
        <v>88.668139119897305</v>
      </c>
      <c r="U118" s="47">
        <f t="shared" si="42"/>
        <v>93.224045520874995</v>
      </c>
      <c r="V118" s="47">
        <f t="shared" si="42"/>
        <v>89.709292019173375</v>
      </c>
    </row>
    <row r="119" spans="2:22" x14ac:dyDescent="0.2">
      <c r="B119" s="34" t="s">
        <v>41</v>
      </c>
      <c r="C119" s="76" t="s">
        <v>42</v>
      </c>
      <c r="D119" s="46">
        <f t="shared" ref="D119:V119" si="43">+IFERROR(IF(D92&gt;0,+((D92/D18)*100)," "),"")</f>
        <v>95.10174456579</v>
      </c>
      <c r="E119" s="46">
        <f t="shared" si="43"/>
        <v>98.60857814059834</v>
      </c>
      <c r="F119" s="46">
        <f t="shared" si="43"/>
        <v>98.291302774796549</v>
      </c>
      <c r="G119" s="46">
        <f t="shared" si="43"/>
        <v>98.820033641692774</v>
      </c>
      <c r="H119" s="46">
        <f t="shared" si="43"/>
        <v>94.63350119370844</v>
      </c>
      <c r="I119" s="46">
        <f t="shared" si="43"/>
        <v>97.793353340478433</v>
      </c>
      <c r="J119" s="46">
        <f t="shared" si="43"/>
        <v>96.529499255135093</v>
      </c>
      <c r="K119" s="46">
        <f t="shared" si="43"/>
        <v>96.652546928496946</v>
      </c>
      <c r="L119" s="46">
        <f t="shared" si="43"/>
        <v>91.445978899489688</v>
      </c>
      <c r="M119" s="46">
        <f t="shared" si="43"/>
        <v>88.372220883912007</v>
      </c>
      <c r="N119" s="46">
        <f t="shared" si="43"/>
        <v>80.750717601495992</v>
      </c>
      <c r="O119" s="46">
        <f t="shared" si="43"/>
        <v>95.751875729227592</v>
      </c>
      <c r="P119" s="46">
        <f t="shared" si="43"/>
        <v>99.529244319165272</v>
      </c>
      <c r="Q119" s="46">
        <f t="shared" si="43"/>
        <v>84.901653509687264</v>
      </c>
      <c r="R119" s="46">
        <f t="shared" si="43"/>
        <v>97.639362048317523</v>
      </c>
      <c r="S119" s="46">
        <f t="shared" si="43"/>
        <v>98.036737468111284</v>
      </c>
      <c r="T119" s="46">
        <f t="shared" si="43"/>
        <v>84.867324137840271</v>
      </c>
      <c r="U119" s="46">
        <f t="shared" si="43"/>
        <v>97.813726372046986</v>
      </c>
      <c r="V119" s="46">
        <f t="shared" si="43"/>
        <v>75.933105762449145</v>
      </c>
    </row>
    <row r="120" spans="2:22" x14ac:dyDescent="0.2">
      <c r="B120" s="34"/>
      <c r="C120" s="76" t="s">
        <v>43</v>
      </c>
      <c r="D120" s="46">
        <f t="shared" ref="D120:V120" si="44">+IFERROR(IF(D93&gt;0,+((D93/D19)*100)," "),"")</f>
        <v>97.188738044958413</v>
      </c>
      <c r="E120" s="46">
        <f t="shared" si="44"/>
        <v>98.22725697163321</v>
      </c>
      <c r="F120" s="46">
        <f t="shared" si="44"/>
        <v>98.428720960552354</v>
      </c>
      <c r="G120" s="46">
        <f t="shared" si="44"/>
        <v>98.758523876043228</v>
      </c>
      <c r="H120" s="46">
        <f t="shared" si="44"/>
        <v>87.934827309569172</v>
      </c>
      <c r="I120" s="46">
        <f t="shared" si="44"/>
        <v>97.719218567416149</v>
      </c>
      <c r="J120" s="46">
        <f t="shared" si="44"/>
        <v>90.718025350197664</v>
      </c>
      <c r="K120" s="46">
        <f t="shared" si="44"/>
        <v>96.397063107418361</v>
      </c>
      <c r="L120" s="46">
        <f t="shared" si="44"/>
        <v>89.332480426771014</v>
      </c>
      <c r="M120" s="46">
        <f t="shared" si="44"/>
        <v>82.844645106584125</v>
      </c>
      <c r="N120" s="46">
        <f t="shared" si="44"/>
        <v>81.524851802445568</v>
      </c>
      <c r="O120" s="46">
        <f t="shared" si="44"/>
        <v>86.876974209165724</v>
      </c>
      <c r="P120" s="46">
        <f t="shared" si="44"/>
        <v>98.667044293806441</v>
      </c>
      <c r="Q120" s="46">
        <f t="shared" si="44"/>
        <v>97.133104465074311</v>
      </c>
      <c r="R120" s="46">
        <f t="shared" si="44"/>
        <v>98.08561876202188</v>
      </c>
      <c r="S120" s="46">
        <f t="shared" si="44"/>
        <v>98.810627289613421</v>
      </c>
      <c r="T120" s="46">
        <f t="shared" si="44"/>
        <v>95.720010623344237</v>
      </c>
      <c r="U120" s="46">
        <f t="shared" si="44"/>
        <v>97.002965948353506</v>
      </c>
      <c r="V120" s="46">
        <f t="shared" si="44"/>
        <v>85.895659392676507</v>
      </c>
    </row>
    <row r="121" spans="2:22" x14ac:dyDescent="0.2">
      <c r="B121" s="32"/>
      <c r="C121" s="77" t="s">
        <v>60</v>
      </c>
      <c r="D121" s="47">
        <f t="shared" ref="D121:V121" si="45">+IFERROR(IF(D94&gt;0,+((D94/D20)*100)," "),"")</f>
        <v>97.320153946589542</v>
      </c>
      <c r="E121" s="47">
        <f t="shared" si="45"/>
        <v>98.472737008231093</v>
      </c>
      <c r="F121" s="47">
        <f t="shared" si="45"/>
        <v>98.883328719788935</v>
      </c>
      <c r="G121" s="47">
        <f t="shared" si="45"/>
        <v>98.975299949445784</v>
      </c>
      <c r="H121" s="47">
        <f t="shared" si="45"/>
        <v>89.420785779121843</v>
      </c>
      <c r="I121" s="47">
        <f t="shared" si="45"/>
        <v>98.164360828373546</v>
      </c>
      <c r="J121" s="47">
        <f t="shared" si="45"/>
        <v>91.184447002212494</v>
      </c>
      <c r="K121" s="47">
        <f t="shared" si="45"/>
        <v>94.58423427810834</v>
      </c>
      <c r="L121" s="47">
        <f t="shared" si="45"/>
        <v>84.003114893863682</v>
      </c>
      <c r="M121" s="47">
        <f t="shared" si="45"/>
        <v>83.58344954789186</v>
      </c>
      <c r="N121" s="47">
        <f t="shared" si="45"/>
        <v>86.623974375915353</v>
      </c>
      <c r="O121" s="47">
        <f t="shared" si="45"/>
        <v>78.477459041415727</v>
      </c>
      <c r="P121" s="47">
        <f t="shared" si="45"/>
        <v>99.9720711122349</v>
      </c>
      <c r="Q121" s="47">
        <f t="shared" si="45"/>
        <v>98.172195874031914</v>
      </c>
      <c r="R121" s="47">
        <f t="shared" si="45"/>
        <v>97.123754734755067</v>
      </c>
      <c r="S121" s="47">
        <f t="shared" si="45"/>
        <v>98.669180250556991</v>
      </c>
      <c r="T121" s="47">
        <f t="shared" si="45"/>
        <v>96.016559828926262</v>
      </c>
      <c r="U121" s="47">
        <f t="shared" si="45"/>
        <v>97.185137731188547</v>
      </c>
      <c r="V121" s="47">
        <f t="shared" si="45"/>
        <v>96.430814576422378</v>
      </c>
    </row>
    <row r="122" spans="2:22" x14ac:dyDescent="0.2">
      <c r="B122" s="32"/>
      <c r="C122" s="77" t="s">
        <v>61</v>
      </c>
      <c r="D122" s="47">
        <f t="shared" ref="D122:V122" si="46">+IFERROR(IF(D95&gt;0,+((D95/D21)*100)," "),"")</f>
        <v>97.053657579810576</v>
      </c>
      <c r="E122" s="47">
        <f t="shared" si="46"/>
        <v>97.910699855236999</v>
      </c>
      <c r="F122" s="47">
        <f t="shared" si="46"/>
        <v>97.75937483652352</v>
      </c>
      <c r="G122" s="47">
        <f t="shared" si="46"/>
        <v>98.443047937250611</v>
      </c>
      <c r="H122" s="47">
        <f t="shared" si="46"/>
        <v>86.58822263905644</v>
      </c>
      <c r="I122" s="47">
        <f t="shared" si="46"/>
        <v>96.877553060080118</v>
      </c>
      <c r="J122" s="47">
        <f t="shared" si="46"/>
        <v>90.231568126779038</v>
      </c>
      <c r="K122" s="47">
        <f t="shared" si="46"/>
        <v>98.086111421672399</v>
      </c>
      <c r="L122" s="47">
        <f t="shared" si="46"/>
        <v>94.75884629683118</v>
      </c>
      <c r="M122" s="47">
        <f t="shared" si="46"/>
        <v>82.32745179641465</v>
      </c>
      <c r="N122" s="47">
        <f t="shared" si="46"/>
        <v>77.351947271157485</v>
      </c>
      <c r="O122" s="47">
        <f t="shared" si="46"/>
        <v>93.217015767661763</v>
      </c>
      <c r="P122" s="47">
        <f t="shared" si="46"/>
        <v>97.2685850286869</v>
      </c>
      <c r="Q122" s="47">
        <f t="shared" si="46"/>
        <v>96.381404444130112</v>
      </c>
      <c r="R122" s="47">
        <f t="shared" si="46"/>
        <v>99.275841580040222</v>
      </c>
      <c r="S122" s="47">
        <f t="shared" si="46"/>
        <v>98.980630655977421</v>
      </c>
      <c r="T122" s="47">
        <f t="shared" si="46"/>
        <v>95.54765922121598</v>
      </c>
      <c r="U122" s="47">
        <f t="shared" si="46"/>
        <v>96.782715152538628</v>
      </c>
      <c r="V122" s="47">
        <f t="shared" si="46"/>
        <v>81.896609981357301</v>
      </c>
    </row>
    <row r="123" spans="2:22" x14ac:dyDescent="0.2">
      <c r="B123" s="34"/>
      <c r="C123" s="76" t="s">
        <v>44</v>
      </c>
      <c r="D123" s="46">
        <f t="shared" ref="D123:V123" si="47">+IFERROR(IF(D96&gt;0,+((D96/D22)*100)," "),"")</f>
        <v>94.165285886809954</v>
      </c>
      <c r="E123" s="46">
        <f t="shared" si="47"/>
        <v>98.83321860608288</v>
      </c>
      <c r="F123" s="46">
        <f t="shared" si="47"/>
        <v>98.192668179969829</v>
      </c>
      <c r="G123" s="46">
        <f t="shared" si="47"/>
        <v>98.878720430370166</v>
      </c>
      <c r="H123" s="46">
        <f t="shared" si="47"/>
        <v>98.237973033822456</v>
      </c>
      <c r="I123" s="46">
        <f t="shared" si="47"/>
        <v>97.845983337709214</v>
      </c>
      <c r="J123" s="46">
        <f t="shared" si="47"/>
        <v>98.709378525794989</v>
      </c>
      <c r="K123" s="46">
        <f t="shared" si="47"/>
        <v>96.714924423691045</v>
      </c>
      <c r="L123" s="46">
        <f t="shared" si="47"/>
        <v>92.010131305382615</v>
      </c>
      <c r="M123" s="46">
        <f t="shared" si="47"/>
        <v>89.961335124293456</v>
      </c>
      <c r="N123" s="46">
        <f t="shared" si="47"/>
        <v>80.537269808361216</v>
      </c>
      <c r="O123" s="46">
        <f t="shared" si="47"/>
        <v>97.96804636463466</v>
      </c>
      <c r="P123" s="46">
        <f t="shared" si="47"/>
        <v>99.718777348710333</v>
      </c>
      <c r="Q123" s="46">
        <f t="shared" si="47"/>
        <v>82.597764096791877</v>
      </c>
      <c r="R123" s="46">
        <f t="shared" si="47"/>
        <v>97.513441814712493</v>
      </c>
      <c r="S123" s="46">
        <f t="shared" si="47"/>
        <v>97.796228776052288</v>
      </c>
      <c r="T123" s="46">
        <f t="shared" si="47"/>
        <v>82.030902771071268</v>
      </c>
      <c r="U123" s="46">
        <f t="shared" si="47"/>
        <v>98.141806822461064</v>
      </c>
      <c r="V123" s="46">
        <f t="shared" si="47"/>
        <v>72.904265450337675</v>
      </c>
    </row>
    <row r="124" spans="2:22" x14ac:dyDescent="0.2">
      <c r="B124" s="32"/>
      <c r="C124" s="77" t="s">
        <v>60</v>
      </c>
      <c r="D124" s="47">
        <f t="shared" ref="D124:V124" si="48">+IFERROR(IF(D97&gt;0,+((D97/D23)*100)," "),"")</f>
        <v>95.15869975235465</v>
      </c>
      <c r="E124" s="47">
        <f t="shared" si="48"/>
        <v>98.674932714703033</v>
      </c>
      <c r="F124" s="47">
        <f t="shared" si="48"/>
        <v>98.260182834388203</v>
      </c>
      <c r="G124" s="47">
        <f t="shared" si="48"/>
        <v>99.307495108725348</v>
      </c>
      <c r="H124" s="47">
        <f t="shared" si="48"/>
        <v>98.78506572863057</v>
      </c>
      <c r="I124" s="47">
        <f t="shared" si="48"/>
        <v>98.693060886460131</v>
      </c>
      <c r="J124" s="47">
        <f t="shared" si="48"/>
        <v>99.528093069812414</v>
      </c>
      <c r="K124" s="47">
        <f t="shared" si="48"/>
        <v>95.589605112067915</v>
      </c>
      <c r="L124" s="47">
        <f t="shared" si="48"/>
        <v>87.860149094937583</v>
      </c>
      <c r="M124" s="47">
        <f t="shared" si="48"/>
        <v>85.349034994272301</v>
      </c>
      <c r="N124" s="47">
        <f t="shared" si="48"/>
        <v>75.557307839566008</v>
      </c>
      <c r="O124" s="47">
        <f t="shared" si="48"/>
        <v>96.927083622465034</v>
      </c>
      <c r="P124" s="47">
        <f t="shared" si="48"/>
        <v>99.548281168110748</v>
      </c>
      <c r="Q124" s="47">
        <f t="shared" si="48"/>
        <v>78.489099458989671</v>
      </c>
      <c r="R124" s="47">
        <f t="shared" si="48"/>
        <v>97.46092224970667</v>
      </c>
      <c r="S124" s="47">
        <f t="shared" si="48"/>
        <v>99.895478393148423</v>
      </c>
      <c r="T124" s="47">
        <f t="shared" si="48"/>
        <v>69.593905862466869</v>
      </c>
      <c r="U124" s="47">
        <f t="shared" si="48"/>
        <v>99.756062114259379</v>
      </c>
      <c r="V124" s="47">
        <f t="shared" si="48"/>
        <v>50.129681268643779</v>
      </c>
    </row>
    <row r="125" spans="2:22" x14ac:dyDescent="0.2">
      <c r="B125" s="32"/>
      <c r="C125" s="77" t="s">
        <v>61</v>
      </c>
      <c r="D125" s="47">
        <f t="shared" ref="D125:V125" si="49">+IFERROR(IF(D98&gt;0,+((D98/D24)*100)," "),"")</f>
        <v>92.89622731033522</v>
      </c>
      <c r="E125" s="47">
        <f t="shared" si="49"/>
        <v>99.096470757119391</v>
      </c>
      <c r="F125" s="47">
        <f t="shared" si="49"/>
        <v>98.088225996615378</v>
      </c>
      <c r="G125" s="47">
        <f t="shared" si="49"/>
        <v>98.431009171186844</v>
      </c>
      <c r="H125" s="47">
        <f t="shared" si="49"/>
        <v>97.557273010885595</v>
      </c>
      <c r="I125" s="47">
        <f t="shared" si="49"/>
        <v>96.922575885678441</v>
      </c>
      <c r="J125" s="47">
        <f t="shared" si="49"/>
        <v>97.456335127284106</v>
      </c>
      <c r="K125" s="47">
        <f t="shared" si="49"/>
        <v>98.440207875353948</v>
      </c>
      <c r="L125" s="47">
        <f t="shared" si="49"/>
        <v>98.371670156194668</v>
      </c>
      <c r="M125" s="47">
        <f t="shared" si="49"/>
        <v>95.782306856459471</v>
      </c>
      <c r="N125" s="47">
        <f t="shared" si="49"/>
        <v>87.436659516861141</v>
      </c>
      <c r="O125" s="47">
        <f t="shared" si="49"/>
        <v>99.120641961444704</v>
      </c>
      <c r="P125" s="47">
        <f t="shared" si="49"/>
        <v>99.934512956762205</v>
      </c>
      <c r="Q125" s="47">
        <f t="shared" si="49"/>
        <v>88.985343416326046</v>
      </c>
      <c r="R125" s="47">
        <f t="shared" si="49"/>
        <v>97.579419996355711</v>
      </c>
      <c r="S125" s="47">
        <f t="shared" si="49"/>
        <v>95.022634140221484</v>
      </c>
      <c r="T125" s="47">
        <f t="shared" si="49"/>
        <v>96.511622650620509</v>
      </c>
      <c r="U125" s="47">
        <f t="shared" si="49"/>
        <v>96.648797408586972</v>
      </c>
      <c r="V125" s="47">
        <f t="shared" si="49"/>
        <v>90.684620152102113</v>
      </c>
    </row>
    <row r="126" spans="2:22" x14ac:dyDescent="0.2">
      <c r="B126" s="34" t="s">
        <v>45</v>
      </c>
      <c r="C126" s="76" t="s">
        <v>46</v>
      </c>
      <c r="D126" s="46">
        <f t="shared" ref="D126:V126" si="50">+IFERROR(IF(D99&gt;0,+((D99/D25)*100)," "),"")</f>
        <v>73.246463002290909</v>
      </c>
      <c r="E126" s="46">
        <f t="shared" si="50"/>
        <v>65.889789945538098</v>
      </c>
      <c r="F126" s="46">
        <f t="shared" si="50"/>
        <v>56.172875923751029</v>
      </c>
      <c r="G126" s="46">
        <f t="shared" si="50"/>
        <v>66.678554058845833</v>
      </c>
      <c r="H126" s="46">
        <f t="shared" si="50"/>
        <v>65.104790881448693</v>
      </c>
      <c r="I126" s="46">
        <f t="shared" si="50"/>
        <v>67.15951890793535</v>
      </c>
      <c r="J126" s="46">
        <f t="shared" si="50"/>
        <v>65.118095767545697</v>
      </c>
      <c r="K126" s="46">
        <f t="shared" si="50"/>
        <v>79.493899081491321</v>
      </c>
      <c r="L126" s="46">
        <f t="shared" si="50"/>
        <v>86.724891816867498</v>
      </c>
      <c r="M126" s="46">
        <f t="shared" si="50"/>
        <v>85.534618155728367</v>
      </c>
      <c r="N126" s="46">
        <f t="shared" si="50"/>
        <v>79.724388810463552</v>
      </c>
      <c r="O126" s="46">
        <f t="shared" si="50"/>
        <v>83.961857553564599</v>
      </c>
      <c r="P126" s="46">
        <f t="shared" si="50"/>
        <v>86.106966448851381</v>
      </c>
      <c r="Q126" s="46">
        <f t="shared" si="50"/>
        <v>88.897320690505325</v>
      </c>
      <c r="R126" s="46">
        <f t="shared" si="50"/>
        <v>87.583201970333874</v>
      </c>
      <c r="S126" s="46">
        <f t="shared" si="50"/>
        <v>87.541938622862247</v>
      </c>
      <c r="T126" s="46">
        <f t="shared" si="50"/>
        <v>86.479889032492366</v>
      </c>
      <c r="U126" s="46">
        <f t="shared" si="50"/>
        <v>87.746350472972424</v>
      </c>
      <c r="V126" s="46">
        <f t="shared" si="50"/>
        <v>77.868759927326508</v>
      </c>
    </row>
    <row r="127" spans="2:22" x14ac:dyDescent="0.2">
      <c r="B127" s="36" t="s">
        <v>47</v>
      </c>
      <c r="C127" s="78" t="s">
        <v>48</v>
      </c>
      <c r="D127" s="48">
        <f t="shared" ref="D127:V127" si="51">+IFERROR(IF(D100&gt;0,+((D100/D26)*100)," "),"")</f>
        <v>88.621541537873625</v>
      </c>
      <c r="E127" s="48">
        <f t="shared" si="51"/>
        <v>85.983539138254272</v>
      </c>
      <c r="F127" s="48">
        <f t="shared" si="51"/>
        <v>84.080794576408991</v>
      </c>
      <c r="G127" s="48">
        <f t="shared" si="51"/>
        <v>87.580737555202944</v>
      </c>
      <c r="H127" s="48">
        <f t="shared" si="51"/>
        <v>87.024287605769572</v>
      </c>
      <c r="I127" s="48">
        <f t="shared" si="51"/>
        <v>88.612003386757351</v>
      </c>
      <c r="J127" s="48">
        <f t="shared" si="51"/>
        <v>87.4395122653101</v>
      </c>
      <c r="K127" s="48">
        <f t="shared" si="51"/>
        <v>90.958149355740986</v>
      </c>
      <c r="L127" s="48">
        <f t="shared" si="51"/>
        <v>93.635040534479671</v>
      </c>
      <c r="M127" s="48">
        <f t="shared" si="51"/>
        <v>90.883341954879242</v>
      </c>
      <c r="N127" s="48">
        <f t="shared" si="51"/>
        <v>88.40981086437057</v>
      </c>
      <c r="O127" s="48">
        <f t="shared" si="51"/>
        <v>93.535761810248118</v>
      </c>
      <c r="P127" s="48">
        <f t="shared" si="51"/>
        <v>93.548836347740675</v>
      </c>
      <c r="Q127" s="48">
        <f t="shared" si="51"/>
        <v>94.061084548495273</v>
      </c>
      <c r="R127" s="48">
        <f t="shared" si="51"/>
        <v>92.013866799579787</v>
      </c>
      <c r="S127" s="48">
        <f t="shared" si="51"/>
        <v>92.649444308002387</v>
      </c>
      <c r="T127" s="48">
        <f t="shared" si="51"/>
        <v>92.805020452637265</v>
      </c>
      <c r="U127" s="48">
        <f t="shared" si="51"/>
        <v>94.128058204542199</v>
      </c>
      <c r="V127" s="48">
        <f t="shared" si="51"/>
        <v>90.631728587282595</v>
      </c>
    </row>
    <row r="128" spans="2:22" x14ac:dyDescent="0.2">
      <c r="B128" s="38" t="s">
        <v>49</v>
      </c>
      <c r="C128" s="79" t="s">
        <v>63</v>
      </c>
      <c r="D128" s="45">
        <f t="shared" ref="D128:V128" si="52">+IFERROR(IF(D101&gt;0,+((D101/D27)*100)," "),"")</f>
        <v>90.740912590534705</v>
      </c>
      <c r="E128" s="45">
        <f t="shared" si="52"/>
        <v>90.289596161822899</v>
      </c>
      <c r="F128" s="45">
        <f t="shared" si="52"/>
        <v>88.96913416632313</v>
      </c>
      <c r="G128" s="45">
        <f t="shared" si="52"/>
        <v>91.863914574987646</v>
      </c>
      <c r="H128" s="45">
        <f t="shared" si="52"/>
        <v>89.528319414174291</v>
      </c>
      <c r="I128" s="45">
        <f t="shared" si="52"/>
        <v>91.711708338374734</v>
      </c>
      <c r="J128" s="45">
        <f t="shared" si="52"/>
        <v>90.780361577448275</v>
      </c>
      <c r="K128" s="45">
        <f t="shared" si="52"/>
        <v>92.868920444101306</v>
      </c>
      <c r="L128" s="45">
        <f t="shared" si="52"/>
        <v>92.955661365684293</v>
      </c>
      <c r="M128" s="45">
        <f t="shared" si="52"/>
        <v>90.228638633288483</v>
      </c>
      <c r="N128" s="45">
        <f t="shared" si="52"/>
        <v>86.369671443468903</v>
      </c>
      <c r="O128" s="45">
        <f t="shared" si="52"/>
        <v>94.051106411948652</v>
      </c>
      <c r="P128" s="45">
        <f t="shared" si="52"/>
        <v>94.863616260385669</v>
      </c>
      <c r="Q128" s="45">
        <f t="shared" si="52"/>
        <v>91.902069710644767</v>
      </c>
      <c r="R128" s="45">
        <f t="shared" si="52"/>
        <v>93.183521217807765</v>
      </c>
      <c r="S128" s="45">
        <f t="shared" si="52"/>
        <v>93.868543643178128</v>
      </c>
      <c r="T128" s="45">
        <f t="shared" si="52"/>
        <v>91.043168681458454</v>
      </c>
      <c r="U128" s="45">
        <f t="shared" si="52"/>
        <v>94.93179196887651</v>
      </c>
      <c r="V128" s="45">
        <f t="shared" si="52"/>
        <v>87.611475850088922</v>
      </c>
    </row>
    <row r="129" spans="2:22" x14ac:dyDescent="0.2">
      <c r="B129" s="1" t="s">
        <v>52</v>
      </c>
      <c r="C129" s="15"/>
      <c r="D129" s="12"/>
      <c r="E129" s="12"/>
      <c r="F129" s="12"/>
      <c r="G129" s="12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2:22" x14ac:dyDescent="0.2">
      <c r="B130" s="1"/>
      <c r="C130" s="15"/>
      <c r="D130" s="26">
        <f t="shared" ref="D130:V130" si="53">+D127-D103</f>
        <v>0</v>
      </c>
      <c r="E130" s="26">
        <f t="shared" si="53"/>
        <v>0</v>
      </c>
      <c r="F130" s="26">
        <f t="shared" si="53"/>
        <v>0</v>
      </c>
      <c r="G130" s="26">
        <f t="shared" si="53"/>
        <v>0</v>
      </c>
      <c r="H130" s="26">
        <f t="shared" si="53"/>
        <v>0</v>
      </c>
      <c r="I130" s="26">
        <f t="shared" si="53"/>
        <v>0</v>
      </c>
      <c r="J130" s="26">
        <f t="shared" si="53"/>
        <v>0</v>
      </c>
      <c r="K130" s="26">
        <f t="shared" si="53"/>
        <v>0</v>
      </c>
      <c r="L130" s="26">
        <f t="shared" si="53"/>
        <v>0</v>
      </c>
      <c r="M130" s="26">
        <f t="shared" si="53"/>
        <v>0</v>
      </c>
      <c r="N130" s="26">
        <f t="shared" si="53"/>
        <v>0</v>
      </c>
      <c r="O130" s="26">
        <f t="shared" si="53"/>
        <v>0</v>
      </c>
      <c r="P130" s="26">
        <f t="shared" si="53"/>
        <v>0</v>
      </c>
      <c r="Q130" s="26">
        <f t="shared" si="53"/>
        <v>0</v>
      </c>
      <c r="R130" s="26">
        <f t="shared" si="53"/>
        <v>0</v>
      </c>
      <c r="S130" s="26">
        <f t="shared" si="53"/>
        <v>0</v>
      </c>
      <c r="T130" s="26">
        <f t="shared" si="53"/>
        <v>0</v>
      </c>
      <c r="U130" s="26">
        <f t="shared" si="53"/>
        <v>0</v>
      </c>
      <c r="V130" s="26">
        <f t="shared" si="53"/>
        <v>0</v>
      </c>
    </row>
    <row r="131" spans="2:22" x14ac:dyDescent="0.2">
      <c r="B131" s="1"/>
      <c r="C131" s="1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5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ht="18" customHeight="1" x14ac:dyDescent="0.2">
      <c r="C134" s="131"/>
      <c r="D134" s="164" t="s">
        <v>72</v>
      </c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</row>
    <row r="135" spans="2:22" x14ac:dyDescent="0.2">
      <c r="B135" s="159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</row>
    <row r="136" spans="2:22" x14ac:dyDescent="0.2">
      <c r="B136" s="167"/>
      <c r="C136" s="161" t="s">
        <v>38</v>
      </c>
      <c r="D136" s="155">
        <v>2000</v>
      </c>
      <c r="E136" s="155">
        <v>2001</v>
      </c>
      <c r="F136" s="155">
        <v>2002</v>
      </c>
      <c r="G136" s="155">
        <v>2003</v>
      </c>
      <c r="H136" s="155">
        <v>2004</v>
      </c>
      <c r="I136" s="155">
        <v>2005</v>
      </c>
      <c r="J136" s="155">
        <v>2006</v>
      </c>
      <c r="K136" s="155">
        <v>2007</v>
      </c>
      <c r="L136" s="155">
        <v>2008</v>
      </c>
      <c r="M136" s="155">
        <v>2009</v>
      </c>
      <c r="N136" s="155">
        <v>2010</v>
      </c>
      <c r="O136" s="155">
        <v>2011</v>
      </c>
      <c r="P136" s="155">
        <v>2012</v>
      </c>
      <c r="Q136" s="155">
        <v>2013</v>
      </c>
      <c r="R136" s="155">
        <v>2014</v>
      </c>
      <c r="S136" s="155">
        <v>2015</v>
      </c>
      <c r="T136" s="155">
        <v>2016</v>
      </c>
      <c r="U136" s="155">
        <v>2017</v>
      </c>
      <c r="V136" s="155">
        <v>2018</v>
      </c>
    </row>
    <row r="137" spans="2:22" ht="12" customHeight="1" thickBot="1" x14ac:dyDescent="0.25">
      <c r="B137" s="156"/>
      <c r="C137" s="162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</row>
    <row r="138" spans="2:22" x14ac:dyDescent="0.2">
      <c r="B138" s="34" t="s">
        <v>39</v>
      </c>
      <c r="C138" s="76" t="s">
        <v>40</v>
      </c>
      <c r="D138" s="41">
        <f t="shared" ref="D138:V138" si="54">+D139+D140+D141+D142</f>
        <v>82229.638336647462</v>
      </c>
      <c r="E138" s="41">
        <f t="shared" si="54"/>
        <v>94264.797725362689</v>
      </c>
      <c r="F138" s="41">
        <f t="shared" si="54"/>
        <v>96693.479348551831</v>
      </c>
      <c r="G138" s="41">
        <f t="shared" si="54"/>
        <v>98396.736680818154</v>
      </c>
      <c r="H138" s="41">
        <f t="shared" si="54"/>
        <v>112976.15636204921</v>
      </c>
      <c r="I138" s="41">
        <f t="shared" si="54"/>
        <v>125883.09498691541</v>
      </c>
      <c r="J138" s="41">
        <f t="shared" si="54"/>
        <v>125880.46903947718</v>
      </c>
      <c r="K138" s="41">
        <f t="shared" si="54"/>
        <v>132150.19931170324</v>
      </c>
      <c r="L138" s="41">
        <f t="shared" si="54"/>
        <v>139143.07043211887</v>
      </c>
      <c r="M138" s="41">
        <f t="shared" si="54"/>
        <v>149439.81351320137</v>
      </c>
      <c r="N138" s="41">
        <f t="shared" si="54"/>
        <v>156658.17579182726</v>
      </c>
      <c r="O138" s="41">
        <f t="shared" si="54"/>
        <v>158232.16116627242</v>
      </c>
      <c r="P138" s="41">
        <f t="shared" si="54"/>
        <v>166624.81653566015</v>
      </c>
      <c r="Q138" s="41">
        <f t="shared" si="54"/>
        <v>182809.47805712337</v>
      </c>
      <c r="R138" s="41">
        <f t="shared" si="54"/>
        <v>193387.36897733246</v>
      </c>
      <c r="S138" s="41">
        <f t="shared" si="54"/>
        <v>192929.61989262112</v>
      </c>
      <c r="T138" s="41">
        <f t="shared" si="54"/>
        <v>197412.62138736545</v>
      </c>
      <c r="U138" s="41">
        <f t="shared" si="54"/>
        <v>217079.27577296438</v>
      </c>
      <c r="V138" s="41">
        <f t="shared" si="54"/>
        <v>222033.80025297753</v>
      </c>
    </row>
    <row r="139" spans="2:22" x14ac:dyDescent="0.2">
      <c r="B139" s="40"/>
      <c r="C139" s="77" t="s">
        <v>56</v>
      </c>
      <c r="D139" s="42">
        <f>5967.77458726522*Deflactores!$A$5</f>
        <v>22271.230917402088</v>
      </c>
      <c r="E139" s="42">
        <f>6541.97449637495*Deflactores!$B$5</f>
        <v>22679.499435418256</v>
      </c>
      <c r="F139" s="42">
        <f>7069.74548586312*Deflactores!$C$5</f>
        <v>22907.502330863812</v>
      </c>
      <c r="G139" s="42">
        <f>7665.80886152329*Deflactores!$D$5</f>
        <v>23324.780517213469</v>
      </c>
      <c r="H139" s="42">
        <f>8287.44996855581*Deflactores!$E$5</f>
        <v>23902.342205246259</v>
      </c>
      <c r="I139" s="42">
        <f>9037.76223317708*Deflactores!$F$5</f>
        <v>24859.398842007329</v>
      </c>
      <c r="J139" s="42">
        <f>10095.0541916827*Deflactores!$G$5</f>
        <v>26577.47568117757</v>
      </c>
      <c r="K139" s="42">
        <f>11083.8528035876*Deflactores!$H$5</f>
        <v>27608.549809003282</v>
      </c>
      <c r="L139" s="42">
        <f>12399.282244006*Deflactores!$I$5</f>
        <v>28683.823827802556</v>
      </c>
      <c r="M139" s="42">
        <f>13905.470378143*Deflactores!$J$5</f>
        <v>31536.850185613243</v>
      </c>
      <c r="N139" s="42">
        <f>15010.0073317177*Deflactores!$K$5</f>
        <v>32995.518675834668</v>
      </c>
      <c r="O139" s="42">
        <f>15731.7324202978*Deflactores!$L$5</f>
        <v>33339.578657788559</v>
      </c>
      <c r="P139" s="42">
        <f>17661.4598631146*Deflactores!$M$5</f>
        <v>36537.647781301297</v>
      </c>
      <c r="Q139" s="42">
        <f>19756.647389026*Deflactores!$N$5</f>
        <v>40094.297243306835</v>
      </c>
      <c r="R139" s="42">
        <f>21870.6671832615*Deflactores!$O$5</f>
        <v>42817.389365830008</v>
      </c>
      <c r="S139" s="42">
        <f>23250.5755332975*Deflactores!$P$5</f>
        <v>42632.678336584242</v>
      </c>
      <c r="T139" s="42">
        <f>25045.394923525*Deflactores!$Q$5</f>
        <v>43426.65893789148</v>
      </c>
      <c r="U139" s="42">
        <f>27123.4534641143*Deflactores!$R$5</f>
        <v>45181.902074313388</v>
      </c>
      <c r="V139" s="42">
        <f>30423.7658930889*Deflactores!$S$5</f>
        <v>49117.581248473376</v>
      </c>
    </row>
    <row r="140" spans="2:22" x14ac:dyDescent="0.2">
      <c r="B140" s="40"/>
      <c r="C140" s="77" t="s">
        <v>57</v>
      </c>
      <c r="D140" s="42">
        <f>1108.09065566282*Deflactores!$A$5</f>
        <v>4135.3007739843742</v>
      </c>
      <c r="E140" s="42">
        <f>1451.04372439792*Deflactores!$B$5</f>
        <v>5030.4300859756322</v>
      </c>
      <c r="F140" s="42">
        <f>1567.11229752339*Deflactores!$C$5</f>
        <v>5077.7823162129953</v>
      </c>
      <c r="G140" s="42">
        <f>1738.53449300691*Deflactores!$D$5</f>
        <v>5289.8443208683402</v>
      </c>
      <c r="H140" s="42">
        <f>1812.24426998767*Deflactores!$E$5</f>
        <v>5226.8047306583594</v>
      </c>
      <c r="I140" s="42">
        <f>2050.07895191691*Deflactores!$F$5</f>
        <v>5638.976663517662</v>
      </c>
      <c r="J140" s="42">
        <f>2495.21726252012*Deflactores!$G$5</f>
        <v>6569.214474204713</v>
      </c>
      <c r="K140" s="42">
        <f>3183.05357121216*Deflactores!$H$5</f>
        <v>7928.6052082081078</v>
      </c>
      <c r="L140" s="42">
        <f>3519.95574331124*Deflactores!$I$5</f>
        <v>8142.8737918769275</v>
      </c>
      <c r="M140" s="42">
        <f>3930.13450142483*Deflactores!$J$5</f>
        <v>8913.3312006160777</v>
      </c>
      <c r="N140" s="42">
        <f>4388.17580224797*Deflactores!$K$5</f>
        <v>9646.2402340045574</v>
      </c>
      <c r="O140" s="42">
        <f>4722.12436567546*Deflactores!$L$5</f>
        <v>10007.393497118526</v>
      </c>
      <c r="P140" s="42">
        <f>5423.72219387453*Deflactores!$M$5</f>
        <v>11220.479661326648</v>
      </c>
      <c r="Q140" s="42">
        <f>6415.67896413992*Deflactores!$N$5</f>
        <v>13020.029883650132</v>
      </c>
      <c r="R140" s="42">
        <f>6634.27038061814*Deflactores!$O$5</f>
        <v>12988.270346984398</v>
      </c>
      <c r="S140" s="42">
        <f>6504.94437885458*Deflactores!$P$5</f>
        <v>11927.584368994236</v>
      </c>
      <c r="T140" s="42">
        <f>6407.89106559151*Deflactores!$Q$5</f>
        <v>11110.757113884594</v>
      </c>
      <c r="U140" s="42">
        <f>6498.35823744682*Deflactores!$R$5</f>
        <v>10824.882086515583</v>
      </c>
      <c r="V140" s="42">
        <f>7325.62806192969*Deflactores!$S$5</f>
        <v>11826.843947996083</v>
      </c>
    </row>
    <row r="141" spans="2:22" x14ac:dyDescent="0.2">
      <c r="B141" s="40"/>
      <c r="C141" s="77" t="s">
        <v>58</v>
      </c>
      <c r="D141" s="42">
        <f>14694.9638339296*Deflactores!$A$5</f>
        <v>54840.364374133431</v>
      </c>
      <c r="E141" s="42">
        <f>18908.4665323766*Deflactores!$B$5</f>
        <v>65551.242409044338</v>
      </c>
      <c r="F141" s="42">
        <f>20814.8274594753*Deflactores!$C$5</f>
        <v>67444.536652403374</v>
      </c>
      <c r="G141" s="42">
        <f>22477.8460250277*Deflactores!$D$5</f>
        <v>68393.412163593559</v>
      </c>
      <c r="H141" s="42">
        <f>28636.4467467283*Deflactores!$E$5</f>
        <v>82592.130544335523</v>
      </c>
      <c r="I141" s="42">
        <f>34101.1909866836*Deflactores!$F$5</f>
        <v>93799.226606498749</v>
      </c>
      <c r="J141" s="42">
        <f>34687.3341226263*Deflactores!$G$5</f>
        <v>91322.122851854991</v>
      </c>
      <c r="K141" s="42">
        <f>38135.5395183975*Deflactores!$H$5</f>
        <v>94991.061406562556</v>
      </c>
      <c r="L141" s="42">
        <f>43451.9461890355*Deflactores!$I$5</f>
        <v>100519.36434175163</v>
      </c>
      <c r="M141" s="42">
        <f>47127.2721401527*Deflactores!$J$5</f>
        <v>106882.08889910998</v>
      </c>
      <c r="N141" s="42">
        <f>50688.1545203723*Deflactores!$K$5</f>
        <v>111424.45917307516</v>
      </c>
      <c r="O141" s="42">
        <f>53079.5415927111*Deflactores!$L$5</f>
        <v>112489.17187062428</v>
      </c>
      <c r="P141" s="42">
        <f>56340.1889885043*Deflactores!$M$5</f>
        <v>116555.3695531767</v>
      </c>
      <c r="Q141" s="42">
        <f>62782.5015307432*Deflactores!$N$5</f>
        <v>127411.30762146396</v>
      </c>
      <c r="R141" s="42">
        <f>69070.5317275132*Deflactores!$O$5</f>
        <v>135223.11989390428</v>
      </c>
      <c r="S141" s="42">
        <f>74166.671112697*Deflactores!$P$5</f>
        <v>135993.35759730366</v>
      </c>
      <c r="T141" s="42">
        <f>81003.6135252261*Deflactores!$Q$5</f>
        <v>140453.61664441536</v>
      </c>
      <c r="U141" s="42">
        <f>95377.8375801272*Deflactores!$R$5</f>
        <v>158879.18267143104</v>
      </c>
      <c r="V141" s="42">
        <f>98514.6949221302*Deflactores!$S$5</f>
        <v>159046.83033028091</v>
      </c>
    </row>
    <row r="142" spans="2:22" x14ac:dyDescent="0.2">
      <c r="B142" s="40"/>
      <c r="C142" s="77" t="s">
        <v>59</v>
      </c>
      <c r="D142" s="42">
        <f>263.33454011668*Deflactores!$A$5</f>
        <v>982.7422711275774</v>
      </c>
      <c r="E142" s="42">
        <f>289.499085859289*Deflactores!$B$5</f>
        <v>1003.625794924459</v>
      </c>
      <c r="F142" s="42">
        <f>389.99191876376*Deflactores!$C$5</f>
        <v>1263.6580490716483</v>
      </c>
      <c r="G142" s="42">
        <f>456.40327884376*Deflactores!$D$5</f>
        <v>1388.699679142781</v>
      </c>
      <c r="H142" s="42">
        <f>435.09317456376*Deflactores!$E$5</f>
        <v>1254.8788818090713</v>
      </c>
      <c r="I142" s="42">
        <f>576.41408453746*Deflactores!$F$5</f>
        <v>1585.4928748916657</v>
      </c>
      <c r="J142" s="42">
        <f>536.19630082364*Deflactores!$G$5</f>
        <v>1411.6560322399089</v>
      </c>
      <c r="K142" s="42">
        <f>651.16855843995*Deflactores!$H$5</f>
        <v>1621.9828879292943</v>
      </c>
      <c r="L142" s="42">
        <f>776.80072770946*Deflactores!$I$5</f>
        <v>1797.0084706877483</v>
      </c>
      <c r="M142" s="42">
        <f>929.27415874466*Deflactores!$J$5</f>
        <v>2107.543227862086</v>
      </c>
      <c r="N142" s="42">
        <f>1179.10873281037*Deflactores!$K$5</f>
        <v>2591.9577089128647</v>
      </c>
      <c r="O142" s="42">
        <f>1130.59318833891*Deflactores!$L$5</f>
        <v>2396.0171407410398</v>
      </c>
      <c r="P142" s="42">
        <f>1117.23878691724*Deflactores!$M$5</f>
        <v>2311.3195398555017</v>
      </c>
      <c r="Q142" s="42">
        <f>1125.37418147049*Deflactores!$N$5</f>
        <v>2283.8433087024596</v>
      </c>
      <c r="R142" s="42">
        <f>1204.74237011372*Deflactores!$O$5</f>
        <v>2358.5893706137726</v>
      </c>
      <c r="S142" s="42">
        <f>1295.79843640516*Deflactores!$P$5</f>
        <v>2375.9995897389786</v>
      </c>
      <c r="T142" s="42">
        <f>1396.59938379177*Deflactores!$Q$5</f>
        <v>2421.5886911739899</v>
      </c>
      <c r="U142" s="42">
        <f>1316.68013639119*Deflactores!$R$5</f>
        <v>2193.3089407043526</v>
      </c>
      <c r="V142" s="42">
        <f>1265.16617873627*Deflactores!$S$5</f>
        <v>2042.544726227188</v>
      </c>
    </row>
    <row r="143" spans="2:22" x14ac:dyDescent="0.2">
      <c r="B143" s="34" t="s">
        <v>41</v>
      </c>
      <c r="C143" s="76" t="s">
        <v>42</v>
      </c>
      <c r="D143" s="41">
        <f t="shared" ref="D143:V143" si="55">+D144+D147</f>
        <v>57909.425364143994</v>
      </c>
      <c r="E143" s="41">
        <f t="shared" si="55"/>
        <v>70832.81321765302</v>
      </c>
      <c r="F143" s="41">
        <f t="shared" si="55"/>
        <v>70318.848182245943</v>
      </c>
      <c r="G143" s="41">
        <f t="shared" si="55"/>
        <v>77572.204301271675</v>
      </c>
      <c r="H143" s="41">
        <f t="shared" si="55"/>
        <v>68867.364753153437</v>
      </c>
      <c r="I143" s="41">
        <f t="shared" si="55"/>
        <v>82541.374564430007</v>
      </c>
      <c r="J143" s="41">
        <f t="shared" si="55"/>
        <v>94574.738355439258</v>
      </c>
      <c r="K143" s="41">
        <f t="shared" si="55"/>
        <v>90855.881142953629</v>
      </c>
      <c r="L143" s="41">
        <f t="shared" si="55"/>
        <v>79810.106344121115</v>
      </c>
      <c r="M143" s="41">
        <f t="shared" si="55"/>
        <v>71911.924161740928</v>
      </c>
      <c r="N143" s="41">
        <f t="shared" si="55"/>
        <v>69222.090991489007</v>
      </c>
      <c r="O143" s="41">
        <f t="shared" si="55"/>
        <v>69479.088972488709</v>
      </c>
      <c r="P143" s="41">
        <f t="shared" si="55"/>
        <v>74784.974582272582</v>
      </c>
      <c r="Q143" s="41">
        <f t="shared" si="55"/>
        <v>75586.507101947951</v>
      </c>
      <c r="R143" s="41">
        <f t="shared" si="55"/>
        <v>76939.031634822313</v>
      </c>
      <c r="S143" s="41">
        <f t="shared" si="55"/>
        <v>83974.463099662651</v>
      </c>
      <c r="T143" s="41">
        <f t="shared" si="55"/>
        <v>68598.973579062513</v>
      </c>
      <c r="U143" s="41">
        <f t="shared" si="55"/>
        <v>81454.807144211431</v>
      </c>
      <c r="V143" s="41">
        <f t="shared" si="55"/>
        <v>58733.169122712243</v>
      </c>
    </row>
    <row r="144" spans="2:22" x14ac:dyDescent="0.2">
      <c r="B144" s="34"/>
      <c r="C144" s="76" t="s">
        <v>43</v>
      </c>
      <c r="D144" s="41">
        <f t="shared" ref="D144:V144" si="56">+D145+D146</f>
        <v>18393.562761892077</v>
      </c>
      <c r="E144" s="41">
        <f t="shared" si="56"/>
        <v>26536.53646225726</v>
      </c>
      <c r="F144" s="41">
        <f t="shared" si="56"/>
        <v>30019.040458040676</v>
      </c>
      <c r="G144" s="41">
        <f t="shared" si="56"/>
        <v>36793.563091206699</v>
      </c>
      <c r="H144" s="41">
        <f t="shared" si="56"/>
        <v>21092.365104450997</v>
      </c>
      <c r="I144" s="41">
        <f t="shared" si="56"/>
        <v>33306.75195888595</v>
      </c>
      <c r="J144" s="41">
        <f t="shared" si="56"/>
        <v>23131.996847101924</v>
      </c>
      <c r="K144" s="41">
        <f t="shared" si="56"/>
        <v>17059.045142666801</v>
      </c>
      <c r="L144" s="41">
        <f t="shared" si="56"/>
        <v>15647.181454780639</v>
      </c>
      <c r="M144" s="41">
        <f t="shared" si="56"/>
        <v>14263.908957843558</v>
      </c>
      <c r="N144" s="41">
        <f t="shared" si="56"/>
        <v>14370.584817690731</v>
      </c>
      <c r="O144" s="41">
        <f t="shared" si="56"/>
        <v>11444.874748550916</v>
      </c>
      <c r="P144" s="41">
        <f t="shared" si="56"/>
        <v>13393.556734064277</v>
      </c>
      <c r="Q144" s="41">
        <f t="shared" si="56"/>
        <v>12977.83351266148</v>
      </c>
      <c r="R144" s="41">
        <f t="shared" si="56"/>
        <v>16159.497496049498</v>
      </c>
      <c r="S144" s="41">
        <f t="shared" si="56"/>
        <v>19911.174021454306</v>
      </c>
      <c r="T144" s="41">
        <f t="shared" si="56"/>
        <v>16062.067533974474</v>
      </c>
      <c r="U144" s="41">
        <f t="shared" si="56"/>
        <v>23278.357855296919</v>
      </c>
      <c r="V144" s="41">
        <f t="shared" si="56"/>
        <v>15496.126979728282</v>
      </c>
    </row>
    <row r="145" spans="2:22" x14ac:dyDescent="0.2">
      <c r="B145" s="32"/>
      <c r="C145" s="77" t="s">
        <v>60</v>
      </c>
      <c r="D145" s="42">
        <f>2497.25830394402*Deflactores!$A$5</f>
        <v>9319.5571538877593</v>
      </c>
      <c r="E145" s="42">
        <f>4322.52099781054*Deflactores!$B$5</f>
        <v>14985.171920763329</v>
      </c>
      <c r="F145" s="42">
        <f>5546.85434544663*Deflactores!$C$5</f>
        <v>17973.00611476933</v>
      </c>
      <c r="G145" s="42">
        <f>7547.54389011074*Deflactores!$D$5</f>
        <v>22964.935320065662</v>
      </c>
      <c r="H145" s="42">
        <f>3749.87036095508*Deflactores!$E$5</f>
        <v>10815.230853028954</v>
      </c>
      <c r="I145" s="42">
        <f>8191.23993153419*Deflactores!$F$5</f>
        <v>22530.942418586135</v>
      </c>
      <c r="J145" s="42">
        <f>4718.16165433809*Deflactores!$G$5</f>
        <v>12421.61005250961</v>
      </c>
      <c r="K145" s="42">
        <f>3341.18641536606*Deflactores!$H$5</f>
        <v>8322.4951832580446</v>
      </c>
      <c r="L145" s="42">
        <f>3374.54579952573*Deflactores!$I$5</f>
        <v>7806.4903522330305</v>
      </c>
      <c r="M145" s="42">
        <f>2751.18217286863*Deflactores!$J$5</f>
        <v>6239.5314692457541</v>
      </c>
      <c r="N145" s="42">
        <f>3278.52578677388*Deflactores!$K$5</f>
        <v>7206.9690864250697</v>
      </c>
      <c r="O145" s="42">
        <f>2189.09712651191*Deflactores!$L$5</f>
        <v>4639.258658170158</v>
      </c>
      <c r="P145" s="42">
        <f>3393.25689011586*Deflactores!$M$5</f>
        <v>7019.8967720363135</v>
      </c>
      <c r="Q145" s="42">
        <f>2851.47462092845*Deflactores!$N$5</f>
        <v>5786.8052601250229</v>
      </c>
      <c r="R145" s="42">
        <f>4767.44556496042*Deflactores!$O$5</f>
        <v>9333.4863232493553</v>
      </c>
      <c r="S145" s="42">
        <f>5975.80032625673*Deflactores!$P$5</f>
        <v>10957.336206499767</v>
      </c>
      <c r="T145" s="42">
        <f>3415.46895859314*Deflactores!$Q$5</f>
        <v>5922.1428143048079</v>
      </c>
      <c r="U145" s="42">
        <f>7662.71728925486*Deflactores!$R$5</f>
        <v>12764.45651156932</v>
      </c>
      <c r="V145" s="42">
        <f>2964.89476357482*Deflactores!$S$5</f>
        <v>4786.667763445439</v>
      </c>
    </row>
    <row r="146" spans="2:22" x14ac:dyDescent="0.2">
      <c r="B146" s="32"/>
      <c r="C146" s="77" t="s">
        <v>61</v>
      </c>
      <c r="D146" s="42">
        <f>2431.46058127563*Deflactores!$A$5</f>
        <v>9074.0056080043178</v>
      </c>
      <c r="E146" s="42">
        <f>3332.02822416656*Deflactores!$B$5</f>
        <v>11551.364541493929</v>
      </c>
      <c r="F146" s="42">
        <f>3717.66400766239*Deflactores!$C$5</f>
        <v>12046.034343271343</v>
      </c>
      <c r="G146" s="42">
        <f>4544.84951026602*Deflactores!$D$5</f>
        <v>13828.627771141038</v>
      </c>
      <c r="H146" s="42">
        <f>3563.3008345976*Deflactores!$E$5</f>
        <v>10277.134251422041</v>
      </c>
      <c r="I146" s="42">
        <f>3917.60094900859*Deflactores!$F$5</f>
        <v>10775.809540299817</v>
      </c>
      <c r="J146" s="42">
        <f>4068.17925081821*Deflactores!$G$5</f>
        <v>10710.386794592312</v>
      </c>
      <c r="K146" s="42">
        <f>3507.41471142746*Deflactores!$H$5</f>
        <v>8736.5499594087578</v>
      </c>
      <c r="L146" s="42">
        <f>3389.32990776224*Deflactores!$I$5</f>
        <v>7840.6911025476074</v>
      </c>
      <c r="M146" s="42">
        <f>3538.1701981651*Deflactores!$J$5</f>
        <v>8024.3774885978037</v>
      </c>
      <c r="N146" s="42">
        <f>3258.80389104645*Deflactores!$K$5</f>
        <v>7163.6157312656615</v>
      </c>
      <c r="O146" s="42">
        <f>3211.32226618982*Deflactores!$L$5</f>
        <v>6805.6160903807568</v>
      </c>
      <c r="P146" s="42">
        <f>3080.88085676128*Deflactores!$M$5</f>
        <v>6373.659962027964</v>
      </c>
      <c r="Q146" s="42">
        <f>3543.41188942034*Deflactores!$N$5</f>
        <v>7191.0282525364573</v>
      </c>
      <c r="R146" s="42">
        <f>3486.65392170489*Deflactores!$O$5</f>
        <v>6826.0111728001439</v>
      </c>
      <c r="S146" s="42">
        <f>4883.15279621664*Deflactores!$P$5</f>
        <v>8953.8378149545388</v>
      </c>
      <c r="T146" s="42">
        <f>5847.9842868444*Deflactores!$Q$5</f>
        <v>10139.924719669667</v>
      </c>
      <c r="U146" s="42">
        <f>6311.67128275925*Deflactores!$R$5</f>
        <v>10513.901343727601</v>
      </c>
      <c r="V146" s="42">
        <f>6633.51231383975*Deflactores!$S$5</f>
        <v>10709.459216282843</v>
      </c>
    </row>
    <row r="147" spans="2:22" x14ac:dyDescent="0.2">
      <c r="B147" s="34"/>
      <c r="C147" s="76" t="s">
        <v>44</v>
      </c>
      <c r="D147" s="41">
        <f t="shared" ref="D147:V147" si="57">+D148+D149</f>
        <v>39515.862602251917</v>
      </c>
      <c r="E147" s="41">
        <f t="shared" si="57"/>
        <v>44296.27675539576</v>
      </c>
      <c r="F147" s="41">
        <f t="shared" si="57"/>
        <v>40299.807724205275</v>
      </c>
      <c r="G147" s="41">
        <f t="shared" si="57"/>
        <v>40778.641210064976</v>
      </c>
      <c r="H147" s="41">
        <f t="shared" si="57"/>
        <v>47774.99964870244</v>
      </c>
      <c r="I147" s="41">
        <f t="shared" si="57"/>
        <v>49234.622605544049</v>
      </c>
      <c r="J147" s="41">
        <f t="shared" si="57"/>
        <v>71442.741508337334</v>
      </c>
      <c r="K147" s="41">
        <f t="shared" si="57"/>
        <v>73796.836000286828</v>
      </c>
      <c r="L147" s="41">
        <f t="shared" si="57"/>
        <v>64162.924889340473</v>
      </c>
      <c r="M147" s="41">
        <f t="shared" si="57"/>
        <v>57648.015203897376</v>
      </c>
      <c r="N147" s="41">
        <f t="shared" si="57"/>
        <v>54851.506173798276</v>
      </c>
      <c r="O147" s="41">
        <f t="shared" si="57"/>
        <v>58034.214223937786</v>
      </c>
      <c r="P147" s="41">
        <f t="shared" si="57"/>
        <v>61391.417848208301</v>
      </c>
      <c r="Q147" s="41">
        <f t="shared" si="57"/>
        <v>62608.673589286474</v>
      </c>
      <c r="R147" s="41">
        <f t="shared" si="57"/>
        <v>60779.534138772811</v>
      </c>
      <c r="S147" s="41">
        <f t="shared" si="57"/>
        <v>64063.289078208341</v>
      </c>
      <c r="T147" s="41">
        <f t="shared" si="57"/>
        <v>52536.906045088035</v>
      </c>
      <c r="U147" s="41">
        <f t="shared" si="57"/>
        <v>58176.449288914511</v>
      </c>
      <c r="V147" s="41">
        <f t="shared" si="57"/>
        <v>43237.042142983963</v>
      </c>
    </row>
    <row r="148" spans="2:22" x14ac:dyDescent="0.2">
      <c r="B148" s="32"/>
      <c r="C148" s="77" t="s">
        <v>60</v>
      </c>
      <c r="D148" s="42">
        <f>6018.95864857658*Deflactores!$A$5</f>
        <v>22462.245512891048</v>
      </c>
      <c r="E148" s="42">
        <f>7838.10293537694*Deflactores!$B$5</f>
        <v>27172.874366314714</v>
      </c>
      <c r="F148" s="42">
        <f>7294.92550011668*Deflactores!$C$5</f>
        <v>23637.134212477104</v>
      </c>
      <c r="G148" s="42">
        <f>7016.04347527247*Deflactores!$D$5</f>
        <v>21347.737351155294</v>
      </c>
      <c r="H148" s="42">
        <f>9384.29158420903*Deflactores!$E$5</f>
        <v>27065.810309641598</v>
      </c>
      <c r="I148" s="42">
        <f>9472.21778058875*Deflactores!$F$5</f>
        <v>26054.41852205402</v>
      </c>
      <c r="J148" s="42">
        <f>16553.764343672*Deflactores!$G$5</f>
        <v>43581.466817520108</v>
      </c>
      <c r="K148" s="42">
        <f>17728.5609090329*Deflactores!$H$5</f>
        <v>44159.721855973752</v>
      </c>
      <c r="L148" s="42">
        <f>16111.3950871107*Deflactores!$I$5</f>
        <v>37271.223382483338</v>
      </c>
      <c r="M148" s="42">
        <f>13481.1511733567*Deflactores!$J$5</f>
        <v>30574.517317445203</v>
      </c>
      <c r="N148" s="42">
        <f>13649.0089691116*Deflactores!$K$5</f>
        <v>30003.724874624651</v>
      </c>
      <c r="O148" s="42">
        <f>14232.502377734*Deflactores!$L$5</f>
        <v>30162.32540971753</v>
      </c>
      <c r="P148" s="42">
        <f>16532.4080745442*Deflactores!$M$5</f>
        <v>34201.889758048143</v>
      </c>
      <c r="Q148" s="42">
        <f>17810.4755262234*Deflactores!$N$5</f>
        <v>36144.720596152103</v>
      </c>
      <c r="R148" s="42">
        <f>17247.9177421297*Deflactores!$O$5</f>
        <v>33767.182478995746</v>
      </c>
      <c r="S148" s="42">
        <f>20268.3280460608*Deflactores!$P$5</f>
        <v>37164.375082698418</v>
      </c>
      <c r="T148" s="42">
        <f>13863.0831808706*Deflactores!$Q$5</f>
        <v>24037.448279875451</v>
      </c>
      <c r="U148" s="42">
        <f>17064.1076072919*Deflactores!$R$5</f>
        <v>28425.17232985342</v>
      </c>
      <c r="V148" s="42">
        <f>8078.18446274733*Deflactores!$S$5</f>
        <v>13041.806957214341</v>
      </c>
    </row>
    <row r="149" spans="2:22" x14ac:dyDescent="0.2">
      <c r="B149" s="32"/>
      <c r="C149" s="77" t="s">
        <v>61</v>
      </c>
      <c r="D149" s="42">
        <f>4569.66851380082*Deflactores!$A$5</f>
        <v>17053.617089360869</v>
      </c>
      <c r="E149" s="42">
        <f>4939.30044794519*Deflactores!$B$5</f>
        <v>17123.402389081046</v>
      </c>
      <c r="F149" s="42">
        <f>5142.45766039868*Deflactores!$C$5</f>
        <v>16662.673511728171</v>
      </c>
      <c r="G149" s="42">
        <f>6386.06630742401*Deflactores!$D$5</f>
        <v>19430.903858909678</v>
      </c>
      <c r="H149" s="42">
        <f>7180.31601518726*Deflactores!$E$5</f>
        <v>20709.189339060842</v>
      </c>
      <c r="I149" s="42">
        <f>8427.282347194*Deflactores!$F$5</f>
        <v>23180.204083490029</v>
      </c>
      <c r="J149" s="42">
        <f>10582.6859265024*Deflactores!$G$5</f>
        <v>27861.27469081723</v>
      </c>
      <c r="K149" s="42">
        <f>11898.2493818479*Deflactores!$H$5</f>
        <v>29637.114144313076</v>
      </c>
      <c r="L149" s="42">
        <f>11624.5936736611*Deflactores!$I$5</f>
        <v>26891.701506857135</v>
      </c>
      <c r="M149" s="42">
        <f>11937.4547767779*Deflactores!$J$5</f>
        <v>27073.497886452173</v>
      </c>
      <c r="N149" s="42">
        <f>11303.5161878109*Deflactores!$K$5</f>
        <v>24847.781299173621</v>
      </c>
      <c r="O149" s="42">
        <f>13151.7288018027*Deflactores!$L$5</f>
        <v>27871.888814220256</v>
      </c>
      <c r="P149" s="42">
        <f>13142.7934807326*Deflactores!$M$5</f>
        <v>27189.528090160158</v>
      </c>
      <c r="Q149" s="42">
        <f>13040.2332439533*Deflactores!$N$5</f>
        <v>26463.952993134371</v>
      </c>
      <c r="R149" s="42">
        <f>13797.6219881278*Deflactores!$O$5</f>
        <v>27012.351659777065</v>
      </c>
      <c r="S149" s="42">
        <f>14669.8555197174*Deflactores!$P$5</f>
        <v>26898.913995509924</v>
      </c>
      <c r="T149" s="42">
        <f>16436.4515321548*Deflactores!$Q$5</f>
        <v>28499.457765212581</v>
      </c>
      <c r="U149" s="42">
        <f>17860.1904534656*Deflactores!$R$5</f>
        <v>29751.276959061091</v>
      </c>
      <c r="V149" s="42">
        <f>18703.1352731191*Deflactores!$S$5</f>
        <v>30195.235185769619</v>
      </c>
    </row>
    <row r="150" spans="2:22" x14ac:dyDescent="0.2">
      <c r="B150" s="34" t="s">
        <v>45</v>
      </c>
      <c r="C150" s="76" t="s">
        <v>46</v>
      </c>
      <c r="D150" s="41">
        <f>4175.65081180812*Deflactores!$A$5</f>
        <v>15583.17629132046</v>
      </c>
      <c r="E150" s="41">
        <f>7185.34480842093*Deflactores!$B$5</f>
        <v>24909.914218737431</v>
      </c>
      <c r="F150" s="41">
        <f>5498.01124776341*Deflactores!$C$5</f>
        <v>17814.743928915217</v>
      </c>
      <c r="G150" s="41">
        <f>5695.45862319715*Deflactores!$D$5</f>
        <v>17329.589705494735</v>
      </c>
      <c r="H150" s="41">
        <f>6867.84185733118*Deflactores!$E$5</f>
        <v>19807.963475892982</v>
      </c>
      <c r="I150" s="41">
        <f>8151.25244335773*Deflactores!$F$5</f>
        <v>22420.952258232115</v>
      </c>
      <c r="J150" s="41">
        <f>9253.92026553686*Deflactores!$G$5</f>
        <v>24363.003520624643</v>
      </c>
      <c r="K150" s="41">
        <f>14661.5097682781*Deflactores!$H$5</f>
        <v>36520.064808301555</v>
      </c>
      <c r="L150" s="41">
        <f>16549.8332916943*Deflactores!$I$5</f>
        <v>38285.482431690281</v>
      </c>
      <c r="M150" s="41">
        <f>22979.2399455778*Deflactores!$J$5</f>
        <v>52115.665837671957</v>
      </c>
      <c r="N150" s="41">
        <f>18115.3079234739*Deflactores!$K$5</f>
        <v>39821.698130981335</v>
      </c>
      <c r="O150" s="41">
        <f>21592.3216729692*Deflactores!$L$5</f>
        <v>45759.671445428903</v>
      </c>
      <c r="P150" s="41">
        <f>25883.9855304912*Deflactores!$M$5</f>
        <v>53548.231789407997</v>
      </c>
      <c r="Q150" s="41">
        <f>30949.318771253*Deflactores!$N$5</f>
        <v>62808.793509253876</v>
      </c>
      <c r="R150" s="41">
        <f>32379.7563253864*Deflactores!$O$5</f>
        <v>63391.602210281308</v>
      </c>
      <c r="S150" s="41">
        <f>33558.2066540004*Deflactores!$P$5</f>
        <v>61532.938304418625</v>
      </c>
      <c r="T150" s="41">
        <f>29952.8251855049*Deflactores!$Q$5</f>
        <v>51935.740184133378</v>
      </c>
      <c r="U150" s="41">
        <f>28959.6440668524*Deflactores!$R$5</f>
        <v>48240.604909203161</v>
      </c>
      <c r="V150" s="41">
        <f>29704.0279710711*Deflactores!$S$5</f>
        <v>47955.601959435153</v>
      </c>
    </row>
    <row r="151" spans="2:22" x14ac:dyDescent="0.2">
      <c r="B151" s="36" t="s">
        <v>47</v>
      </c>
      <c r="C151" s="78" t="s">
        <v>48</v>
      </c>
      <c r="D151" s="43">
        <f t="shared" ref="D151:V151" si="58">+D138+D150</f>
        <v>97812.81462796792</v>
      </c>
      <c r="E151" s="43">
        <f t="shared" si="58"/>
        <v>119174.71194410013</v>
      </c>
      <c r="F151" s="43">
        <f t="shared" si="58"/>
        <v>114508.22327746704</v>
      </c>
      <c r="G151" s="43">
        <f t="shared" si="58"/>
        <v>115726.3263863129</v>
      </c>
      <c r="H151" s="43">
        <f t="shared" si="58"/>
        <v>132784.11983794218</v>
      </c>
      <c r="I151" s="43">
        <f t="shared" si="58"/>
        <v>148304.04724514752</v>
      </c>
      <c r="J151" s="43">
        <f t="shared" si="58"/>
        <v>150243.47256010183</v>
      </c>
      <c r="K151" s="43">
        <f t="shared" si="58"/>
        <v>168670.26412000478</v>
      </c>
      <c r="L151" s="43">
        <f t="shared" si="58"/>
        <v>177428.55286380916</v>
      </c>
      <c r="M151" s="43">
        <f t="shared" si="58"/>
        <v>201555.47935087333</v>
      </c>
      <c r="N151" s="43">
        <f t="shared" si="58"/>
        <v>196479.87392280859</v>
      </c>
      <c r="O151" s="43">
        <f t="shared" si="58"/>
        <v>203991.83261170133</v>
      </c>
      <c r="P151" s="43">
        <f t="shared" si="58"/>
        <v>220173.04832506814</v>
      </c>
      <c r="Q151" s="43">
        <f t="shared" si="58"/>
        <v>245618.27156637725</v>
      </c>
      <c r="R151" s="43">
        <f t="shared" si="58"/>
        <v>256778.97118761376</v>
      </c>
      <c r="S151" s="43">
        <f t="shared" si="58"/>
        <v>254462.55819703976</v>
      </c>
      <c r="T151" s="43">
        <f t="shared" si="58"/>
        <v>249348.36157149883</v>
      </c>
      <c r="U151" s="43">
        <f t="shared" si="58"/>
        <v>265319.88068216754</v>
      </c>
      <c r="V151" s="43">
        <f t="shared" si="58"/>
        <v>269989.40221241268</v>
      </c>
    </row>
    <row r="152" spans="2:22" x14ac:dyDescent="0.2">
      <c r="B152" s="38" t="s">
        <v>49</v>
      </c>
      <c r="C152" s="79" t="s">
        <v>63</v>
      </c>
      <c r="D152" s="44">
        <f t="shared" ref="D152:V152" si="59">+D138+D143+D150</f>
        <v>155722.23999211192</v>
      </c>
      <c r="E152" s="44">
        <f t="shared" si="59"/>
        <v>190007.52516175315</v>
      </c>
      <c r="F152" s="44">
        <f t="shared" si="59"/>
        <v>184827.07145971298</v>
      </c>
      <c r="G152" s="44">
        <f t="shared" si="59"/>
        <v>193298.53068758457</v>
      </c>
      <c r="H152" s="44">
        <f t="shared" si="59"/>
        <v>201651.48459109562</v>
      </c>
      <c r="I152" s="44">
        <f t="shared" si="59"/>
        <v>230845.42180957753</v>
      </c>
      <c r="J152" s="44">
        <f t="shared" si="59"/>
        <v>244818.2109155411</v>
      </c>
      <c r="K152" s="44">
        <f t="shared" si="59"/>
        <v>259526.14526295842</v>
      </c>
      <c r="L152" s="44">
        <f t="shared" si="59"/>
        <v>257238.65920793026</v>
      </c>
      <c r="M152" s="44">
        <f t="shared" si="59"/>
        <v>273467.40351261426</v>
      </c>
      <c r="N152" s="44">
        <f t="shared" si="59"/>
        <v>265701.96491429763</v>
      </c>
      <c r="O152" s="44">
        <f t="shared" si="59"/>
        <v>273470.92158419004</v>
      </c>
      <c r="P152" s="44">
        <f t="shared" si="59"/>
        <v>294958.02290734072</v>
      </c>
      <c r="Q152" s="44">
        <f t="shared" si="59"/>
        <v>321204.77866832522</v>
      </c>
      <c r="R152" s="44">
        <f t="shared" si="59"/>
        <v>333718.00282243604</v>
      </c>
      <c r="S152" s="44">
        <f t="shared" si="59"/>
        <v>338437.02129670238</v>
      </c>
      <c r="T152" s="44">
        <f t="shared" si="59"/>
        <v>317947.3351505613</v>
      </c>
      <c r="U152" s="44">
        <f t="shared" si="59"/>
        <v>346774.68782637897</v>
      </c>
      <c r="V152" s="44">
        <f t="shared" si="59"/>
        <v>328722.5713351249</v>
      </c>
    </row>
    <row r="153" spans="2:22" x14ac:dyDescent="0.2">
      <c r="B153" s="36" t="s">
        <v>64</v>
      </c>
      <c r="C153" s="78" t="s">
        <v>65</v>
      </c>
      <c r="D153" s="43">
        <f t="shared" ref="D153:V153" si="60">+D26</f>
        <v>127061.81947214218</v>
      </c>
      <c r="E153" s="43">
        <f t="shared" si="60"/>
        <v>143347.67210441464</v>
      </c>
      <c r="F153" s="43">
        <f t="shared" si="60"/>
        <v>141900.78307788781</v>
      </c>
      <c r="G153" s="43">
        <f t="shared" si="60"/>
        <v>135105.69626355026</v>
      </c>
      <c r="H153" s="43">
        <f t="shared" si="60"/>
        <v>158106.95203872834</v>
      </c>
      <c r="I153" s="43">
        <f t="shared" si="60"/>
        <v>170310.133582593</v>
      </c>
      <c r="J153" s="43">
        <f t="shared" si="60"/>
        <v>176374.11325182018</v>
      </c>
      <c r="K153" s="43">
        <f t="shared" si="60"/>
        <v>193938.33639991417</v>
      </c>
      <c r="L153" s="43">
        <f t="shared" si="60"/>
        <v>199888.87686687961</v>
      </c>
      <c r="M153" s="43">
        <f t="shared" si="60"/>
        <v>238159.58477640944</v>
      </c>
      <c r="N153" s="43">
        <f t="shared" si="60"/>
        <v>241516.00856821408</v>
      </c>
      <c r="O153" s="43">
        <f t="shared" si="60"/>
        <v>246098.91961046902</v>
      </c>
      <c r="P153" s="43">
        <f t="shared" si="60"/>
        <v>267303.11946781899</v>
      </c>
      <c r="Q153" s="43">
        <f t="shared" si="60"/>
        <v>293086.47183310136</v>
      </c>
      <c r="R153" s="43">
        <f t="shared" si="60"/>
        <v>305427.33888335462</v>
      </c>
      <c r="S153" s="43">
        <f t="shared" si="60"/>
        <v>294512.00718811294</v>
      </c>
      <c r="T153" s="43">
        <f t="shared" si="60"/>
        <v>283876.92650821747</v>
      </c>
      <c r="U153" s="43">
        <f t="shared" si="60"/>
        <v>298690.83617186081</v>
      </c>
      <c r="V153" s="43">
        <f t="shared" si="60"/>
        <v>299205.9813762898</v>
      </c>
    </row>
    <row r="154" spans="2:22" x14ac:dyDescent="0.2">
      <c r="B154" s="38" t="s">
        <v>66</v>
      </c>
      <c r="C154" s="80" t="s">
        <v>73</v>
      </c>
      <c r="D154" s="81">
        <f t="shared" ref="D154:V154" si="61">+D151/D$26*100</f>
        <v>76.980492672240558</v>
      </c>
      <c r="E154" s="45">
        <f t="shared" si="61"/>
        <v>83.136831030847219</v>
      </c>
      <c r="F154" s="45">
        <f t="shared" si="61"/>
        <v>80.695977001490334</v>
      </c>
      <c r="G154" s="45">
        <f t="shared" si="61"/>
        <v>85.656141514985364</v>
      </c>
      <c r="H154" s="45">
        <f t="shared" si="61"/>
        <v>83.983732609946642</v>
      </c>
      <c r="I154" s="45">
        <f t="shared" si="61"/>
        <v>87.078815643830438</v>
      </c>
      <c r="J154" s="45">
        <f t="shared" si="61"/>
        <v>85.184537452834689</v>
      </c>
      <c r="K154" s="45">
        <f t="shared" si="61"/>
        <v>86.971079184775064</v>
      </c>
      <c r="L154" s="45">
        <f t="shared" si="61"/>
        <v>88.763594875752688</v>
      </c>
      <c r="M154" s="45">
        <f t="shared" si="61"/>
        <v>84.630429440872163</v>
      </c>
      <c r="N154" s="45">
        <f t="shared" si="61"/>
        <v>81.35273313251804</v>
      </c>
      <c r="O154" s="45">
        <f t="shared" si="61"/>
        <v>82.890178036776547</v>
      </c>
      <c r="P154" s="45">
        <f t="shared" si="61"/>
        <v>82.368304853088375</v>
      </c>
      <c r="Q154" s="45">
        <f t="shared" si="61"/>
        <v>83.804028903198585</v>
      </c>
      <c r="R154" s="45">
        <f t="shared" si="61"/>
        <v>84.072032361739531</v>
      </c>
      <c r="S154" s="45">
        <f t="shared" si="61"/>
        <v>86.401420650570458</v>
      </c>
      <c r="T154" s="45">
        <f t="shared" si="61"/>
        <v>87.836783580324152</v>
      </c>
      <c r="U154" s="45">
        <f t="shared" si="61"/>
        <v>88.82759313362655</v>
      </c>
      <c r="V154" s="45">
        <f t="shared" si="61"/>
        <v>90.235295755289897</v>
      </c>
    </row>
    <row r="155" spans="2:22" x14ac:dyDescent="0.2">
      <c r="B155" s="1" t="s">
        <v>52</v>
      </c>
      <c r="C155" s="15"/>
      <c r="D155" s="12"/>
      <c r="E155" s="12"/>
      <c r="F155" s="12"/>
      <c r="G155" s="12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62" spans="2:22" ht="18" customHeight="1" x14ac:dyDescent="0.2">
      <c r="C162" s="131"/>
      <c r="D162" s="164" t="s">
        <v>74</v>
      </c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</row>
    <row r="163" spans="2:22" x14ac:dyDescent="0.2">
      <c r="U163" s="29"/>
      <c r="V163" s="29"/>
    </row>
    <row r="164" spans="2:22" x14ac:dyDescent="0.2">
      <c r="B164" s="167"/>
      <c r="C164" s="161" t="s">
        <v>38</v>
      </c>
      <c r="D164" s="155">
        <v>2000</v>
      </c>
      <c r="E164" s="155">
        <v>2001</v>
      </c>
      <c r="F164" s="155">
        <v>2002</v>
      </c>
      <c r="G164" s="155">
        <v>2003</v>
      </c>
      <c r="H164" s="155">
        <v>2004</v>
      </c>
      <c r="I164" s="155">
        <v>2005</v>
      </c>
      <c r="J164" s="155">
        <v>2006</v>
      </c>
      <c r="K164" s="155">
        <v>2007</v>
      </c>
      <c r="L164" s="155">
        <v>2008</v>
      </c>
      <c r="M164" s="155">
        <v>2009</v>
      </c>
      <c r="N164" s="155">
        <v>2010</v>
      </c>
      <c r="O164" s="155">
        <v>2011</v>
      </c>
      <c r="P164" s="155">
        <v>2012</v>
      </c>
      <c r="Q164" s="155">
        <v>2013</v>
      </c>
      <c r="R164" s="155">
        <v>2014</v>
      </c>
      <c r="S164" s="155">
        <v>2015</v>
      </c>
      <c r="T164" s="155">
        <v>2016</v>
      </c>
      <c r="U164" s="155">
        <v>2017</v>
      </c>
      <c r="V164" s="155">
        <v>2018</v>
      </c>
    </row>
    <row r="165" spans="2:22" ht="12" customHeight="1" thickBot="1" x14ac:dyDescent="0.25">
      <c r="B165" s="156"/>
      <c r="C165" s="162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</row>
    <row r="166" spans="2:22" x14ac:dyDescent="0.2">
      <c r="B166" s="34" t="s">
        <v>39</v>
      </c>
      <c r="C166" s="76" t="s">
        <v>40</v>
      </c>
      <c r="D166" s="46">
        <f t="shared" ref="D166:V166" si="62">+IFERROR(IF(D138&gt;0,+((D138/D13)*100)," "),"")</f>
        <v>83.379005578547591</v>
      </c>
      <c r="E166" s="46">
        <f t="shared" si="62"/>
        <v>90.992420672840197</v>
      </c>
      <c r="F166" s="46">
        <f t="shared" si="62"/>
        <v>89.990395035672108</v>
      </c>
      <c r="G166" s="46">
        <f t="shared" si="62"/>
        <v>91.248011217710854</v>
      </c>
      <c r="H166" s="46">
        <f t="shared" si="62"/>
        <v>89.752804298424223</v>
      </c>
      <c r="I166" s="46">
        <f t="shared" si="62"/>
        <v>92.795371879449561</v>
      </c>
      <c r="J166" s="46">
        <f t="shared" si="62"/>
        <v>91.929746631120835</v>
      </c>
      <c r="K166" s="46">
        <f t="shared" si="62"/>
        <v>93.293974199324438</v>
      </c>
      <c r="L166" s="46">
        <f t="shared" si="62"/>
        <v>93.518467529042127</v>
      </c>
      <c r="M166" s="46">
        <f t="shared" si="62"/>
        <v>89.25909139521923</v>
      </c>
      <c r="N166" s="46">
        <f t="shared" si="62"/>
        <v>84.65483323253595</v>
      </c>
      <c r="O166" s="46">
        <f t="shared" si="62"/>
        <v>89.670977847945139</v>
      </c>
      <c r="P166" s="46">
        <f t="shared" si="62"/>
        <v>88.384184561317838</v>
      </c>
      <c r="Q166" s="46">
        <f t="shared" si="62"/>
        <v>89.388234074589562</v>
      </c>
      <c r="R166" s="46">
        <f t="shared" si="62"/>
        <v>88.572854628537783</v>
      </c>
      <c r="S166" s="46">
        <f t="shared" si="62"/>
        <v>91.869949805959976</v>
      </c>
      <c r="T166" s="46">
        <f t="shared" si="62"/>
        <v>92.881821882545978</v>
      </c>
      <c r="U166" s="46">
        <f t="shared" si="62"/>
        <v>93.826601156822861</v>
      </c>
      <c r="V166" s="46">
        <f t="shared" si="62"/>
        <v>93.743188989528093</v>
      </c>
    </row>
    <row r="167" spans="2:22" x14ac:dyDescent="0.2">
      <c r="B167" s="40"/>
      <c r="C167" s="77" t="s">
        <v>56</v>
      </c>
      <c r="D167" s="47">
        <f t="shared" ref="D167:V167" si="63">+IFERROR(IF(D139&gt;0,+((D139/D14)*100)," "),"")</f>
        <v>93.968555371412208</v>
      </c>
      <c r="E167" s="47">
        <f t="shared" si="63"/>
        <v>95.289929045105154</v>
      </c>
      <c r="F167" s="47">
        <f t="shared" si="63"/>
        <v>95.830968547313816</v>
      </c>
      <c r="G167" s="47">
        <f t="shared" si="63"/>
        <v>96.012251981512733</v>
      </c>
      <c r="H167" s="47">
        <f t="shared" si="63"/>
        <v>94.630935383492826</v>
      </c>
      <c r="I167" s="47">
        <f t="shared" si="63"/>
        <v>97.050420141004608</v>
      </c>
      <c r="J167" s="47">
        <f t="shared" si="63"/>
        <v>97.115215171020807</v>
      </c>
      <c r="K167" s="47">
        <f t="shared" si="63"/>
        <v>96.852115383207277</v>
      </c>
      <c r="L167" s="47">
        <f t="shared" si="63"/>
        <v>96.668791397426972</v>
      </c>
      <c r="M167" s="47">
        <f t="shared" si="63"/>
        <v>96.313272417684885</v>
      </c>
      <c r="N167" s="47">
        <f t="shared" si="63"/>
        <v>94.869103920444672</v>
      </c>
      <c r="O167" s="47">
        <f t="shared" si="63"/>
        <v>97.045127099306171</v>
      </c>
      <c r="P167" s="47">
        <f t="shared" si="63"/>
        <v>95.401295542526839</v>
      </c>
      <c r="Q167" s="47">
        <f t="shared" si="63"/>
        <v>94.623155237146491</v>
      </c>
      <c r="R167" s="47">
        <f t="shared" si="63"/>
        <v>93.471141482969657</v>
      </c>
      <c r="S167" s="47">
        <f t="shared" si="63"/>
        <v>94.471896491145586</v>
      </c>
      <c r="T167" s="47">
        <f t="shared" si="63"/>
        <v>96.150294687566486</v>
      </c>
      <c r="U167" s="47">
        <f t="shared" si="63"/>
        <v>96.728075598672831</v>
      </c>
      <c r="V167" s="47">
        <f t="shared" si="63"/>
        <v>96.287819792863061</v>
      </c>
    </row>
    <row r="168" spans="2:22" x14ac:dyDescent="0.2">
      <c r="B168" s="40"/>
      <c r="C168" s="77" t="s">
        <v>57</v>
      </c>
      <c r="D168" s="47">
        <f t="shared" ref="D168:V168" si="64">+IFERROR(IF(D140&gt;0,+((D140/D15)*100)," "),"")</f>
        <v>64.643189991529297</v>
      </c>
      <c r="E168" s="47">
        <f t="shared" si="64"/>
        <v>75.874174305872415</v>
      </c>
      <c r="F168" s="47">
        <f t="shared" si="64"/>
        <v>68.150606566895107</v>
      </c>
      <c r="G168" s="47">
        <f t="shared" si="64"/>
        <v>70.26558472195336</v>
      </c>
      <c r="H168" s="47">
        <f t="shared" si="64"/>
        <v>62.523143131062554</v>
      </c>
      <c r="I168" s="47">
        <f t="shared" si="64"/>
        <v>65.12899850064511</v>
      </c>
      <c r="J168" s="47">
        <f t="shared" si="64"/>
        <v>71.497577483518057</v>
      </c>
      <c r="K168" s="47">
        <f t="shared" si="64"/>
        <v>82.90393515481118</v>
      </c>
      <c r="L168" s="47">
        <f t="shared" si="64"/>
        <v>85.543550224535508</v>
      </c>
      <c r="M168" s="47">
        <f t="shared" si="64"/>
        <v>81.723162738455102</v>
      </c>
      <c r="N168" s="47">
        <f t="shared" si="64"/>
        <v>83.505404891397902</v>
      </c>
      <c r="O168" s="47">
        <f t="shared" si="64"/>
        <v>82.471411742199606</v>
      </c>
      <c r="P168" s="47">
        <f t="shared" si="64"/>
        <v>82.29096639390616</v>
      </c>
      <c r="Q168" s="47">
        <f t="shared" si="64"/>
        <v>85.348223435250034</v>
      </c>
      <c r="R168" s="47">
        <f t="shared" si="64"/>
        <v>83.864218259699612</v>
      </c>
      <c r="S168" s="47">
        <f t="shared" si="64"/>
        <v>84.05854840989798</v>
      </c>
      <c r="T168" s="47">
        <f t="shared" si="64"/>
        <v>80.576529855728737</v>
      </c>
      <c r="U168" s="47">
        <f t="shared" si="64"/>
        <v>81.276529534754843</v>
      </c>
      <c r="V168" s="47">
        <f t="shared" si="64"/>
        <v>84.708562872981432</v>
      </c>
    </row>
    <row r="169" spans="2:22" x14ac:dyDescent="0.2">
      <c r="B169" s="40"/>
      <c r="C169" s="77" t="s">
        <v>58</v>
      </c>
      <c r="D169" s="47">
        <f t="shared" ref="D169:V169" si="65">+IFERROR(IF(D141&gt;0,+((D141/D16)*100)," "),"")</f>
        <v>81.768912079559357</v>
      </c>
      <c r="E169" s="47">
        <f t="shared" si="65"/>
        <v>91.419112474643967</v>
      </c>
      <c r="F169" s="47">
        <f t="shared" si="65"/>
        <v>90.694483480711952</v>
      </c>
      <c r="G169" s="47">
        <f t="shared" si="65"/>
        <v>92.220241412485095</v>
      </c>
      <c r="H169" s="47">
        <f t="shared" si="65"/>
        <v>91.205661570938119</v>
      </c>
      <c r="I169" s="47">
        <f t="shared" si="65"/>
        <v>94.593032559575633</v>
      </c>
      <c r="J169" s="47">
        <f t="shared" si="65"/>
        <v>93.290726751336919</v>
      </c>
      <c r="K169" s="47">
        <f t="shared" si="65"/>
        <v>93.627109654022846</v>
      </c>
      <c r="L169" s="47">
        <f t="shared" si="65"/>
        <v>93.530697937312297</v>
      </c>
      <c r="M169" s="47">
        <f t="shared" si="65"/>
        <v>88.204226277433108</v>
      </c>
      <c r="N169" s="47">
        <f t="shared" si="65"/>
        <v>82.16117810569213</v>
      </c>
      <c r="O169" s="47">
        <f t="shared" si="65"/>
        <v>88.788325438167277</v>
      </c>
      <c r="P169" s="47">
        <f t="shared" si="65"/>
        <v>87.466559390726189</v>
      </c>
      <c r="Q169" s="47">
        <f t="shared" si="65"/>
        <v>88.697176454551112</v>
      </c>
      <c r="R169" s="47">
        <f t="shared" si="65"/>
        <v>87.824542969934456</v>
      </c>
      <c r="S169" s="47">
        <f t="shared" si="65"/>
        <v>92.204638842694592</v>
      </c>
      <c r="T169" s="47">
        <f t="shared" si="65"/>
        <v>93.268279426937099</v>
      </c>
      <c r="U169" s="47">
        <f t="shared" si="65"/>
        <v>94.186227780769457</v>
      </c>
      <c r="V169" s="47">
        <f t="shared" si="65"/>
        <v>93.936564103935638</v>
      </c>
    </row>
    <row r="170" spans="2:22" x14ac:dyDescent="0.2">
      <c r="B170" s="40"/>
      <c r="C170" s="77" t="s">
        <v>59</v>
      </c>
      <c r="D170" s="47">
        <f t="shared" ref="D170:V170" si="66">+IFERROR(IF(D142&gt;0,+((D142/D17)*100)," "),"")</f>
        <v>67.488102990562865</v>
      </c>
      <c r="E170" s="47">
        <f t="shared" si="66"/>
        <v>68.659468699589084</v>
      </c>
      <c r="F170" s="47">
        <f t="shared" si="66"/>
        <v>73.076356589042106</v>
      </c>
      <c r="G170" s="47">
        <f t="shared" si="66"/>
        <v>75.090704164226423</v>
      </c>
      <c r="H170" s="47">
        <f t="shared" si="66"/>
        <v>73.790840571801411</v>
      </c>
      <c r="I170" s="47">
        <f t="shared" si="66"/>
        <v>71.330720943217543</v>
      </c>
      <c r="J170" s="47">
        <f t="shared" si="66"/>
        <v>56.77589362520613</v>
      </c>
      <c r="K170" s="47">
        <f t="shared" si="66"/>
        <v>76.402150122862295</v>
      </c>
      <c r="L170" s="47">
        <f t="shared" si="66"/>
        <v>84.627829540867765</v>
      </c>
      <c r="M170" s="47">
        <f t="shared" si="66"/>
        <v>81.182977490982907</v>
      </c>
      <c r="N170" s="47">
        <f t="shared" si="66"/>
        <v>83.433819090105857</v>
      </c>
      <c r="O170" s="47">
        <f t="shared" si="66"/>
        <v>73.141563562074168</v>
      </c>
      <c r="P170" s="47">
        <f t="shared" si="66"/>
        <v>69.362237228448748</v>
      </c>
      <c r="Q170" s="47">
        <f t="shared" si="66"/>
        <v>70.566016453138388</v>
      </c>
      <c r="R170" s="47">
        <f t="shared" si="66"/>
        <v>76.776043703658175</v>
      </c>
      <c r="S170" s="47">
        <f t="shared" si="66"/>
        <v>74.361815680418488</v>
      </c>
      <c r="T170" s="47">
        <f t="shared" si="66"/>
        <v>80.820064495006207</v>
      </c>
      <c r="U170" s="47">
        <f t="shared" si="66"/>
        <v>82.855078664826195</v>
      </c>
      <c r="V170" s="47">
        <f t="shared" si="66"/>
        <v>79.562175763770057</v>
      </c>
    </row>
    <row r="171" spans="2:22" x14ac:dyDescent="0.2">
      <c r="B171" s="34" t="s">
        <v>41</v>
      </c>
      <c r="C171" s="76" t="s">
        <v>42</v>
      </c>
      <c r="D171" s="46">
        <f t="shared" ref="D171:V171" si="67">+IFERROR(IF(D143&gt;0,+((D143/D18)*100)," "),"")</f>
        <v>93.777044368719203</v>
      </c>
      <c r="E171" s="46">
        <f t="shared" si="67"/>
        <v>95.462818562223035</v>
      </c>
      <c r="F171" s="46">
        <f t="shared" si="67"/>
        <v>94.50233547186923</v>
      </c>
      <c r="G171" s="46">
        <f t="shared" si="67"/>
        <v>93.246696770483368</v>
      </c>
      <c r="H171" s="46">
        <f t="shared" si="67"/>
        <v>88.804273869315878</v>
      </c>
      <c r="I171" s="46">
        <f t="shared" si="67"/>
        <v>95.089358202783785</v>
      </c>
      <c r="J171" s="46">
        <f t="shared" si="67"/>
        <v>92.275440453306246</v>
      </c>
      <c r="K171" s="46">
        <f t="shared" si="67"/>
        <v>92.766030655027095</v>
      </c>
      <c r="L171" s="46">
        <f t="shared" si="67"/>
        <v>88.724313241615619</v>
      </c>
      <c r="M171" s="46">
        <f t="shared" si="67"/>
        <v>85.617789860910975</v>
      </c>
      <c r="N171" s="46">
        <f t="shared" si="67"/>
        <v>78.939506690755806</v>
      </c>
      <c r="O171" s="46">
        <f t="shared" si="67"/>
        <v>93.173431256046655</v>
      </c>
      <c r="P171" s="46">
        <f t="shared" si="67"/>
        <v>99.281282159175404</v>
      </c>
      <c r="Q171" s="46">
        <f t="shared" si="67"/>
        <v>83.62126594478994</v>
      </c>
      <c r="R171" s="46">
        <f t="shared" si="67"/>
        <v>95.964567593946242</v>
      </c>
      <c r="S171" s="46">
        <f t="shared" si="67"/>
        <v>97.488422212992248</v>
      </c>
      <c r="T171" s="46">
        <f t="shared" si="67"/>
        <v>84.706065786168338</v>
      </c>
      <c r="U171" s="46">
        <f t="shared" si="67"/>
        <v>97.783752475203727</v>
      </c>
      <c r="V171" s="46">
        <f t="shared" si="67"/>
        <v>75.90180629662396</v>
      </c>
    </row>
    <row r="172" spans="2:22" x14ac:dyDescent="0.2">
      <c r="B172" s="34"/>
      <c r="C172" s="76" t="s">
        <v>43</v>
      </c>
      <c r="D172" s="46">
        <f t="shared" ref="D172:V172" si="68">+IFERROR(IF(D144&gt;0,+((D144/D19)*100)," "),"")</f>
        <v>96.167344896809965</v>
      </c>
      <c r="E172" s="46">
        <f t="shared" si="68"/>
        <v>96.471968070573197</v>
      </c>
      <c r="F172" s="46">
        <f t="shared" si="68"/>
        <v>96.54892773813782</v>
      </c>
      <c r="G172" s="46">
        <f t="shared" si="68"/>
        <v>90.583864078930048</v>
      </c>
      <c r="H172" s="46">
        <f t="shared" si="68"/>
        <v>77.745254294337954</v>
      </c>
      <c r="I172" s="46">
        <f t="shared" si="68"/>
        <v>92.418247458751409</v>
      </c>
      <c r="J172" s="46">
        <f t="shared" si="68"/>
        <v>82.739327359637443</v>
      </c>
      <c r="K172" s="46">
        <f t="shared" si="68"/>
        <v>88.756546169412815</v>
      </c>
      <c r="L172" s="46">
        <f t="shared" si="68"/>
        <v>82.561653629319835</v>
      </c>
      <c r="M172" s="46">
        <f t="shared" si="68"/>
        <v>76.054443293072168</v>
      </c>
      <c r="N172" s="46">
        <f t="shared" si="68"/>
        <v>75.823814818251236</v>
      </c>
      <c r="O172" s="46">
        <f t="shared" si="68"/>
        <v>76.810280814914023</v>
      </c>
      <c r="P172" s="46">
        <f t="shared" si="68"/>
        <v>98.666464731276989</v>
      </c>
      <c r="Q172" s="46">
        <f t="shared" si="68"/>
        <v>90.581234789955474</v>
      </c>
      <c r="R172" s="46">
        <f t="shared" si="68"/>
        <v>91.585534024116143</v>
      </c>
      <c r="S172" s="46">
        <f t="shared" si="68"/>
        <v>97.494586472955049</v>
      </c>
      <c r="T172" s="46">
        <f t="shared" si="68"/>
        <v>95.720010623344237</v>
      </c>
      <c r="U172" s="46">
        <f t="shared" si="68"/>
        <v>97.002965948353506</v>
      </c>
      <c r="V172" s="46">
        <f t="shared" si="68"/>
        <v>85.895659392676507</v>
      </c>
    </row>
    <row r="173" spans="2:22" x14ac:dyDescent="0.2">
      <c r="B173" s="32"/>
      <c r="C173" s="77" t="s">
        <v>60</v>
      </c>
      <c r="D173" s="47">
        <f t="shared" ref="D173:V173" si="69">+IFERROR(IF(D145&gt;0,+((D145/D20)*100)," "),"")</f>
        <v>96.129301869827742</v>
      </c>
      <c r="E173" s="47">
        <f t="shared" si="69"/>
        <v>96.723404375387716</v>
      </c>
      <c r="F173" s="47">
        <f t="shared" si="69"/>
        <v>97.066441863618422</v>
      </c>
      <c r="G173" s="47">
        <f t="shared" si="69"/>
        <v>95.388340397052147</v>
      </c>
      <c r="H173" s="47">
        <f t="shared" si="69"/>
        <v>83.8540194941191</v>
      </c>
      <c r="I173" s="47">
        <f t="shared" si="69"/>
        <v>95.582623808626465</v>
      </c>
      <c r="J173" s="47">
        <f t="shared" si="69"/>
        <v>87.030162696611185</v>
      </c>
      <c r="K173" s="47">
        <f t="shared" si="69"/>
        <v>89.775547244910854</v>
      </c>
      <c r="L173" s="47">
        <f t="shared" si="69"/>
        <v>81.644882247621865</v>
      </c>
      <c r="M173" s="47">
        <f t="shared" si="69"/>
        <v>80.793044932581466</v>
      </c>
      <c r="N173" s="47">
        <f t="shared" si="69"/>
        <v>84.492875637063079</v>
      </c>
      <c r="O173" s="47">
        <f t="shared" si="69"/>
        <v>72.385105854885197</v>
      </c>
      <c r="P173" s="47">
        <f t="shared" si="69"/>
        <v>99.9720711122349</v>
      </c>
      <c r="Q173" s="47">
        <f t="shared" si="69"/>
        <v>96.222215159645344</v>
      </c>
      <c r="R173" s="47">
        <f t="shared" si="69"/>
        <v>95.647681412403031</v>
      </c>
      <c r="S173" s="47">
        <f t="shared" si="69"/>
        <v>98.292413768641822</v>
      </c>
      <c r="T173" s="47">
        <f t="shared" si="69"/>
        <v>96.016559828926262</v>
      </c>
      <c r="U173" s="47">
        <f t="shared" si="69"/>
        <v>97.185137731188547</v>
      </c>
      <c r="V173" s="47">
        <f t="shared" si="69"/>
        <v>96.430814576422378</v>
      </c>
    </row>
    <row r="174" spans="2:22" x14ac:dyDescent="0.2">
      <c r="B174" s="32"/>
      <c r="C174" s="77" t="s">
        <v>61</v>
      </c>
      <c r="D174" s="47">
        <f t="shared" ref="D174:V174" si="70">+IFERROR(IF(D146&gt;0,+((D146/D21)*100)," "),"")</f>
        <v>96.20644876260252</v>
      </c>
      <c r="E174" s="47">
        <f t="shared" si="70"/>
        <v>96.147730088892473</v>
      </c>
      <c r="F174" s="47">
        <f t="shared" si="70"/>
        <v>95.786960818342351</v>
      </c>
      <c r="G174" s="47">
        <f t="shared" si="70"/>
        <v>83.591871590663544</v>
      </c>
      <c r="H174" s="47">
        <f t="shared" si="70"/>
        <v>72.209371618177187</v>
      </c>
      <c r="I174" s="47">
        <f t="shared" si="70"/>
        <v>86.435112044487482</v>
      </c>
      <c r="J174" s="47">
        <f t="shared" si="70"/>
        <v>78.264175241046601</v>
      </c>
      <c r="K174" s="47">
        <f t="shared" si="70"/>
        <v>87.807122803585159</v>
      </c>
      <c r="L174" s="47">
        <f t="shared" si="70"/>
        <v>83.495111262423833</v>
      </c>
      <c r="M174" s="47">
        <f t="shared" si="70"/>
        <v>72.737228438253112</v>
      </c>
      <c r="N174" s="47">
        <f t="shared" si="70"/>
        <v>68.729425018514377</v>
      </c>
      <c r="O174" s="47">
        <f t="shared" si="70"/>
        <v>80.150448978181259</v>
      </c>
      <c r="P174" s="47">
        <f t="shared" si="70"/>
        <v>97.267384410269869</v>
      </c>
      <c r="Q174" s="47">
        <f t="shared" si="70"/>
        <v>86.50043398120313</v>
      </c>
      <c r="R174" s="47">
        <f t="shared" si="70"/>
        <v>86.55898102428003</v>
      </c>
      <c r="S174" s="47">
        <f t="shared" si="70"/>
        <v>96.535688167634248</v>
      </c>
      <c r="T174" s="47">
        <f t="shared" si="70"/>
        <v>95.54765922121598</v>
      </c>
      <c r="U174" s="47">
        <f t="shared" si="70"/>
        <v>96.782715152538628</v>
      </c>
      <c r="V174" s="47">
        <f t="shared" si="70"/>
        <v>81.896609981357301</v>
      </c>
    </row>
    <row r="175" spans="2:22" x14ac:dyDescent="0.2">
      <c r="B175" s="34"/>
      <c r="C175" s="76" t="s">
        <v>44</v>
      </c>
      <c r="D175" s="46">
        <f t="shared" ref="D175:V175" si="71">+IFERROR(IF(D147&gt;0,+((D147/D22)*100)," "),"")</f>
        <v>92.704488226477139</v>
      </c>
      <c r="E175" s="46">
        <f t="shared" si="71"/>
        <v>94.868317564771246</v>
      </c>
      <c r="F175" s="46">
        <f t="shared" si="71"/>
        <v>93.03335378033627</v>
      </c>
      <c r="G175" s="46">
        <f t="shared" si="71"/>
        <v>95.787319349713755</v>
      </c>
      <c r="H175" s="46">
        <f t="shared" si="71"/>
        <v>94.754992672280807</v>
      </c>
      <c r="I175" s="46">
        <f t="shared" si="71"/>
        <v>96.985641758456268</v>
      </c>
      <c r="J175" s="46">
        <f t="shared" si="71"/>
        <v>95.85242894118295</v>
      </c>
      <c r="K175" s="46">
        <f t="shared" si="71"/>
        <v>93.744963873484338</v>
      </c>
      <c r="L175" s="46">
        <f t="shared" si="71"/>
        <v>90.369301062450702</v>
      </c>
      <c r="M175" s="46">
        <f t="shared" si="71"/>
        <v>88.367141625384178</v>
      </c>
      <c r="N175" s="46">
        <f t="shared" si="71"/>
        <v>79.798579385720387</v>
      </c>
      <c r="O175" s="46">
        <f t="shared" si="71"/>
        <v>97.259508541345213</v>
      </c>
      <c r="P175" s="46">
        <f t="shared" si="71"/>
        <v>99.416434335351909</v>
      </c>
      <c r="Q175" s="46">
        <f t="shared" si="71"/>
        <v>82.310301399786667</v>
      </c>
      <c r="R175" s="46">
        <f t="shared" si="71"/>
        <v>97.200199267697528</v>
      </c>
      <c r="S175" s="46">
        <f t="shared" si="71"/>
        <v>97.486506490547058</v>
      </c>
      <c r="T175" s="46">
        <f t="shared" si="71"/>
        <v>81.82749848301178</v>
      </c>
      <c r="U175" s="46">
        <f t="shared" si="71"/>
        <v>98.099703757383125</v>
      </c>
      <c r="V175" s="46">
        <f t="shared" si="71"/>
        <v>72.863450243131595</v>
      </c>
    </row>
    <row r="176" spans="2:22" x14ac:dyDescent="0.2">
      <c r="B176" s="32"/>
      <c r="C176" s="77" t="s">
        <v>60</v>
      </c>
      <c r="D176" s="47">
        <f t="shared" ref="D176:V176" si="72">+IFERROR(IF(D148&gt;0,+((D148/D23)*100)," "),"")</f>
        <v>93.94725460132814</v>
      </c>
      <c r="E176" s="47">
        <f t="shared" si="72"/>
        <v>93.186800644855367</v>
      </c>
      <c r="F176" s="47">
        <f t="shared" si="72"/>
        <v>89.840887224665337</v>
      </c>
      <c r="G176" s="47">
        <f t="shared" si="72"/>
        <v>98.168929729345876</v>
      </c>
      <c r="H176" s="47">
        <f t="shared" si="72"/>
        <v>96.825942149493457</v>
      </c>
      <c r="I176" s="47">
        <f t="shared" si="72"/>
        <v>98.404983415760398</v>
      </c>
      <c r="J176" s="47">
        <f t="shared" si="72"/>
        <v>96.676240580171381</v>
      </c>
      <c r="K176" s="47">
        <f t="shared" si="72"/>
        <v>92.685709404278754</v>
      </c>
      <c r="L176" s="47">
        <f t="shared" si="72"/>
        <v>86.738877848871667</v>
      </c>
      <c r="M176" s="47">
        <f t="shared" si="72"/>
        <v>84.002283357854267</v>
      </c>
      <c r="N176" s="47">
        <f t="shared" si="72"/>
        <v>75.156031504680598</v>
      </c>
      <c r="O176" s="47">
        <f t="shared" si="72"/>
        <v>96.20220277491137</v>
      </c>
      <c r="P176" s="47">
        <f t="shared" si="72"/>
        <v>99.157782086426096</v>
      </c>
      <c r="Q176" s="47">
        <f t="shared" si="72"/>
        <v>78.084021236292372</v>
      </c>
      <c r="R176" s="47">
        <f t="shared" si="72"/>
        <v>96.98718686633714</v>
      </c>
      <c r="S176" s="47">
        <f t="shared" si="72"/>
        <v>99.357727941404534</v>
      </c>
      <c r="T176" s="47">
        <f t="shared" si="72"/>
        <v>69.593905862466869</v>
      </c>
      <c r="U176" s="47">
        <f t="shared" si="72"/>
        <v>99.756062114259379</v>
      </c>
      <c r="V176" s="47">
        <f t="shared" si="72"/>
        <v>50.129671004644962</v>
      </c>
    </row>
    <row r="177" spans="2:22" x14ac:dyDescent="0.2">
      <c r="B177" s="32"/>
      <c r="C177" s="77" t="s">
        <v>61</v>
      </c>
      <c r="D177" s="47">
        <f t="shared" ref="D177:V177" si="73">+IFERROR(IF(D149&gt;0,+((D149/D24)*100)," "),"")</f>
        <v>91.116888756346569</v>
      </c>
      <c r="E177" s="47">
        <f t="shared" si="73"/>
        <v>97.66492149651306</v>
      </c>
      <c r="F177" s="47">
        <f t="shared" si="73"/>
        <v>97.971958298611298</v>
      </c>
      <c r="G177" s="47">
        <f t="shared" si="73"/>
        <v>93.300526552061896</v>
      </c>
      <c r="H177" s="47">
        <f t="shared" si="73"/>
        <v>92.178289729584478</v>
      </c>
      <c r="I177" s="47">
        <f t="shared" si="73"/>
        <v>95.438403651077536</v>
      </c>
      <c r="J177" s="47">
        <f t="shared" si="73"/>
        <v>94.591584433907499</v>
      </c>
      <c r="K177" s="47">
        <f t="shared" si="73"/>
        <v>95.368960003244467</v>
      </c>
      <c r="L177" s="47">
        <f t="shared" si="73"/>
        <v>95.934404030830976</v>
      </c>
      <c r="M177" s="47">
        <f t="shared" si="73"/>
        <v>93.87582837038272</v>
      </c>
      <c r="N177" s="47">
        <f t="shared" si="73"/>
        <v>86.230505426997581</v>
      </c>
      <c r="O177" s="47">
        <f t="shared" si="73"/>
        <v>98.430199788501241</v>
      </c>
      <c r="P177" s="47">
        <f t="shared" si="73"/>
        <v>99.743717327849225</v>
      </c>
      <c r="Q177" s="47">
        <f t="shared" si="73"/>
        <v>88.880732951322145</v>
      </c>
      <c r="R177" s="47">
        <f t="shared" si="73"/>
        <v>97.467798036035674</v>
      </c>
      <c r="S177" s="47">
        <f t="shared" si="73"/>
        <v>95.014189841644153</v>
      </c>
      <c r="T177" s="47">
        <f t="shared" si="73"/>
        <v>96.07138944482999</v>
      </c>
      <c r="U177" s="47">
        <f t="shared" si="73"/>
        <v>96.567753617817303</v>
      </c>
      <c r="V177" s="47">
        <f t="shared" si="73"/>
        <v>90.611948101406696</v>
      </c>
    </row>
    <row r="178" spans="2:22" x14ac:dyDescent="0.2">
      <c r="B178" s="34" t="s">
        <v>45</v>
      </c>
      <c r="C178" s="76" t="s">
        <v>46</v>
      </c>
      <c r="D178" s="46">
        <f t="shared" ref="D178:V178" si="74">+IFERROR(IF(D150&gt;0,+((D150/D25)*100)," "),"")</f>
        <v>54.792578622039443</v>
      </c>
      <c r="E178" s="46">
        <f t="shared" si="74"/>
        <v>62.664316604020783</v>
      </c>
      <c r="F178" s="46">
        <f t="shared" si="74"/>
        <v>51.708706586564325</v>
      </c>
      <c r="G178" s="46">
        <f t="shared" si="74"/>
        <v>63.545140869086644</v>
      </c>
      <c r="H178" s="46">
        <f t="shared" si="74"/>
        <v>61.454038104841871</v>
      </c>
      <c r="I178" s="46">
        <f t="shared" si="74"/>
        <v>64.700432489076206</v>
      </c>
      <c r="J178" s="46">
        <f t="shared" si="74"/>
        <v>61.767697167933747</v>
      </c>
      <c r="K178" s="46">
        <f t="shared" si="74"/>
        <v>69.842591956048253</v>
      </c>
      <c r="L178" s="46">
        <f t="shared" si="74"/>
        <v>74.919519627594482</v>
      </c>
      <c r="M178" s="46">
        <f t="shared" si="74"/>
        <v>73.675180798256307</v>
      </c>
      <c r="N178" s="46">
        <f t="shared" si="74"/>
        <v>70.529812052498016</v>
      </c>
      <c r="O178" s="46">
        <f t="shared" si="74"/>
        <v>65.708598600078858</v>
      </c>
      <c r="P178" s="46">
        <f t="shared" si="74"/>
        <v>67.97205066251</v>
      </c>
      <c r="Q178" s="46">
        <f t="shared" si="74"/>
        <v>70.910549840491115</v>
      </c>
      <c r="R178" s="46">
        <f t="shared" si="74"/>
        <v>72.788381034215305</v>
      </c>
      <c r="S178" s="46">
        <f t="shared" si="74"/>
        <v>72.812255098373839</v>
      </c>
      <c r="T178" s="46">
        <f t="shared" si="74"/>
        <v>72.805200132772825</v>
      </c>
      <c r="U178" s="46">
        <f t="shared" si="74"/>
        <v>71.649446417325137</v>
      </c>
      <c r="V178" s="46">
        <f t="shared" si="74"/>
        <v>76.910200238465421</v>
      </c>
    </row>
    <row r="179" spans="2:22" x14ac:dyDescent="0.2">
      <c r="B179" s="36" t="s">
        <v>47</v>
      </c>
      <c r="C179" s="78" t="s">
        <v>48</v>
      </c>
      <c r="D179" s="48">
        <f t="shared" ref="D179:V179" si="75">+IFERROR(IF(D151&gt;0,+((D151/D26)*100)," "),"")</f>
        <v>76.980492672240558</v>
      </c>
      <c r="E179" s="48">
        <f t="shared" si="75"/>
        <v>83.136831030847219</v>
      </c>
      <c r="F179" s="48">
        <f t="shared" si="75"/>
        <v>80.695977001490334</v>
      </c>
      <c r="G179" s="48">
        <f t="shared" si="75"/>
        <v>85.656141514985364</v>
      </c>
      <c r="H179" s="48">
        <f t="shared" si="75"/>
        <v>83.983732609946642</v>
      </c>
      <c r="I179" s="48">
        <f t="shared" si="75"/>
        <v>87.078815643830438</v>
      </c>
      <c r="J179" s="48">
        <f t="shared" si="75"/>
        <v>85.184537452834689</v>
      </c>
      <c r="K179" s="48">
        <f t="shared" si="75"/>
        <v>86.971079184775064</v>
      </c>
      <c r="L179" s="48">
        <f t="shared" si="75"/>
        <v>88.763594875752688</v>
      </c>
      <c r="M179" s="48">
        <f t="shared" si="75"/>
        <v>84.630429440872163</v>
      </c>
      <c r="N179" s="48">
        <f t="shared" si="75"/>
        <v>81.35273313251804</v>
      </c>
      <c r="O179" s="48">
        <f t="shared" si="75"/>
        <v>82.890178036776547</v>
      </c>
      <c r="P179" s="48">
        <f t="shared" si="75"/>
        <v>82.368304853088375</v>
      </c>
      <c r="Q179" s="48">
        <f t="shared" si="75"/>
        <v>83.804028903198585</v>
      </c>
      <c r="R179" s="48">
        <f t="shared" si="75"/>
        <v>84.072032361739531</v>
      </c>
      <c r="S179" s="48">
        <f t="shared" si="75"/>
        <v>86.401420650570458</v>
      </c>
      <c r="T179" s="48">
        <f t="shared" si="75"/>
        <v>87.836783580324152</v>
      </c>
      <c r="U179" s="48">
        <f t="shared" si="75"/>
        <v>88.82759313362655</v>
      </c>
      <c r="V179" s="48">
        <f t="shared" si="75"/>
        <v>90.235295755289897</v>
      </c>
    </row>
    <row r="180" spans="2:22" x14ac:dyDescent="0.2">
      <c r="B180" s="38" t="s">
        <v>49</v>
      </c>
      <c r="C180" s="79" t="s">
        <v>63</v>
      </c>
      <c r="D180" s="45">
        <f t="shared" ref="D180:V180" si="76">+IFERROR(IF(D152&gt;0,+((D152/D27)*100)," "),"")</f>
        <v>82.473858435116711</v>
      </c>
      <c r="E180" s="45">
        <f t="shared" si="76"/>
        <v>87.3408897408477</v>
      </c>
      <c r="F180" s="45">
        <f t="shared" si="76"/>
        <v>85.445291224535353</v>
      </c>
      <c r="G180" s="45">
        <f t="shared" si="76"/>
        <v>88.548821945109083</v>
      </c>
      <c r="H180" s="45">
        <f t="shared" si="76"/>
        <v>85.570071133328454</v>
      </c>
      <c r="I180" s="45">
        <f t="shared" si="76"/>
        <v>89.783245663412274</v>
      </c>
      <c r="J180" s="45">
        <f t="shared" si="76"/>
        <v>87.790662020238514</v>
      </c>
      <c r="K180" s="45">
        <f t="shared" si="76"/>
        <v>88.91559141567113</v>
      </c>
      <c r="L180" s="45">
        <f t="shared" si="76"/>
        <v>88.751403750787347</v>
      </c>
      <c r="M180" s="45">
        <f t="shared" si="76"/>
        <v>84.887855557868463</v>
      </c>
      <c r="N180" s="45">
        <f t="shared" si="76"/>
        <v>80.709926180516845</v>
      </c>
      <c r="O180" s="45">
        <f t="shared" si="76"/>
        <v>85.281489687808829</v>
      </c>
      <c r="P180" s="45">
        <f t="shared" si="76"/>
        <v>86.086586771531955</v>
      </c>
      <c r="Q180" s="45">
        <f t="shared" si="76"/>
        <v>83.760948941425653</v>
      </c>
      <c r="R180" s="45">
        <f t="shared" si="76"/>
        <v>86.54473134435861</v>
      </c>
      <c r="S180" s="45">
        <f t="shared" si="76"/>
        <v>88.910316274429064</v>
      </c>
      <c r="T180" s="45">
        <f t="shared" si="76"/>
        <v>87.1418891837708</v>
      </c>
      <c r="U180" s="45">
        <f t="shared" si="76"/>
        <v>90.78066306136698</v>
      </c>
      <c r="V180" s="45">
        <f t="shared" si="76"/>
        <v>87.290070118372924</v>
      </c>
    </row>
    <row r="181" spans="2:22" x14ac:dyDescent="0.2">
      <c r="B181" s="1" t="s">
        <v>52</v>
      </c>
      <c r="C181" s="15"/>
      <c r="D181" s="12"/>
      <c r="E181" s="12"/>
      <c r="F181" s="12"/>
      <c r="G181" s="12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</sheetData>
  <mergeCells count="187">
    <mergeCell ref="C63:C64"/>
    <mergeCell ref="R6:R7"/>
    <mergeCell ref="E63:E64"/>
    <mergeCell ref="H11:H12"/>
    <mergeCell ref="J11:J12"/>
    <mergeCell ref="O63:O64"/>
    <mergeCell ref="AD6:AD7"/>
    <mergeCell ref="Q63:Q64"/>
    <mergeCell ref="V136:V137"/>
    <mergeCell ref="S112:S113"/>
    <mergeCell ref="C164:C165"/>
    <mergeCell ref="U112:U113"/>
    <mergeCell ref="C10:V10"/>
    <mergeCell ref="R85:R86"/>
    <mergeCell ref="B84:V84"/>
    <mergeCell ref="M164:M165"/>
    <mergeCell ref="B37:B38"/>
    <mergeCell ref="O85:O86"/>
    <mergeCell ref="T11:T12"/>
    <mergeCell ref="F136:F137"/>
    <mergeCell ref="H136:H137"/>
    <mergeCell ref="B112:B113"/>
    <mergeCell ref="D112:D113"/>
    <mergeCell ref="Q11:Q12"/>
    <mergeCell ref="F37:F38"/>
    <mergeCell ref="P112:P113"/>
    <mergeCell ref="U164:U165"/>
    <mergeCell ref="H37:H38"/>
    <mergeCell ref="B135:V135"/>
    <mergeCell ref="U85:U86"/>
    <mergeCell ref="B63:B64"/>
    <mergeCell ref="D63:D64"/>
    <mergeCell ref="I6:I7"/>
    <mergeCell ref="S85:S86"/>
    <mergeCell ref="F112:F113"/>
    <mergeCell ref="V164:V165"/>
    <mergeCell ref="K37:K38"/>
    <mergeCell ref="F63:F64"/>
    <mergeCell ref="K6:K7"/>
    <mergeCell ref="D162:V162"/>
    <mergeCell ref="U6:U7"/>
    <mergeCell ref="H63:H64"/>
    <mergeCell ref="D11:D12"/>
    <mergeCell ref="C85:C86"/>
    <mergeCell ref="F164:F165"/>
    <mergeCell ref="C112:C113"/>
    <mergeCell ref="H164:H165"/>
    <mergeCell ref="O164:O165"/>
    <mergeCell ref="L6:L7"/>
    <mergeCell ref="N6:N7"/>
    <mergeCell ref="P37:P38"/>
    <mergeCell ref="F11:F12"/>
    <mergeCell ref="A7:C7"/>
    <mergeCell ref="D136:D137"/>
    <mergeCell ref="AA6:AA7"/>
    <mergeCell ref="D83:V83"/>
    <mergeCell ref="F85:F86"/>
    <mergeCell ref="P11:P12"/>
    <mergeCell ref="H85:H86"/>
    <mergeCell ref="O112:O113"/>
    <mergeCell ref="G112:G113"/>
    <mergeCell ref="I112:I113"/>
    <mergeCell ref="S37:S38"/>
    <mergeCell ref="V11:V12"/>
    <mergeCell ref="U37:U38"/>
    <mergeCell ref="M37:M38"/>
    <mergeCell ref="G63:G64"/>
    <mergeCell ref="J85:J86"/>
    <mergeCell ref="L85:L86"/>
    <mergeCell ref="D37:D38"/>
    <mergeCell ref="K63:K64"/>
    <mergeCell ref="N85:N86"/>
    <mergeCell ref="D9:V9"/>
    <mergeCell ref="P6:P7"/>
    <mergeCell ref="Z6:Z7"/>
    <mergeCell ref="M63:M64"/>
    <mergeCell ref="R136:R137"/>
    <mergeCell ref="AB6:AB7"/>
    <mergeCell ref="T136:T137"/>
    <mergeCell ref="T37:T38"/>
    <mergeCell ref="V37:V38"/>
    <mergeCell ref="G11:G12"/>
    <mergeCell ref="S164:S165"/>
    <mergeCell ref="I11:I12"/>
    <mergeCell ref="N63:N64"/>
    <mergeCell ref="P63:P64"/>
    <mergeCell ref="S11:S12"/>
    <mergeCell ref="R63:R64"/>
    <mergeCell ref="K85:K86"/>
    <mergeCell ref="U11:U12"/>
    <mergeCell ref="M11:M12"/>
    <mergeCell ref="T112:T113"/>
    <mergeCell ref="L112:L113"/>
    <mergeCell ref="V112:V113"/>
    <mergeCell ref="N112:N113"/>
    <mergeCell ref="N164:N165"/>
    <mergeCell ref="K11:K12"/>
    <mergeCell ref="S136:S137"/>
    <mergeCell ref="B164:B165"/>
    <mergeCell ref="B36:V36"/>
    <mergeCell ref="T6:T7"/>
    <mergeCell ref="D164:D165"/>
    <mergeCell ref="I63:I64"/>
    <mergeCell ref="L11:L12"/>
    <mergeCell ref="D85:D86"/>
    <mergeCell ref="N11:N12"/>
    <mergeCell ref="S63:S64"/>
    <mergeCell ref="U63:U64"/>
    <mergeCell ref="D61:V61"/>
    <mergeCell ref="E112:E113"/>
    <mergeCell ref="B85:B86"/>
    <mergeCell ref="E164:E165"/>
    <mergeCell ref="R11:R12"/>
    <mergeCell ref="G164:G165"/>
    <mergeCell ref="Q112:Q113"/>
    <mergeCell ref="V85:V86"/>
    <mergeCell ref="D6:D7"/>
    <mergeCell ref="Q164:Q165"/>
    <mergeCell ref="F6:F7"/>
    <mergeCell ref="D134:V134"/>
    <mergeCell ref="J136:J137"/>
    <mergeCell ref="I164:I165"/>
    <mergeCell ref="B136:B137"/>
    <mergeCell ref="H112:H113"/>
    <mergeCell ref="H6:H7"/>
    <mergeCell ref="J112:J113"/>
    <mergeCell ref="J6:J7"/>
    <mergeCell ref="J37:J38"/>
    <mergeCell ref="L37:L38"/>
    <mergeCell ref="N37:N38"/>
    <mergeCell ref="V6:V7"/>
    <mergeCell ref="N136:N137"/>
    <mergeCell ref="G6:G7"/>
    <mergeCell ref="G37:G38"/>
    <mergeCell ref="Q85:Q86"/>
    <mergeCell ref="I37:I38"/>
    <mergeCell ref="Q6:Q7"/>
    <mergeCell ref="D110:V110"/>
    <mergeCell ref="S6:S7"/>
    <mergeCell ref="T85:T86"/>
    <mergeCell ref="M136:M137"/>
    <mergeCell ref="O11:O12"/>
    <mergeCell ref="L136:L137"/>
    <mergeCell ref="O136:O137"/>
    <mergeCell ref="Q136:Q137"/>
    <mergeCell ref="T63:T64"/>
    <mergeCell ref="E11:E12"/>
    <mergeCell ref="J63:J64"/>
    <mergeCell ref="Y6:Y7"/>
    <mergeCell ref="L63:L64"/>
    <mergeCell ref="K136:K137"/>
    <mergeCell ref="R112:R113"/>
    <mergeCell ref="M85:M86"/>
    <mergeCell ref="D4:V4"/>
    <mergeCell ref="K164:K165"/>
    <mergeCell ref="R164:R165"/>
    <mergeCell ref="T164:T165"/>
    <mergeCell ref="W6:W7"/>
    <mergeCell ref="G136:G137"/>
    <mergeCell ref="I136:I137"/>
    <mergeCell ref="V63:V64"/>
    <mergeCell ref="I85:I86"/>
    <mergeCell ref="U136:U137"/>
    <mergeCell ref="AC6:AC7"/>
    <mergeCell ref="E85:E86"/>
    <mergeCell ref="G85:G86"/>
    <mergeCell ref="J164:J165"/>
    <mergeCell ref="L164:L165"/>
    <mergeCell ref="D2:V2"/>
    <mergeCell ref="C136:C137"/>
    <mergeCell ref="E136:E137"/>
    <mergeCell ref="A5:C6"/>
    <mergeCell ref="K112:K113"/>
    <mergeCell ref="P164:P165"/>
    <mergeCell ref="C37:C38"/>
    <mergeCell ref="M112:M113"/>
    <mergeCell ref="E37:E38"/>
    <mergeCell ref="O6:O7"/>
    <mergeCell ref="P85:P86"/>
    <mergeCell ref="O37:O38"/>
    <mergeCell ref="Q37:Q38"/>
    <mergeCell ref="X6:X7"/>
    <mergeCell ref="P136:P137"/>
    <mergeCell ref="R37:R38"/>
    <mergeCell ref="M6:M7"/>
    <mergeCell ref="E6:E7"/>
    <mergeCell ref="D35:V35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W182"/>
  <sheetViews>
    <sheetView showGridLines="0" zoomScaleNormal="100" workbookViewId="0">
      <pane xSplit="3" ySplit="7" topLeftCell="D8" activePane="bottomRight" state="frozen"/>
      <selection activeCell="O5" sqref="O5:O6"/>
      <selection pane="topRight" activeCell="O5" sqref="O5:O6"/>
      <selection pane="bottomLeft" activeCell="O5" sqref="O5:O6"/>
      <selection pane="bottomRight" activeCell="B29" sqref="B29"/>
    </sheetView>
  </sheetViews>
  <sheetFormatPr baseColWidth="10" defaultColWidth="11.42578125" defaultRowHeight="11.25" x14ac:dyDescent="0.2"/>
  <cols>
    <col min="1" max="2" width="2.7109375" style="3" customWidth="1"/>
    <col min="3" max="3" width="51.85546875" style="3" customWidth="1"/>
    <col min="4" max="33" width="10.7109375" style="3" customWidth="1"/>
    <col min="34" max="34" width="11.42578125" style="3" customWidth="1"/>
    <col min="35" max="16384" width="11.42578125" style="3"/>
  </cols>
  <sheetData>
    <row r="1" spans="1:22" ht="16.5" customHeight="1" x14ac:dyDescent="0.2"/>
    <row r="2" spans="1:22" ht="16.5" customHeight="1" x14ac:dyDescent="0.2">
      <c r="C2" s="30"/>
      <c r="D2" s="163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</row>
    <row r="3" spans="1:22" s="98" customFormat="1" ht="16.5" customHeight="1" x14ac:dyDescent="0.25">
      <c r="A3" s="120"/>
      <c r="C3" s="100"/>
    </row>
    <row r="4" spans="1:22" s="98" customFormat="1" ht="15" customHeight="1" x14ac:dyDescent="0.25">
      <c r="A4" s="120"/>
      <c r="C4" s="100"/>
      <c r="D4" s="165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s="98" customFormat="1" ht="15" customHeight="1" x14ac:dyDescent="0.25">
      <c r="A5" s="169" t="s">
        <v>3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s="98" customFormat="1" ht="15" customHeight="1" x14ac:dyDescent="0.25">
      <c r="A6" s="158"/>
      <c r="B6" s="158"/>
      <c r="C6" s="158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2" s="98" customFormat="1" ht="15" customHeight="1" x14ac:dyDescent="0.25">
      <c r="A7" s="166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2" s="98" customFormat="1" ht="12" customHeight="1" x14ac:dyDescent="0.25">
      <c r="A8" s="99"/>
      <c r="C8" s="100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1:22" s="98" customFormat="1" ht="12" customHeight="1" x14ac:dyDescent="0.25">
      <c r="A9" s="99"/>
      <c r="C9" s="100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ht="18" customHeight="1" x14ac:dyDescent="0.2">
      <c r="C10" s="131"/>
      <c r="D10" s="164" t="s">
        <v>75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2" ht="15.75" customHeight="1" x14ac:dyDescent="0.2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</row>
    <row r="12" spans="1:22" x14ac:dyDescent="0.2">
      <c r="B12" s="167"/>
      <c r="C12" s="161" t="s">
        <v>38</v>
      </c>
      <c r="D12" s="155" t="s">
        <v>27</v>
      </c>
      <c r="E12" s="155" t="s">
        <v>28</v>
      </c>
      <c r="F12" s="155" t="s">
        <v>29</v>
      </c>
      <c r="G12" s="155" t="s">
        <v>30</v>
      </c>
      <c r="H12" s="155">
        <v>2004</v>
      </c>
      <c r="I12" s="155" t="s">
        <v>31</v>
      </c>
      <c r="J12" s="155" t="s">
        <v>32</v>
      </c>
      <c r="K12" s="155" t="s">
        <v>33</v>
      </c>
      <c r="L12" s="155" t="s">
        <v>34</v>
      </c>
      <c r="M12" s="155" t="s">
        <v>35</v>
      </c>
      <c r="N12" s="155">
        <v>2010</v>
      </c>
      <c r="O12" s="155">
        <v>2011</v>
      </c>
      <c r="P12" s="155">
        <v>2012</v>
      </c>
      <c r="Q12" s="155">
        <v>2013</v>
      </c>
      <c r="R12" s="155">
        <v>2014</v>
      </c>
      <c r="S12" s="155">
        <v>2015</v>
      </c>
      <c r="T12" s="155">
        <v>2016</v>
      </c>
      <c r="U12" s="155">
        <v>2017</v>
      </c>
      <c r="V12" s="155">
        <v>2018</v>
      </c>
    </row>
    <row r="13" spans="1:22" ht="12" customHeight="1" thickBot="1" x14ac:dyDescent="0.25">
      <c r="B13" s="156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</row>
    <row r="14" spans="1:22" x14ac:dyDescent="0.2">
      <c r="B14" s="34" t="s">
        <v>39</v>
      </c>
      <c r="C14" s="76" t="s">
        <v>40</v>
      </c>
      <c r="D14" s="41">
        <f t="shared" ref="D14:V14" si="0">+D15+D16+D17+D18</f>
        <v>91894.906315307657</v>
      </c>
      <c r="E14" s="41">
        <f t="shared" si="0"/>
        <v>96735.071492470961</v>
      </c>
      <c r="F14" s="41">
        <f t="shared" si="0"/>
        <v>100614.05132040304</v>
      </c>
      <c r="G14" s="41">
        <f t="shared" si="0"/>
        <v>101142.06880051561</v>
      </c>
      <c r="H14" s="41">
        <f t="shared" si="0"/>
        <v>112879.98311847576</v>
      </c>
      <c r="I14" s="41">
        <f t="shared" si="0"/>
        <v>123755.88749620103</v>
      </c>
      <c r="J14" s="41">
        <f t="shared" si="0"/>
        <v>129724.85735024247</v>
      </c>
      <c r="K14" s="41">
        <f t="shared" si="0"/>
        <v>134741.77534081362</v>
      </c>
      <c r="L14" s="41">
        <f t="shared" si="0"/>
        <v>141992.29193867379</v>
      </c>
      <c r="M14" s="41">
        <f t="shared" si="0"/>
        <v>158982.6121351725</v>
      </c>
      <c r="N14" s="41">
        <f t="shared" si="0"/>
        <v>173790.89915627864</v>
      </c>
      <c r="O14" s="41">
        <f t="shared" si="0"/>
        <v>165717.22045832317</v>
      </c>
      <c r="P14" s="41">
        <f t="shared" si="0"/>
        <v>178150.66597425463</v>
      </c>
      <c r="Q14" s="41">
        <f t="shared" si="0"/>
        <v>193385.77593165901</v>
      </c>
      <c r="R14" s="41">
        <f t="shared" si="0"/>
        <v>207554.70596067046</v>
      </c>
      <c r="S14" s="41">
        <f t="shared" si="0"/>
        <v>199189.39178432972</v>
      </c>
      <c r="T14" s="41">
        <f t="shared" si="0"/>
        <v>202791.26700150355</v>
      </c>
      <c r="U14" s="41">
        <f t="shared" si="0"/>
        <v>221535.77863587913</v>
      </c>
      <c r="V14" s="41">
        <f t="shared" si="0"/>
        <v>227049.35237861404</v>
      </c>
    </row>
    <row r="15" spans="1:22" x14ac:dyDescent="0.2">
      <c r="B15" s="40"/>
      <c r="C15" s="77" t="s">
        <v>56</v>
      </c>
      <c r="D15" s="42">
        <f>5893.4287127795*Deflactores!$A$5</f>
        <v>21993.778390632564</v>
      </c>
      <c r="E15" s="42">
        <f>6377.87207953018*Deflactores!$B$5</f>
        <v>22110.594638824499</v>
      </c>
      <c r="F15" s="42">
        <f>6869.21912756568*Deflactores!$C$5</f>
        <v>22257.75361936017</v>
      </c>
      <c r="G15" s="42">
        <f>7451.06854132026*Deflactores!$D$5</f>
        <v>22671.389475588083</v>
      </c>
      <c r="H15" s="42">
        <f>8207.75345687269*Deflactores!$E$5</f>
        <v>23672.484613098852</v>
      </c>
      <c r="I15" s="42">
        <f>8756.02377494256*Deflactores!$F$5</f>
        <v>24084.444984881786</v>
      </c>
      <c r="J15" s="42">
        <f>9793.78220709813*Deflactores!$G$5</f>
        <v>25784.310167483392</v>
      </c>
      <c r="K15" s="42">
        <f>10805.3226448228*Deflactores!$H$5</f>
        <v>26914.764543370868</v>
      </c>
      <c r="L15" s="42">
        <f>12079.4218202461*Deflactores!$I$5</f>
        <v>27943.87615469829</v>
      </c>
      <c r="M15" s="42">
        <f>13595.5068008225*Deflactores!$J$5</f>
        <v>30833.869658157058</v>
      </c>
      <c r="N15" s="42">
        <f>14982.0975287662*Deflactores!$K$5</f>
        <v>32934.166379052032</v>
      </c>
      <c r="O15" s="42">
        <f>15327.0713431864*Deflactores!$L$5</f>
        <v>32481.997976293245</v>
      </c>
      <c r="P15" s="42">
        <f>17506.8077383976*Deflactores!$M$5</f>
        <v>36217.706796505314</v>
      </c>
      <c r="Q15" s="42">
        <f>19577.3494422109*Deflactores!$N$5</f>
        <v>39730.42856492407</v>
      </c>
      <c r="R15" s="42">
        <f>21941.0947354117*Deflactores!$O$5</f>
        <v>42955.269198083384</v>
      </c>
      <c r="S15" s="42">
        <f>23146.729817083*Deflactores!$P$5</f>
        <v>42442.264941885056</v>
      </c>
      <c r="T15" s="42">
        <f>24517.408510491*Deflactores!$Q$5</f>
        <v>42511.173837629343</v>
      </c>
      <c r="U15" s="42">
        <f>26379.4996351241*Deflactores!$R$5</f>
        <v>43942.633295589549</v>
      </c>
      <c r="V15" s="42">
        <f>29660.177078769*Deflactores!$S$5</f>
        <v>47884.806983788971</v>
      </c>
    </row>
    <row r="16" spans="1:22" x14ac:dyDescent="0.2">
      <c r="B16" s="40"/>
      <c r="C16" s="77" t="s">
        <v>57</v>
      </c>
      <c r="D16" s="42">
        <f>1431.22462728575*Deflactores!$A$5</f>
        <v>5341.2094747969877</v>
      </c>
      <c r="E16" s="42">
        <f>1649.11614210645*Deflactores!$B$5</f>
        <v>5717.1009508776206</v>
      </c>
      <c r="F16" s="42">
        <f>2024.62293996976*Deflactores!$C$5</f>
        <v>6560.215613025759</v>
      </c>
      <c r="G16" s="42">
        <f>2235.30272867725*Deflactores!$D$5</f>
        <v>6801.3625799645588</v>
      </c>
      <c r="H16" s="42">
        <f>2628.5689522323*Deflactores!$E$5</f>
        <v>7581.216760852526</v>
      </c>
      <c r="I16" s="42">
        <f>2882.45835101997*Deflactores!$F$5</f>
        <v>7928.531415712031</v>
      </c>
      <c r="J16" s="42">
        <f>3187.00980463263*Deflactores!$G$5</f>
        <v>8390.5122221220572</v>
      </c>
      <c r="K16" s="42">
        <f>3530.67604850668*Deflactores!$H$5</f>
        <v>8794.4911640382343</v>
      </c>
      <c r="L16" s="42">
        <f>3786.35646481862*Deflactores!$I$5</f>
        <v>8759.1507031482342</v>
      </c>
      <c r="M16" s="42">
        <f>4443.83540513574*Deflactores!$J$5</f>
        <v>10078.376898459534</v>
      </c>
      <c r="N16" s="42">
        <f>4865.93918311778*Deflactores!$K$5</f>
        <v>10696.476267054899</v>
      </c>
      <c r="O16" s="42">
        <f>5301.20905765095*Deflactores!$L$5</f>
        <v>11234.622585551793</v>
      </c>
      <c r="P16" s="42">
        <f>6029.43769903*Deflactores!$M$5</f>
        <v>12473.570852800822</v>
      </c>
      <c r="Q16" s="42">
        <f>6903.73702224478*Deflactores!$N$5</f>
        <v>14010.498786006347</v>
      </c>
      <c r="R16" s="42">
        <f>7251.73399416581*Deflactores!$O$5</f>
        <v>14197.112296750667</v>
      </c>
      <c r="S16" s="42">
        <f>7123.17490568259*Deflactores!$P$5</f>
        <v>13061.183111544484</v>
      </c>
      <c r="T16" s="42">
        <f>7243.91159225011*Deflactores!$Q$5</f>
        <v>12560.348082090004</v>
      </c>
      <c r="U16" s="42">
        <f>7299.50583078459*Deflactores!$R$5</f>
        <v>12159.423506808909</v>
      </c>
      <c r="V16" s="42">
        <f>7897.8440411125*Deflactores!$S$5</f>
        <v>12750.656764198793</v>
      </c>
    </row>
    <row r="17" spans="2:22" x14ac:dyDescent="0.2">
      <c r="B17" s="40"/>
      <c r="C17" s="77" t="s">
        <v>58</v>
      </c>
      <c r="D17" s="42">
        <f>17296.1175194377*Deflactores!$A$5</f>
        <v>64547.650320426124</v>
      </c>
      <c r="E17" s="42">
        <f>19868.9507098156*Deflactores!$B$5</f>
        <v>68881.016985821814</v>
      </c>
      <c r="F17" s="42">
        <f>22150.7871127179*Deflactores!$C$5</f>
        <v>71773.334475718308</v>
      </c>
      <c r="G17" s="42">
        <f>23546.9161542892*Deflactores!$D$5</f>
        <v>71646.275178179407</v>
      </c>
      <c r="H17" s="42">
        <f>28288.7785727399*Deflactores!$E$5</f>
        <v>81589.399462992777</v>
      </c>
      <c r="I17" s="42">
        <f>33335.0029845182*Deflactores!$F$5</f>
        <v>91691.738863142309</v>
      </c>
      <c r="J17" s="42">
        <f>36275.5369287547*Deflactores!$G$5</f>
        <v>95503.420015314769</v>
      </c>
      <c r="K17" s="42">
        <f>39739.017083952*Deflactores!$H$5</f>
        <v>98985.131972160612</v>
      </c>
      <c r="L17" s="42">
        <f>45494.8662734522*Deflactores!$I$5</f>
        <v>105245.344333377</v>
      </c>
      <c r="M17" s="42">
        <f>52052.3543874836*Deflactores!$J$5</f>
        <v>118051.90744980329</v>
      </c>
      <c r="N17" s="42">
        <f>59202.4949330071*Deflactores!$K$5</f>
        <v>130140.97755237405</v>
      </c>
      <c r="O17" s="42">
        <f>57539.8237800356*Deflactores!$L$5</f>
        <v>121941.65458819033</v>
      </c>
      <c r="P17" s="42">
        <f>62566.9975264782*Deflactores!$M$5</f>
        <v>129437.25694671224</v>
      </c>
      <c r="Q17" s="42">
        <f>68800.1926989983*Deflactores!$N$5</f>
        <v>139623.65790881388</v>
      </c>
      <c r="R17" s="42">
        <f>76808.0854612717*Deflactores!$O$5</f>
        <v>150371.34780031804</v>
      </c>
      <c r="S17" s="42">
        <f>78343.872100867*Deflactores!$P$5</f>
        <v>143652.74933239745</v>
      </c>
      <c r="T17" s="42">
        <f>85176.7621650141*Deflactores!$Q$5</f>
        <v>147689.51383152558</v>
      </c>
      <c r="U17" s="42">
        <f>99281.858542504*Deflactores!$R$5</f>
        <v>165382.45088731471</v>
      </c>
      <c r="V17" s="42">
        <f>103027.211747171*Deflactores!$S$5</f>
        <v>166332.05309224653</v>
      </c>
    </row>
    <row r="18" spans="2:22" x14ac:dyDescent="0.2">
      <c r="B18" s="40"/>
      <c r="C18" s="77" t="s">
        <v>59</v>
      </c>
      <c r="D18" s="42">
        <f>3.28735449999999*Deflactores!$A$5</f>
        <v>12.268129451989118</v>
      </c>
      <c r="E18" s="42">
        <f>7.60331430199999*Deflactores!$B$5</f>
        <v>26.358916947027037</v>
      </c>
      <c r="F18" s="42">
        <f>7.02039999999999*Deflactores!$C$5</f>
        <v>22.747612298798639</v>
      </c>
      <c r="G18" s="42">
        <f>7.572729214*Deflactores!$D$5</f>
        <v>23.041566783565937</v>
      </c>
      <c r="H18" s="42">
        <f>12.7878707573799*Deflactores!$E$5</f>
        <v>36.882281531603752</v>
      </c>
      <c r="I18" s="42">
        <f>18.603928152*Deflactores!$F$5</f>
        <v>51.17223246489835</v>
      </c>
      <c r="J18" s="42">
        <f>17.705985505*Deflactores!$G$5</f>
        <v>46.614945322248047</v>
      </c>
      <c r="K18" s="42">
        <f>19.024464*Deflactores!$H$5</f>
        <v>47.387661243893618</v>
      </c>
      <c r="L18" s="42">
        <f>18.9858139999999*Deflactores!$I$5</f>
        <v>43.920747450255462</v>
      </c>
      <c r="M18" s="42">
        <f>8.1387*Deflactores!$J$5</f>
        <v>18.458128752630319</v>
      </c>
      <c r="N18" s="42">
        <f>8.7702*Deflactores!$K$5</f>
        <v>19.278957797663498</v>
      </c>
      <c r="O18" s="42">
        <f>27.814143272*Deflactores!$L$5</f>
        <v>58.945308287813518</v>
      </c>
      <c r="P18" s="42">
        <f>10.6978*Deflactores!$M$5</f>
        <v>22.131378236242508</v>
      </c>
      <c r="Q18" s="42">
        <f>10.4418*Deflactores!$N$5</f>
        <v>21.190671914694789</v>
      </c>
      <c r="R18" s="42">
        <f>15.822551352*Deflactores!$O$5</f>
        <v>30.976665518367309</v>
      </c>
      <c r="S18" s="42">
        <f>18.103222687*Deflactores!$P$5</f>
        <v>33.194398502743937</v>
      </c>
      <c r="T18" s="42">
        <f>17.435225741*Deflactores!$Q$5</f>
        <v>30.231250258639886</v>
      </c>
      <c r="U18" s="42">
        <f>30.77880873864*Deflactores!$R$5</f>
        <v>51.270946165949972</v>
      </c>
      <c r="V18" s="42">
        <f>50.6894924*Deflactores!$S$5</f>
        <v>81.835538379765381</v>
      </c>
    </row>
    <row r="19" spans="2:22" x14ac:dyDescent="0.2">
      <c r="B19" s="34" t="s">
        <v>41</v>
      </c>
      <c r="C19" s="76" t="s">
        <v>42</v>
      </c>
      <c r="D19" s="41">
        <f t="shared" ref="D19:V19" si="1">+D20+D23</f>
        <v>61605.931656920206</v>
      </c>
      <c r="E19" s="41">
        <f t="shared" si="1"/>
        <v>74185.720229885366</v>
      </c>
      <c r="F19" s="41">
        <f t="shared" si="1"/>
        <v>74394.534052822331</v>
      </c>
      <c r="G19" s="41">
        <f t="shared" si="1"/>
        <v>83175.92425924947</v>
      </c>
      <c r="H19" s="41">
        <f t="shared" si="1"/>
        <v>77538.027534830704</v>
      </c>
      <c r="I19" s="41">
        <f t="shared" si="1"/>
        <v>86792.468942920124</v>
      </c>
      <c r="J19" s="41">
        <f t="shared" si="1"/>
        <v>102483.88166713133</v>
      </c>
      <c r="K19" s="41">
        <f t="shared" si="1"/>
        <v>97933.783707735754</v>
      </c>
      <c r="L19" s="41">
        <f t="shared" si="1"/>
        <v>89947.507396030342</v>
      </c>
      <c r="M19" s="41">
        <f t="shared" si="1"/>
        <v>83982.741799755051</v>
      </c>
      <c r="N19" s="41">
        <f t="shared" si="1"/>
        <v>87685.058705327872</v>
      </c>
      <c r="O19" s="41">
        <f t="shared" si="1"/>
        <v>74565.629801464136</v>
      </c>
      <c r="P19" s="41">
        <f t="shared" si="1"/>
        <v>75323.834236607494</v>
      </c>
      <c r="Q19" s="41">
        <f t="shared" si="1"/>
        <v>90388.69210967535</v>
      </c>
      <c r="R19" s="41">
        <f t="shared" si="1"/>
        <v>80172.353701209591</v>
      </c>
      <c r="S19" s="41">
        <f t="shared" si="1"/>
        <v>86135.002359964914</v>
      </c>
      <c r="T19" s="41">
        <f t="shared" si="1"/>
        <v>80982.491047787073</v>
      </c>
      <c r="U19" s="41">
        <f t="shared" si="1"/>
        <v>83298.388859630781</v>
      </c>
      <c r="V19" s="41">
        <f t="shared" si="1"/>
        <v>77378.385519583317</v>
      </c>
    </row>
    <row r="20" spans="2:22" x14ac:dyDescent="0.2">
      <c r="B20" s="34"/>
      <c r="C20" s="76" t="s">
        <v>43</v>
      </c>
      <c r="D20" s="41">
        <f t="shared" ref="D20:V20" si="2">+D21+D22</f>
        <v>19102.500426275801</v>
      </c>
      <c r="E20" s="41">
        <f t="shared" si="2"/>
        <v>27494.742446509139</v>
      </c>
      <c r="F20" s="41">
        <f t="shared" si="2"/>
        <v>31080.580487409756</v>
      </c>
      <c r="G20" s="41">
        <f t="shared" si="2"/>
        <v>40607.636906853499</v>
      </c>
      <c r="H20" s="41">
        <f t="shared" si="2"/>
        <v>27121.971111568455</v>
      </c>
      <c r="I20" s="41">
        <f t="shared" si="2"/>
        <v>36032.986353815511</v>
      </c>
      <c r="J20" s="41">
        <f t="shared" si="2"/>
        <v>27954.121653545935</v>
      </c>
      <c r="K20" s="41">
        <f t="shared" si="2"/>
        <v>19216.876908993683</v>
      </c>
      <c r="L20" s="41">
        <f t="shared" si="2"/>
        <v>18949.434299002067</v>
      </c>
      <c r="M20" s="41">
        <f t="shared" si="2"/>
        <v>18752.591291575209</v>
      </c>
      <c r="N20" s="41">
        <f t="shared" si="2"/>
        <v>18950.065962635752</v>
      </c>
      <c r="O20" s="41">
        <f t="shared" si="2"/>
        <v>14898.207302144074</v>
      </c>
      <c r="P20" s="41">
        <f t="shared" si="2"/>
        <v>13574.226420198596</v>
      </c>
      <c r="Q20" s="41">
        <f t="shared" si="2"/>
        <v>14326.233574254802</v>
      </c>
      <c r="R20" s="41">
        <f t="shared" si="2"/>
        <v>17643.82900184832</v>
      </c>
      <c r="S20" s="41">
        <f t="shared" si="2"/>
        <v>20422.501435644488</v>
      </c>
      <c r="T20" s="41">
        <f t="shared" si="2"/>
        <v>16779.859412575599</v>
      </c>
      <c r="U20" s="41">
        <f t="shared" si="2"/>
        <v>23997.078559821977</v>
      </c>
      <c r="V20" s="41">
        <f t="shared" si="2"/>
        <v>18040.412704055529</v>
      </c>
    </row>
    <row r="21" spans="2:22" x14ac:dyDescent="0.2">
      <c r="B21" s="32"/>
      <c r="C21" s="77" t="s">
        <v>60</v>
      </c>
      <c r="D21" s="42">
        <f>2592.326761633*Deflactores!$A$5</f>
        <v>9674.344611622957</v>
      </c>
      <c r="E21" s="42">
        <f>4466.019032136*Deflactores!$B$5</f>
        <v>15482.646129852839</v>
      </c>
      <c r="F21" s="42">
        <f>5711.515399244*Deflactores!$C$5</f>
        <v>18506.543493336681</v>
      </c>
      <c r="G21" s="42">
        <f>7909.3370198*Deflactores!$D$5</f>
        <v>24065.764403477071</v>
      </c>
      <c r="H21" s="42">
        <f>4469.42343748299*Deflactores!$E$5</f>
        <v>12890.537966225924</v>
      </c>
      <c r="I21" s="42">
        <f>8567.810742997*Deflactores!$F$5</f>
        <v>23566.743511034387</v>
      </c>
      <c r="J21" s="42">
        <f>5420.12186511*Deflactores!$G$5</f>
        <v>14269.676449846598</v>
      </c>
      <c r="K21" s="42">
        <f>3720.58431846086*Deflactores!$H$5</f>
        <v>9267.5299189804264</v>
      </c>
      <c r="L21" s="42">
        <f>4132.157720009*Deflactores!$I$5</f>
        <v>9559.1084820034412</v>
      </c>
      <c r="M21" s="42">
        <f>3404.305144954*Deflactores!$J$5</f>
        <v>7720.7788318530911</v>
      </c>
      <c r="N21" s="42">
        <f>3879.178468778*Deflactores!$K$5</f>
        <v>8527.3446431296852</v>
      </c>
      <c r="O21" s="42">
        <f>3023.35726236699*Deflactores!$L$5</f>
        <v>6407.2700047470344</v>
      </c>
      <c r="P21" s="42">
        <f>3394.06465378*Deflactores!$M$5</f>
        <v>7021.5678561074837</v>
      </c>
      <c r="Q21" s="42">
        <f>2962.942797922*Deflactores!$N$5</f>
        <v>6013.019664499695</v>
      </c>
      <c r="R21" s="42">
        <f>4984.233802202*Deflactores!$O$5</f>
        <v>9757.9043936321741</v>
      </c>
      <c r="S21" s="42">
        <f>6079.444853663*Deflactores!$P$5</f>
        <v>11147.3806977396</v>
      </c>
      <c r="T21" s="42">
        <f>3556.95272029546*Deflactores!$Q$5</f>
        <v>6167.4640433553977</v>
      </c>
      <c r="U21" s="42">
        <f>7884.374597283*Deflactores!$R$5</f>
        <v>13133.690421942627</v>
      </c>
      <c r="V21" s="42">
        <f>3074.496157762*Deflactores!$S$5</f>
        <v>4963.6134907709857</v>
      </c>
    </row>
    <row r="22" spans="2:22" x14ac:dyDescent="0.2">
      <c r="B22" s="32"/>
      <c r="C22" s="77" t="s">
        <v>61</v>
      </c>
      <c r="D22" s="42">
        <f>2526.358281863*Deflactores!$A$5</f>
        <v>9428.1558146528423</v>
      </c>
      <c r="E22" s="42">
        <f>3464.927785348*Deflactores!$B$5</f>
        <v>12012.096316656301</v>
      </c>
      <c r="F22" s="42">
        <f>3880.616926017*Deflactores!$C$5</f>
        <v>12574.036994073074</v>
      </c>
      <c r="G22" s="42">
        <f>5436.57132074573*Deflactores!$D$5</f>
        <v>16541.872503376431</v>
      </c>
      <c r="H22" s="42">
        <f>4934.340290174*Deflactores!$E$5</f>
        <v>14231.433145342533</v>
      </c>
      <c r="I22" s="42">
        <f>4532.166665419*Deflactores!$F$5</f>
        <v>12466.242842781125</v>
      </c>
      <c r="J22" s="42">
        <f>5197.830582996*Deflactores!$G$5</f>
        <v>13684.445203699337</v>
      </c>
      <c r="K22" s="42">
        <f>3994.309671896*Deflactores!$H$5</f>
        <v>9949.346990013255</v>
      </c>
      <c r="L22" s="42">
        <f>4059.197297652*Deflactores!$I$5</f>
        <v>9390.3258169986238</v>
      </c>
      <c r="M22" s="42">
        <f>4864.231540976*Deflactores!$J$5</f>
        <v>11031.812459722118</v>
      </c>
      <c r="N22" s="42">
        <f>4741.405187754*Deflactores!$K$5</f>
        <v>10422.721319506069</v>
      </c>
      <c r="O22" s="42">
        <f>4006.56393805299*Deflactores!$L$5</f>
        <v>8490.9372973970385</v>
      </c>
      <c r="P22" s="42">
        <f>3167.404670358*Deflactores!$M$5</f>
        <v>6552.6585640911135</v>
      </c>
      <c r="Q22" s="42">
        <f>4096.373977773*Deflactores!$N$5</f>
        <v>8313.2139097551062</v>
      </c>
      <c r="R22" s="42">
        <f>4028.046433775*Deflactores!$O$5</f>
        <v>7885.9246082161462</v>
      </c>
      <c r="S22" s="42">
        <f>5058.370801725*Deflactores!$P$5</f>
        <v>9275.1207379048901</v>
      </c>
      <c r="T22" s="42">
        <f>6120.47160908329*Deflactores!$Q$5</f>
        <v>10612.395369220203</v>
      </c>
      <c r="U22" s="42">
        <f>6521.474065783*Deflactores!$R$5</f>
        <v>10863.38813787935</v>
      </c>
      <c r="V22" s="42">
        <f>8099.858905578*Deflactores!$S$5</f>
        <v>13076.799213284543</v>
      </c>
    </row>
    <row r="23" spans="2:22" x14ac:dyDescent="0.2">
      <c r="B23" s="34"/>
      <c r="C23" s="76" t="s">
        <v>44</v>
      </c>
      <c r="D23" s="41">
        <f t="shared" ref="D23:V23" si="3">+D24+D25</f>
        <v>42503.431230644404</v>
      </c>
      <c r="E23" s="41">
        <f t="shared" si="3"/>
        <v>46690.977783376227</v>
      </c>
      <c r="F23" s="41">
        <f t="shared" si="3"/>
        <v>43313.953565412579</v>
      </c>
      <c r="G23" s="41">
        <f t="shared" si="3"/>
        <v>42568.287352395979</v>
      </c>
      <c r="H23" s="41">
        <f t="shared" si="3"/>
        <v>50416.056423262256</v>
      </c>
      <c r="I23" s="41">
        <f t="shared" si="3"/>
        <v>50759.482589104606</v>
      </c>
      <c r="J23" s="41">
        <f t="shared" si="3"/>
        <v>74529.760013585386</v>
      </c>
      <c r="K23" s="41">
        <f t="shared" si="3"/>
        <v>78716.906798742071</v>
      </c>
      <c r="L23" s="41">
        <f t="shared" si="3"/>
        <v>70998.073097028275</v>
      </c>
      <c r="M23" s="41">
        <f t="shared" si="3"/>
        <v>65230.150508179839</v>
      </c>
      <c r="N23" s="41">
        <f t="shared" si="3"/>
        <v>68734.99274269212</v>
      </c>
      <c r="O23" s="41">
        <f t="shared" si="3"/>
        <v>59667.422499320062</v>
      </c>
      <c r="P23" s="41">
        <f t="shared" si="3"/>
        <v>61749.607816408898</v>
      </c>
      <c r="Q23" s="41">
        <f t="shared" si="3"/>
        <v>76062.458535420548</v>
      </c>
      <c r="R23" s="41">
        <f t="shared" si="3"/>
        <v>62528.524699361267</v>
      </c>
      <c r="S23" s="41">
        <f t="shared" si="3"/>
        <v>65712.500924320426</v>
      </c>
      <c r="T23" s="41">
        <f t="shared" si="3"/>
        <v>64202.631635211466</v>
      </c>
      <c r="U23" s="41">
        <f t="shared" si="3"/>
        <v>59301.3102998088</v>
      </c>
      <c r="V23" s="41">
        <f t="shared" si="3"/>
        <v>59337.972815527792</v>
      </c>
    </row>
    <row r="24" spans="2:22" x14ac:dyDescent="0.2">
      <c r="B24" s="32"/>
      <c r="C24" s="77" t="s">
        <v>60</v>
      </c>
      <c r="D24" s="42">
        <f>6383.295355696*Deflactores!$A$5</f>
        <v>23821.919343946538</v>
      </c>
      <c r="E24" s="42">
        <f>8411.104550394*Deflactores!$B$5</f>
        <v>29159.337292985278</v>
      </c>
      <c r="F24" s="42">
        <f>8119.19587233799*Deflactores!$C$5</f>
        <v>26307.948248240995</v>
      </c>
      <c r="G24" s="42">
        <f>7146.031182507*Deflactores!$D$5</f>
        <v>21743.251353128304</v>
      </c>
      <c r="H24" s="42">
        <f>9691.048390262*Deflactores!$E$5</f>
        <v>27950.546408186539</v>
      </c>
      <c r="I24" s="42">
        <f>9624.308033073*Deflactores!$F$5</f>
        <v>26472.760158948189</v>
      </c>
      <c r="J24" s="42">
        <f>17121.65354468*Deflactores!$G$5</f>
        <v>45076.561459194119</v>
      </c>
      <c r="K24" s="42">
        <f>19126.4048796461*Deflactores!$H$5</f>
        <v>47641.583765525444</v>
      </c>
      <c r="L24" s="42">
        <f>18573.685191487*Deflactores!$I$5</f>
        <v>42967.35112415273</v>
      </c>
      <c r="M24" s="42">
        <f>16047.7408469709*Deflactores!$J$5</f>
        <v>36395.403042529346</v>
      </c>
      <c r="N24" s="42">
        <f>18160.0039880089*Deflactores!$K$5</f>
        <v>39919.950570138011</v>
      </c>
      <c r="O24" s="42">
        <f>14793.587457*Deflactores!$L$5</f>
        <v>31351.40869909287</v>
      </c>
      <c r="P24" s="42">
        <f>16671.904732408*Deflactores!$M$5</f>
        <v>34490.477439428927</v>
      </c>
      <c r="Q24" s="42">
        <f>22808.654132281*Deflactores!$N$5</f>
        <v>46288.06398637344</v>
      </c>
      <c r="R24" s="42">
        <f>17782.967320987*Deflactores!$O$5</f>
        <v>34814.67801061309</v>
      </c>
      <c r="S24" s="42">
        <f>20398.09670945*Deflactores!$P$5</f>
        <v>37402.321264999038</v>
      </c>
      <c r="T24" s="42">
        <f>19919.0327611305*Deflactores!$Q$5</f>
        <v>34537.967747427909</v>
      </c>
      <c r="U24" s="42">
        <f>17104.713720066*Deflactores!$R$5</f>
        <v>28492.813473463888</v>
      </c>
      <c r="V24" s="42">
        <f>16113.554506496*Deflactores!$S$5</f>
        <v>26014.49227080433</v>
      </c>
    </row>
    <row r="25" spans="2:22" x14ac:dyDescent="0.2">
      <c r="B25" s="32"/>
      <c r="C25" s="77" t="s">
        <v>61</v>
      </c>
      <c r="D25" s="42">
        <f>5005.877416592*Deflactores!$A$5</f>
        <v>18681.511886697863</v>
      </c>
      <c r="E25" s="42">
        <f>5057.058040207*Deflactores!$B$5</f>
        <v>17531.64049039095</v>
      </c>
      <c r="F25" s="42">
        <f>5248.41720354872*Deflactores!$C$5</f>
        <v>17006.005317171584</v>
      </c>
      <c r="G25" s="42">
        <f>6844.25499253527*Deflactores!$D$5</f>
        <v>20825.035999267675</v>
      </c>
      <c r="H25" s="42">
        <f>7789.269715466*Deflactores!$E$5</f>
        <v>22465.510015075721</v>
      </c>
      <c r="I25" s="42">
        <f>8829.562779934*Deflactores!$F$5</f>
        <v>24286.722430156413</v>
      </c>
      <c r="J25" s="42">
        <f>11187.354250334*Deflactores!$G$5</f>
        <v>29453.198554391263</v>
      </c>
      <c r="K25" s="42">
        <f>12475.639202599*Deflactores!$H$5</f>
        <v>31075.323033216628</v>
      </c>
      <c r="L25" s="42">
        <f>12116.963042705*Deflactores!$I$5</f>
        <v>28030.721972875548</v>
      </c>
      <c r="M25" s="42">
        <f>12714.038478318*Deflactores!$J$5</f>
        <v>28834.747465650496</v>
      </c>
      <c r="N25" s="42">
        <f>13108.264747193*Deflactores!$K$5</f>
        <v>28815.042172554105</v>
      </c>
      <c r="O25" s="42">
        <f>13361.2952007289*Deflactores!$L$5</f>
        <v>28316.013800227189</v>
      </c>
      <c r="P25" s="42">
        <f>13176.437627789*Deflactores!$M$5</f>
        <v>27259.130376979967</v>
      </c>
      <c r="Q25" s="42">
        <f>14671.468382588*Deflactores!$N$5</f>
        <v>29774.394549047105</v>
      </c>
      <c r="R25" s="42">
        <f>14155.938189479*Deflactores!$O$5</f>
        <v>27713.846688748174</v>
      </c>
      <c r="S25" s="42">
        <f>15439.517201654*Deflactores!$P$5</f>
        <v>28310.17965932138</v>
      </c>
      <c r="T25" s="42">
        <f>17108.4591933667*Deflactores!$Q$5</f>
        <v>29664.663887783558</v>
      </c>
      <c r="U25" s="42">
        <f>18494.857268166*Deflactores!$R$5</f>
        <v>30808.496826344915</v>
      </c>
      <c r="V25" s="42">
        <f>20640.791852247*Deflactores!$S$5</f>
        <v>33323.480544723461</v>
      </c>
    </row>
    <row r="26" spans="2:22" x14ac:dyDescent="0.2">
      <c r="B26" s="34" t="s">
        <v>45</v>
      </c>
      <c r="C26" s="76" t="s">
        <v>46</v>
      </c>
      <c r="D26" s="41">
        <f>5282.46193920199*Deflactores!$A$5</f>
        <v>19713.701973832056</v>
      </c>
      <c r="E26" s="41">
        <f>8682.710599852*Deflactores!$B$5</f>
        <v>30100.932104880711</v>
      </c>
      <c r="F26" s="41">
        <f>7691.33760007117*Deflactores!$C$5</f>
        <v>24921.595035267452</v>
      </c>
      <c r="G26" s="41">
        <f>6270.8732041031*Deflactores!$D$5</f>
        <v>19080.405444379288</v>
      </c>
      <c r="H26" s="41">
        <f>7963.9756075135*Deflactores!$E$5</f>
        <v>22969.389982114586</v>
      </c>
      <c r="I26" s="41">
        <f>9163.73950241747*Deflactores!$F$5</f>
        <v>25205.913731453904</v>
      </c>
      <c r="J26" s="41">
        <f>10749.1531497432*Deflactores!$G$5</f>
        <v>28299.536684600356</v>
      </c>
      <c r="K26" s="41">
        <f>16125.835038255*Deflactores!$H$5</f>
        <v>40167.523672032927</v>
      </c>
      <c r="L26" s="41">
        <f>16219.0159494324*Deflactores!$I$5</f>
        <v>37520.187620435427</v>
      </c>
      <c r="M26" s="41">
        <f>23698.743583883*Deflactores!$J$5</f>
        <v>53747.460939324963</v>
      </c>
      <c r="N26" s="41">
        <f>18202.9908133394*Deflactores!$K$5</f>
        <v>40014.445700397548</v>
      </c>
      <c r="O26" s="41">
        <f>25037.590831207*Deflactores!$L$5</f>
        <v>53061.081044165752</v>
      </c>
      <c r="P26" s="41">
        <f>29848.254958601*Deflactores!$M$5</f>
        <v>61749.427001869502</v>
      </c>
      <c r="Q26" s="41">
        <f>34723.8330709731*Deflactores!$N$5</f>
        <v>70468.822830126956</v>
      </c>
      <c r="R26" s="41">
        <f>38578.938422624*Deflactores!$O$5</f>
        <v>75528.076666362438</v>
      </c>
      <c r="S26" s="41">
        <f>39728.7584789163*Deflactores!$P$5</f>
        <v>72847.374402317364</v>
      </c>
      <c r="T26" s="41">
        <f>33408.0358796063*Deflactores!$Q$5</f>
        <v>57926.791905596045</v>
      </c>
      <c r="U26" s="41">
        <f>31702.147465306*Deflactores!$R$5</f>
        <v>52809.03201423031</v>
      </c>
      <c r="V26" s="41">
        <f>30951.1046466839*Deflactores!$S$5</f>
        <v>49968.942127537164</v>
      </c>
    </row>
    <row r="27" spans="2:22" ht="14.25" customHeight="1" x14ac:dyDescent="0.2">
      <c r="B27" s="36" t="s">
        <v>47</v>
      </c>
      <c r="C27" s="78" t="s">
        <v>48</v>
      </c>
      <c r="D27" s="43">
        <f t="shared" ref="D27:V27" si="4">+D14+D26</f>
        <v>111608.60828913971</v>
      </c>
      <c r="E27" s="43">
        <f t="shared" si="4"/>
        <v>126836.00359735166</v>
      </c>
      <c r="F27" s="43">
        <f t="shared" si="4"/>
        <v>125535.6463556705</v>
      </c>
      <c r="G27" s="43">
        <f t="shared" si="4"/>
        <v>120222.4742448949</v>
      </c>
      <c r="H27" s="43">
        <f t="shared" si="4"/>
        <v>135849.37310059034</v>
      </c>
      <c r="I27" s="43">
        <f t="shared" si="4"/>
        <v>148961.80122765494</v>
      </c>
      <c r="J27" s="43">
        <f t="shared" si="4"/>
        <v>158024.39403484282</v>
      </c>
      <c r="K27" s="43">
        <f t="shared" si="4"/>
        <v>174909.29901284655</v>
      </c>
      <c r="L27" s="43">
        <f t="shared" si="4"/>
        <v>179512.47955910923</v>
      </c>
      <c r="M27" s="43">
        <f t="shared" si="4"/>
        <v>212730.07307449746</v>
      </c>
      <c r="N27" s="43">
        <f t="shared" si="4"/>
        <v>213805.34485667618</v>
      </c>
      <c r="O27" s="43">
        <f t="shared" si="4"/>
        <v>218778.3015024889</v>
      </c>
      <c r="P27" s="43">
        <f t="shared" si="4"/>
        <v>239900.09297612414</v>
      </c>
      <c r="Q27" s="43">
        <f t="shared" si="4"/>
        <v>263854.59876178595</v>
      </c>
      <c r="R27" s="43">
        <f t="shared" si="4"/>
        <v>283082.7826270329</v>
      </c>
      <c r="S27" s="43">
        <f t="shared" si="4"/>
        <v>272036.76618664712</v>
      </c>
      <c r="T27" s="43">
        <f t="shared" si="4"/>
        <v>260718.05890709959</v>
      </c>
      <c r="U27" s="43">
        <f t="shared" si="4"/>
        <v>274344.81065010943</v>
      </c>
      <c r="V27" s="43">
        <f t="shared" si="4"/>
        <v>277018.29450615123</v>
      </c>
    </row>
    <row r="28" spans="2:22" ht="14.25" customHeight="1" x14ac:dyDescent="0.2">
      <c r="B28" s="38" t="s">
        <v>49</v>
      </c>
      <c r="C28" s="79" t="s">
        <v>50</v>
      </c>
      <c r="D28" s="44">
        <f t="shared" ref="D28:V28" si="5">+D14+D19+D26</f>
        <v>173214.53994605993</v>
      </c>
      <c r="E28" s="44">
        <f t="shared" si="5"/>
        <v>201021.72382723706</v>
      </c>
      <c r="F28" s="44">
        <f t="shared" si="5"/>
        <v>199930.18040849283</v>
      </c>
      <c r="G28" s="44">
        <f t="shared" si="5"/>
        <v>203398.39850414437</v>
      </c>
      <c r="H28" s="44">
        <f t="shared" si="5"/>
        <v>213387.40063542104</v>
      </c>
      <c r="I28" s="44">
        <f t="shared" si="5"/>
        <v>235754.27017057507</v>
      </c>
      <c r="J28" s="44">
        <f t="shared" si="5"/>
        <v>260508.27570197414</v>
      </c>
      <c r="K28" s="44">
        <f t="shared" si="5"/>
        <v>272843.08272058232</v>
      </c>
      <c r="L28" s="44">
        <f t="shared" si="5"/>
        <v>269459.98695513955</v>
      </c>
      <c r="M28" s="44">
        <f t="shared" si="5"/>
        <v>296712.81487425254</v>
      </c>
      <c r="N28" s="44">
        <f t="shared" si="5"/>
        <v>301490.40356200404</v>
      </c>
      <c r="O28" s="44">
        <f t="shared" si="5"/>
        <v>293343.93130395305</v>
      </c>
      <c r="P28" s="44">
        <f t="shared" si="5"/>
        <v>315223.92721273162</v>
      </c>
      <c r="Q28" s="44">
        <f t="shared" si="5"/>
        <v>354243.29087146133</v>
      </c>
      <c r="R28" s="44">
        <f t="shared" si="5"/>
        <v>363255.13632824249</v>
      </c>
      <c r="S28" s="44">
        <f t="shared" si="5"/>
        <v>358171.768546612</v>
      </c>
      <c r="T28" s="44">
        <f t="shared" si="5"/>
        <v>341700.54995488666</v>
      </c>
      <c r="U28" s="44">
        <f t="shared" si="5"/>
        <v>357643.19950974023</v>
      </c>
      <c r="V28" s="44">
        <f t="shared" si="5"/>
        <v>354396.68002573453</v>
      </c>
    </row>
    <row r="29" spans="2:22" x14ac:dyDescent="0.2">
      <c r="B29" s="1" t="s">
        <v>52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4" spans="1:22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8" customHeight="1" x14ac:dyDescent="0.2">
      <c r="A36" s="16"/>
      <c r="C36" s="131"/>
      <c r="D36" s="164" t="s">
        <v>76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ht="15.75" customHeight="1" x14ac:dyDescent="0.2">
      <c r="A37" s="16"/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</row>
    <row r="38" spans="1:22" x14ac:dyDescent="0.2">
      <c r="A38" s="16"/>
      <c r="B38" s="167"/>
      <c r="C38" s="161" t="s">
        <v>38</v>
      </c>
      <c r="D38" s="155">
        <v>2000</v>
      </c>
      <c r="E38" s="155">
        <v>2001</v>
      </c>
      <c r="F38" s="155">
        <v>2002</v>
      </c>
      <c r="G38" s="155">
        <v>2003</v>
      </c>
      <c r="H38" s="155">
        <v>2004</v>
      </c>
      <c r="I38" s="155">
        <v>2005</v>
      </c>
      <c r="J38" s="155">
        <v>2006</v>
      </c>
      <c r="K38" s="155">
        <v>2007</v>
      </c>
      <c r="L38" s="155">
        <v>2008</v>
      </c>
      <c r="M38" s="155" t="s">
        <v>35</v>
      </c>
      <c r="N38" s="155">
        <v>2010</v>
      </c>
      <c r="O38" s="155">
        <v>2011</v>
      </c>
      <c r="P38" s="155">
        <v>2012</v>
      </c>
      <c r="Q38" s="155">
        <v>2013</v>
      </c>
      <c r="R38" s="155">
        <v>2014</v>
      </c>
      <c r="S38" s="155">
        <v>2015</v>
      </c>
      <c r="T38" s="155">
        <v>2016</v>
      </c>
      <c r="U38" s="155">
        <v>2017</v>
      </c>
      <c r="V38" s="155">
        <v>2018</v>
      </c>
    </row>
    <row r="39" spans="1:22" ht="12" customHeight="1" thickBot="1" x14ac:dyDescent="0.25">
      <c r="A39" s="16"/>
      <c r="B39" s="156"/>
      <c r="C39" s="162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</row>
    <row r="40" spans="1:22" x14ac:dyDescent="0.2">
      <c r="A40" s="16"/>
      <c r="B40" s="34" t="s">
        <v>39</v>
      </c>
      <c r="C40" s="76" t="s">
        <v>40</v>
      </c>
      <c r="D40" s="41">
        <f t="shared" ref="D40:V40" si="6">+D41+D42+D43+D44</f>
        <v>88082.242479966168</v>
      </c>
      <c r="E40" s="41">
        <f t="shared" si="6"/>
        <v>93757.733427154206</v>
      </c>
      <c r="F40" s="41">
        <f t="shared" si="6"/>
        <v>99295.674596384299</v>
      </c>
      <c r="G40" s="41">
        <f t="shared" si="6"/>
        <v>99948.755911490487</v>
      </c>
      <c r="H40" s="41">
        <f t="shared" si="6"/>
        <v>111885.33574134493</v>
      </c>
      <c r="I40" s="41">
        <f t="shared" si="6"/>
        <v>121942.37725730552</v>
      </c>
      <c r="J40" s="41">
        <f t="shared" si="6"/>
        <v>127735.47789822433</v>
      </c>
      <c r="K40" s="41">
        <f t="shared" si="6"/>
        <v>129775.6112771789</v>
      </c>
      <c r="L40" s="41">
        <f t="shared" si="6"/>
        <v>139307.19776481326</v>
      </c>
      <c r="M40" s="41">
        <f t="shared" si="6"/>
        <v>151073.88806289938</v>
      </c>
      <c r="N40" s="41">
        <f t="shared" si="6"/>
        <v>160121.29033951063</v>
      </c>
      <c r="O40" s="41">
        <f t="shared" si="6"/>
        <v>163734.59757609412</v>
      </c>
      <c r="P40" s="41">
        <f t="shared" si="6"/>
        <v>175197.92997429863</v>
      </c>
      <c r="Q40" s="41">
        <f t="shared" si="6"/>
        <v>188470.86424353052</v>
      </c>
      <c r="R40" s="41">
        <f t="shared" si="6"/>
        <v>198184.47805960791</v>
      </c>
      <c r="S40" s="41">
        <f t="shared" si="6"/>
        <v>195850.26085318506</v>
      </c>
      <c r="T40" s="41">
        <f t="shared" si="6"/>
        <v>201247.51192038271</v>
      </c>
      <c r="U40" s="41">
        <f t="shared" si="6"/>
        <v>220046.65367773775</v>
      </c>
      <c r="V40" s="41">
        <f t="shared" si="6"/>
        <v>221227.24389291758</v>
      </c>
    </row>
    <row r="41" spans="1:22" x14ac:dyDescent="0.2">
      <c r="A41" s="16"/>
      <c r="B41" s="40"/>
      <c r="C41" s="77" t="s">
        <v>56</v>
      </c>
      <c r="D41" s="42">
        <f>5794.77544611949*Deflactores!$A$5</f>
        <v>21625.612728472734</v>
      </c>
      <c r="E41" s="42">
        <f>6264.39302789246*Deflactores!$B$5</f>
        <v>21717.189239739626</v>
      </c>
      <c r="F41" s="42">
        <f>6776.47101012712*Deflactores!$C$5</f>
        <v>21957.229686687417</v>
      </c>
      <c r="G41" s="42">
        <f>7362.80104970823*Deflactores!$D$5</f>
        <v>22402.817703731191</v>
      </c>
      <c r="H41" s="42">
        <f>8118.71888398109*Deflactores!$E$5</f>
        <v>23415.694546500861</v>
      </c>
      <c r="I41" s="42">
        <f>8668.02996030312*Deflactores!$F$5</f>
        <v>23842.4079322006</v>
      </c>
      <c r="J41" s="42">
        <f>9639.19632389131*Deflactores!$G$5</f>
        <v>25377.328444198778</v>
      </c>
      <c r="K41" s="42">
        <f>10556.1019580064*Deflactores!$H$5</f>
        <v>26293.985661935571</v>
      </c>
      <c r="L41" s="42">
        <f>11778.9987884597*Deflactores!$I$5</f>
        <v>27248.893884918831</v>
      </c>
      <c r="M41" s="42">
        <f>13271.9058499765*Deflactores!$J$5</f>
        <v>30099.960309589216</v>
      </c>
      <c r="N41" s="42">
        <f>14323.8228376971*Deflactores!$K$5</f>
        <v>31487.124123642676</v>
      </c>
      <c r="O41" s="42">
        <f>15140.3187979917*Deflactores!$L$5</f>
        <v>32086.221401678518</v>
      </c>
      <c r="P41" s="42">
        <f>17072.0485766464*Deflactores!$M$5</f>
        <v>35318.286406295403</v>
      </c>
      <c r="Q41" s="42">
        <f>18862.0909883257*Deflactores!$N$5</f>
        <v>38278.877373511372</v>
      </c>
      <c r="R41" s="42">
        <f>20861.8696887452*Deflactores!$O$5</f>
        <v>40842.411887912167</v>
      </c>
      <c r="S41" s="42">
        <f>22294.3898699933*Deflactores!$P$5</f>
        <v>40879.39890677738</v>
      </c>
      <c r="T41" s="42">
        <f>24255.7569987995*Deflactores!$Q$5</f>
        <v>42057.491594106898</v>
      </c>
      <c r="U41" s="42">
        <f>26149.7561764564*Deflactores!$R$5</f>
        <v>43559.92957884229</v>
      </c>
      <c r="V41" s="42">
        <f>28787.2727489919*Deflactores!$S$5</f>
        <v>46475.548528059451</v>
      </c>
    </row>
    <row r="42" spans="1:22" x14ac:dyDescent="0.2">
      <c r="A42" s="16"/>
      <c r="B42" s="40"/>
      <c r="C42" s="77" t="s">
        <v>57</v>
      </c>
      <c r="D42" s="42">
        <f>1354.34291658599*Deflactores!$A$5</f>
        <v>5054.2934213701246</v>
      </c>
      <c r="E42" s="42">
        <f>1578.51579139748*Deflactores!$B$5</f>
        <v>5472.3460049615724</v>
      </c>
      <c r="F42" s="42">
        <f>1963.26104123114*Deflactores!$C$5</f>
        <v>6361.3898078829943</v>
      </c>
      <c r="G42" s="42">
        <f>2189.93683267727*Deflactores!$D$5</f>
        <v>6663.3276268003347</v>
      </c>
      <c r="H42" s="42">
        <f>2578.85698428885*Deflactores!$E$5</f>
        <v>7437.839428381265</v>
      </c>
      <c r="I42" s="42">
        <f>2827.05999634802*Deflactores!$F$5</f>
        <v>7776.1519042301425</v>
      </c>
      <c r="J42" s="42">
        <f>3131.31884798537*Deflactores!$G$5</f>
        <v>8243.8933909746684</v>
      </c>
      <c r="K42" s="42">
        <f>3389.08662632774*Deflactores!$H$5</f>
        <v>8441.8088717048322</v>
      </c>
      <c r="L42" s="42">
        <f>3744.62362467489*Deflactores!$I$5</f>
        <v>8662.608225046708</v>
      </c>
      <c r="M42" s="42">
        <f>4372.37182009168*Deflactores!$J$5</f>
        <v>9916.3013760950525</v>
      </c>
      <c r="N42" s="42">
        <f>4757.01316339708*Deflactores!$K$5</f>
        <v>10457.031312861967</v>
      </c>
      <c r="O42" s="42">
        <f>5158.49853094617*Deflactores!$L$5</f>
        <v>10932.182351809348</v>
      </c>
      <c r="P42" s="42">
        <f>5830.99701072129*Deflactores!$M$5</f>
        <v>12063.041030742046</v>
      </c>
      <c r="Q42" s="42">
        <f>6736.00391054873*Deflactores!$N$5</f>
        <v>13670.09987593511</v>
      </c>
      <c r="R42" s="42">
        <f>7116.94042332369*Deflactores!$O$5</f>
        <v>13933.219624506321</v>
      </c>
      <c r="S42" s="42">
        <f>6973.93625514605*Deflactores!$P$5</f>
        <v>12787.536406558687</v>
      </c>
      <c r="T42" s="42">
        <f>7152.85006484272*Deflactores!$Q$5</f>
        <v>12402.454868381094</v>
      </c>
      <c r="U42" s="42">
        <f>7227.76027924068*Deflactores!$R$5</f>
        <v>12039.910684136332</v>
      </c>
      <c r="V42" s="42">
        <f>7827.50558125817*Deflactores!$S$5</f>
        <v>12637.098993969817</v>
      </c>
    </row>
    <row r="43" spans="1:22" x14ac:dyDescent="0.2">
      <c r="A43" s="16"/>
      <c r="B43" s="40"/>
      <c r="C43" s="77" t="s">
        <v>58</v>
      </c>
      <c r="D43" s="42">
        <f>16450.0152810225*Deflactores!$A$5</f>
        <v>61390.068200671332</v>
      </c>
      <c r="E43" s="42">
        <f>19195.2071694174*Deflactores!$B$5</f>
        <v>66545.305305419417</v>
      </c>
      <c r="F43" s="42">
        <f>21898.0763301491*Deflactores!$C$5</f>
        <v>70954.496958539647</v>
      </c>
      <c r="G43" s="42">
        <f>23288.4193663865*Deflactores!$D$5</f>
        <v>70859.746195895728</v>
      </c>
      <c r="H43" s="42">
        <f>28082.7599995212*Deflactores!$E$5</f>
        <v>80995.208673739908</v>
      </c>
      <c r="I43" s="42">
        <f>32819.0881269754*Deflactores!$F$5</f>
        <v>90272.656032539307</v>
      </c>
      <c r="J43" s="42">
        <f>35730.2163447984*Deflactores!$G$5</f>
        <v>94067.74227814273</v>
      </c>
      <c r="K43" s="42">
        <f>38139.2075435111*Deflactores!$H$5</f>
        <v>95000.198017797287</v>
      </c>
      <c r="L43" s="42">
        <f>44676.7509221936*Deflactores!$I$5</f>
        <v>103352.76086406638</v>
      </c>
      <c r="M43" s="42">
        <f>48960.8429059582*Deflactores!$J$5</f>
        <v>111040.52762670736</v>
      </c>
      <c r="N43" s="42">
        <f>53751.4554051175*Deflactores!$K$5</f>
        <v>118158.31341568627</v>
      </c>
      <c r="O43" s="42">
        <f>56936.0316272677*Deflactores!$L$5</f>
        <v>120662.06404899529</v>
      </c>
      <c r="P43" s="42">
        <f>61773.5704436191*Deflactores!$M$5</f>
        <v>127795.83208612098</v>
      </c>
      <c r="Q43" s="42">
        <f>67261.5549282112*Deflactores!$N$5</f>
        <v>136501.13418720392</v>
      </c>
      <c r="R43" s="42">
        <f>73236.4278536437*Deflactores!$O$5</f>
        <v>143378.92030892998</v>
      </c>
      <c r="S43" s="42">
        <f>77524.485430689*Deflactores!$P$5</f>
        <v>142150.30702541218</v>
      </c>
      <c r="T43" s="42">
        <f>84641.8826483111*Deflactores!$Q$5</f>
        <v>146762.07665532411</v>
      </c>
      <c r="U43" s="42">
        <f>98690.721119668*Deflactores!$R$5</f>
        <v>164397.74172458312</v>
      </c>
      <c r="V43" s="42">
        <f>100365.043965815*Deflactores!$S$5</f>
        <v>162034.12223262453</v>
      </c>
    </row>
    <row r="44" spans="1:22" x14ac:dyDescent="0.2">
      <c r="A44" s="16"/>
      <c r="B44" s="40"/>
      <c r="C44" s="77" t="s">
        <v>59</v>
      </c>
      <c r="D44" s="42">
        <f>3.28735449999999*Deflactores!$A$5</f>
        <v>12.268129451989118</v>
      </c>
      <c r="E44" s="42">
        <f>6.60352395029*Deflactores!$B$5</f>
        <v>22.892877033586849</v>
      </c>
      <c r="F44" s="42">
        <f>6.961925804*Deflactores!$C$5</f>
        <v>22.558143274228566</v>
      </c>
      <c r="G44" s="42">
        <f>7.514497532*Deflactores!$D$5</f>
        <v>22.864385063236917</v>
      </c>
      <c r="H44" s="42">
        <f>12.68760285212*Deflactores!$E$5</f>
        <v>36.593092722884705</v>
      </c>
      <c r="I44" s="42">
        <f>18.599985713*Deflactores!$F$5</f>
        <v>51.161388335457595</v>
      </c>
      <c r="J44" s="42">
        <f>17.667561244*Deflactores!$G$5</f>
        <v>46.513784908157739</v>
      </c>
      <c r="K44" s="42">
        <f>15.9055121482*Deflactores!$H$5</f>
        <v>39.618725741210703</v>
      </c>
      <c r="L44" s="42">
        <f>18.5596101894*Deflactores!$I$5</f>
        <v>42.934790781360746</v>
      </c>
      <c r="M44" s="42">
        <f>7.539312496*Deflactores!$J$5</f>
        <v>17.098750507757092</v>
      </c>
      <c r="N44" s="42">
        <f>8.56209188399999*Deflactores!$K$5</f>
        <v>18.821487319713682</v>
      </c>
      <c r="O44" s="42">
        <f>25.5418679149999*Deflactores!$L$5</f>
        <v>54.129773610964158</v>
      </c>
      <c r="P44" s="42">
        <f>10.039959095*Deflactores!$M$5</f>
        <v>20.770451140220231</v>
      </c>
      <c r="Q44" s="42">
        <f>10.226040012*Deflactores!$N$5</f>
        <v>20.752806880119667</v>
      </c>
      <c r="R44" s="42">
        <f>15.286004278*Deflactores!$O$5</f>
        <v>29.926238259424913</v>
      </c>
      <c r="S44" s="42">
        <f>18.007300828*Deflactores!$P$5</f>
        <v>33.018514436805972</v>
      </c>
      <c r="T44" s="42">
        <f>14.700120666*Deflactores!$Q$5</f>
        <v>25.488802570591854</v>
      </c>
      <c r="U44" s="42">
        <f>29.45855848886*Deflactores!$R$5</f>
        <v>49.071690175997603</v>
      </c>
      <c r="V44" s="42">
        <f>49.8462318533099*Deflactores!$S$5</f>
        <v>80.474138263776069</v>
      </c>
    </row>
    <row r="45" spans="1:22" x14ac:dyDescent="0.2">
      <c r="A45" s="16"/>
      <c r="B45" s="34" t="s">
        <v>41</v>
      </c>
      <c r="C45" s="76" t="s">
        <v>42</v>
      </c>
      <c r="D45" s="41">
        <f t="shared" ref="D45:V45" si="7">+D46+D49</f>
        <v>58612.475340263634</v>
      </c>
      <c r="E45" s="41">
        <f t="shared" si="7"/>
        <v>73158.185971607192</v>
      </c>
      <c r="F45" s="41">
        <f t="shared" si="7"/>
        <v>73625.266192559066</v>
      </c>
      <c r="G45" s="41">
        <f t="shared" si="7"/>
        <v>82505.558848129382</v>
      </c>
      <c r="H45" s="41">
        <f t="shared" si="7"/>
        <v>74054.192987291928</v>
      </c>
      <c r="I45" s="41">
        <f t="shared" si="7"/>
        <v>84917.393085554679</v>
      </c>
      <c r="J45" s="41">
        <f t="shared" si="7"/>
        <v>98962.102062515711</v>
      </c>
      <c r="K45" s="41">
        <f t="shared" si="7"/>
        <v>94694.285455818419</v>
      </c>
      <c r="L45" s="41">
        <f t="shared" si="7"/>
        <v>82297.635717367506</v>
      </c>
      <c r="M45" s="41">
        <f t="shared" si="7"/>
        <v>74264.603279028568</v>
      </c>
      <c r="N45" s="41">
        <f t="shared" si="7"/>
        <v>71100.141237887234</v>
      </c>
      <c r="O45" s="41">
        <f t="shared" si="7"/>
        <v>71445.49351977247</v>
      </c>
      <c r="P45" s="41">
        <f t="shared" si="7"/>
        <v>74976.445640705148</v>
      </c>
      <c r="Q45" s="41">
        <f t="shared" si="7"/>
        <v>76982.055053163465</v>
      </c>
      <c r="R45" s="41">
        <f t="shared" si="7"/>
        <v>78286.2554463673</v>
      </c>
      <c r="S45" s="41">
        <f t="shared" si="7"/>
        <v>84921.630409395933</v>
      </c>
      <c r="T45" s="41">
        <f t="shared" si="7"/>
        <v>68781.606113338712</v>
      </c>
      <c r="U45" s="41">
        <f t="shared" si="7"/>
        <v>81488.076113904855</v>
      </c>
      <c r="V45" s="41">
        <f t="shared" si="7"/>
        <v>75830.198793128337</v>
      </c>
    </row>
    <row r="46" spans="1:22" x14ac:dyDescent="0.2">
      <c r="A46" s="16"/>
      <c r="B46" s="34"/>
      <c r="C46" s="76" t="s">
        <v>43</v>
      </c>
      <c r="D46" s="41">
        <f t="shared" ref="D46:V46" si="8">+D47+D48</f>
        <v>18587.881256947214</v>
      </c>
      <c r="E46" s="41">
        <f t="shared" si="8"/>
        <v>27009.636621750924</v>
      </c>
      <c r="F46" s="41">
        <f t="shared" si="8"/>
        <v>30619.81990292597</v>
      </c>
      <c r="G46" s="41">
        <f t="shared" si="8"/>
        <v>40309.347222664321</v>
      </c>
      <c r="H46" s="41">
        <f t="shared" si="8"/>
        <v>24476.966528011504</v>
      </c>
      <c r="I46" s="41">
        <f t="shared" si="8"/>
        <v>35244.872521564947</v>
      </c>
      <c r="J46" s="41">
        <f t="shared" si="8"/>
        <v>25387.399874864393</v>
      </c>
      <c r="K46" s="41">
        <f t="shared" si="8"/>
        <v>18559.471151473379</v>
      </c>
      <c r="L46" s="41">
        <f t="shared" si="8"/>
        <v>16969.131266667086</v>
      </c>
      <c r="M46" s="41">
        <f t="shared" si="8"/>
        <v>15580.983998413571</v>
      </c>
      <c r="N46" s="41">
        <f t="shared" si="8"/>
        <v>15469.456956537382</v>
      </c>
      <c r="O46" s="41">
        <f t="shared" si="8"/>
        <v>12981.972457403368</v>
      </c>
      <c r="P46" s="41">
        <f t="shared" si="8"/>
        <v>13400.230547353436</v>
      </c>
      <c r="Q46" s="41">
        <f t="shared" si="8"/>
        <v>13926.995902295639</v>
      </c>
      <c r="R46" s="41">
        <f t="shared" si="8"/>
        <v>17312.581963845387</v>
      </c>
      <c r="S46" s="41">
        <f t="shared" si="8"/>
        <v>20190.559770210653</v>
      </c>
      <c r="T46" s="41">
        <f t="shared" si="8"/>
        <v>16115.936864497638</v>
      </c>
      <c r="U46" s="41">
        <f t="shared" si="8"/>
        <v>23288.712472324551</v>
      </c>
      <c r="V46" s="41">
        <f t="shared" si="8"/>
        <v>18031.67406957737</v>
      </c>
    </row>
    <row r="47" spans="1:22" x14ac:dyDescent="0.2">
      <c r="A47" s="16"/>
      <c r="B47" s="32"/>
      <c r="C47" s="77" t="s">
        <v>60</v>
      </c>
      <c r="D47" s="42">
        <f>2525.46460732881*Deflactores!$A$5</f>
        <v>9424.8206967416518</v>
      </c>
      <c r="E47" s="42">
        <f>4398.17005089057*Deflactores!$B$5</f>
        <v>15247.429540014084</v>
      </c>
      <c r="F47" s="42">
        <f>5650.38056784968*Deflactores!$C$5</f>
        <v>18308.453435432511</v>
      </c>
      <c r="G47" s="42">
        <f>7842.92901842612*Deflactores!$D$5</f>
        <v>23863.70457070363</v>
      </c>
      <c r="H47" s="42">
        <f>4060.80453386332*Deflactores!$E$5</f>
        <v>11712.015151257798</v>
      </c>
      <c r="I47" s="42">
        <f>8411.28819125705*Deflactores!$F$5</f>
        <v>23136.210328031593</v>
      </c>
      <c r="J47" s="42">
        <f>4942.61546714898*Deflactores!$G$5</f>
        <v>13012.534641744993</v>
      </c>
      <c r="K47" s="42">
        <f>3519.23972920904*Deflactores!$H$5</f>
        <v>8766.0046624078295</v>
      </c>
      <c r="L47" s="42">
        <f>3471.56170551639*Deflactores!$I$5</f>
        <v>8030.9216621401802</v>
      </c>
      <c r="M47" s="42">
        <f>2845.4082608112*Deflactores!$J$5</f>
        <v>6453.2311096183712</v>
      </c>
      <c r="N47" s="42">
        <f>3360.86251068273*Deflactores!$K$5</f>
        <v>7387.9645284260032</v>
      </c>
      <c r="O47" s="42">
        <f>2372.97829680654*Deflactores!$L$5</f>
        <v>5028.9500524131818</v>
      </c>
      <c r="P47" s="42">
        <f>3393.29467592364*Deflactores!$M$5</f>
        <v>7019.9749425016371</v>
      </c>
      <c r="Q47" s="42">
        <f>2909.133724105*Deflactores!$N$5</f>
        <v>5903.8191024041134</v>
      </c>
      <c r="R47" s="42">
        <f>4840.87648330444*Deflactores!$O$5</f>
        <v>9477.2460081222835</v>
      </c>
      <c r="S47" s="42">
        <f>5998.53683867421*Deflactores!$P$5</f>
        <v>10999.026289353933</v>
      </c>
      <c r="T47" s="42">
        <f>3415.29301602609*Deflactores!$Q$5</f>
        <v>5921.8377443358468</v>
      </c>
      <c r="U47" s="42">
        <f>7662.48186229963*Deflactores!$R$5</f>
        <v>12764.064340356648</v>
      </c>
      <c r="V47" s="42">
        <f>3074.34865038517*Deflactores!$S$5</f>
        <v>4963.3753478142044</v>
      </c>
    </row>
    <row r="48" spans="1:22" x14ac:dyDescent="0.2">
      <c r="A48" s="16"/>
      <c r="B48" s="32"/>
      <c r="C48" s="77" t="s">
        <v>61</v>
      </c>
      <c r="D48" s="42">
        <f>2455.32364850293*Deflactores!$A$5</f>
        <v>9163.0605602055603</v>
      </c>
      <c r="E48" s="42">
        <f>3392.84643247613*Deflactores!$B$5</f>
        <v>11762.20708173684</v>
      </c>
      <c r="F48" s="42">
        <f>3799.5511798377*Deflactores!$C$5</f>
        <v>12311.366467493459</v>
      </c>
      <c r="G48" s="42">
        <f>5404.94488605403*Deflactores!$D$5</f>
        <v>16445.642651960687</v>
      </c>
      <c r="H48" s="42">
        <f>4425.87989819151*Deflactores!$E$5</f>
        <v>12764.951376753706</v>
      </c>
      <c r="I48" s="42">
        <f>4402.16638232183*Deflactores!$F$5</f>
        <v>12108.662193533355</v>
      </c>
      <c r="J48" s="42">
        <f>4700.40633812276*Deflactores!$G$5</f>
        <v>12374.865233119403</v>
      </c>
      <c r="K48" s="42">
        <f>3931.72918362673*Deflactores!$H$5</f>
        <v>9793.4664890655476</v>
      </c>
      <c r="L48" s="42">
        <f>3863.75904091253*Deflactores!$I$5</f>
        <v>8938.2096045269063</v>
      </c>
      <c r="M48" s="42">
        <f>4024.67896023595*Deflactores!$J$5</f>
        <v>9127.7528887951994</v>
      </c>
      <c r="N48" s="42">
        <f>3676.35562237769*Deflactores!$K$5</f>
        <v>8081.4924281113781</v>
      </c>
      <c r="O48" s="42">
        <f>3752.74149959032*Deflactores!$L$5</f>
        <v>7953.0224049901854</v>
      </c>
      <c r="P48" s="42">
        <f>3084.06903903568*Deflactores!$M$5</f>
        <v>6380.2556048517999</v>
      </c>
      <c r="Q48" s="42">
        <f>3953.45687226709*Deflactores!$N$5</f>
        <v>8023.1767998915248</v>
      </c>
      <c r="R48" s="42">
        <f>4002.20628802319*Deflactores!$O$5</f>
        <v>7835.3359557231024</v>
      </c>
      <c r="S48" s="42">
        <f>5012.78483552611*Deflactores!$P$5</f>
        <v>9191.5334808567186</v>
      </c>
      <c r="T48" s="42">
        <f>5879.22821138879*Deflactores!$Q$5</f>
        <v>10194.099120161791</v>
      </c>
      <c r="U48" s="42">
        <f>6318.12275995127*Deflactores!$R$5</f>
        <v>10524.648131967904</v>
      </c>
      <c r="V48" s="42">
        <f>8094.59364296838*Deflactores!$S$5</f>
        <v>13068.298721763165</v>
      </c>
    </row>
    <row r="49" spans="1:23" x14ac:dyDescent="0.2">
      <c r="A49" s="16"/>
      <c r="B49" s="34"/>
      <c r="C49" s="76" t="s">
        <v>44</v>
      </c>
      <c r="D49" s="41">
        <f t="shared" ref="D49:V49" si="9">+D50+D51</f>
        <v>40024.59408331642</v>
      </c>
      <c r="E49" s="41">
        <f t="shared" si="9"/>
        <v>46148.549349856272</v>
      </c>
      <c r="F49" s="41">
        <f t="shared" si="9"/>
        <v>43005.446289633102</v>
      </c>
      <c r="G49" s="41">
        <f t="shared" si="9"/>
        <v>42196.211625465061</v>
      </c>
      <c r="H49" s="41">
        <f t="shared" si="9"/>
        <v>49577.226459280428</v>
      </c>
      <c r="I49" s="41">
        <f t="shared" si="9"/>
        <v>49672.520563989732</v>
      </c>
      <c r="J49" s="41">
        <f t="shared" si="9"/>
        <v>73574.702187651317</v>
      </c>
      <c r="K49" s="41">
        <f t="shared" si="9"/>
        <v>76134.81430434504</v>
      </c>
      <c r="L49" s="41">
        <f t="shared" si="9"/>
        <v>65328.50445070042</v>
      </c>
      <c r="M49" s="41">
        <f t="shared" si="9"/>
        <v>58683.619280614992</v>
      </c>
      <c r="N49" s="41">
        <f t="shared" si="9"/>
        <v>55630.684281349844</v>
      </c>
      <c r="O49" s="41">
        <f t="shared" si="9"/>
        <v>58463.521062369102</v>
      </c>
      <c r="P49" s="41">
        <f t="shared" si="9"/>
        <v>61576.215093351711</v>
      </c>
      <c r="Q49" s="41">
        <f t="shared" si="9"/>
        <v>63055.059150867826</v>
      </c>
      <c r="R49" s="41">
        <f t="shared" si="9"/>
        <v>60973.673482521917</v>
      </c>
      <c r="S49" s="41">
        <f t="shared" si="9"/>
        <v>64731.070639185287</v>
      </c>
      <c r="T49" s="41">
        <f t="shared" si="9"/>
        <v>52665.669248841077</v>
      </c>
      <c r="U49" s="41">
        <f t="shared" si="9"/>
        <v>58199.363641580305</v>
      </c>
      <c r="V49" s="41">
        <f t="shared" si="9"/>
        <v>57798.524723550967</v>
      </c>
    </row>
    <row r="50" spans="1:23" x14ac:dyDescent="0.2">
      <c r="A50" s="16"/>
      <c r="B50" s="32"/>
      <c r="C50" s="77" t="s">
        <v>60</v>
      </c>
      <c r="D50" s="42">
        <f>6074.9929733826*Deflactores!$A$5</f>
        <v>22671.360882248096</v>
      </c>
      <c r="E50" s="42">
        <f>8299.65154502352*Deflactores!$B$5</f>
        <v>28772.955723663032</v>
      </c>
      <c r="F50" s="42">
        <f>8073.45917523677*Deflactores!$C$5</f>
        <v>26159.75147120747</v>
      </c>
      <c r="G50" s="42">
        <f>7121.13208463788*Deflactores!$D$5</f>
        <v>21667.490790431668</v>
      </c>
      <c r="H50" s="42">
        <f>9584.46065689588*Deflactores!$E$5</f>
        <v>27643.130196026588</v>
      </c>
      <c r="I50" s="42">
        <f>9499.11209202548*Deflactores!$F$5</f>
        <v>26128.394402071368</v>
      </c>
      <c r="J50" s="42">
        <f>17041.7316504578*Deflactores!$G$5</f>
        <v>44866.149295004427</v>
      </c>
      <c r="K50" s="42">
        <f>18284.0067513306*Deflactores!$H$5</f>
        <v>45543.270922803305</v>
      </c>
      <c r="L50" s="42">
        <f>16319.7039952349*Deflactores!$I$5</f>
        <v>37753.11385846512</v>
      </c>
      <c r="M50" s="42">
        <f>13696.6251719467*Deflactores!$J$5</f>
        <v>31063.200621758951</v>
      </c>
      <c r="N50" s="42">
        <f>13845.4427794111*Deflactores!$K$5</f>
        <v>30435.53248890919</v>
      </c>
      <c r="O50" s="42">
        <f>14339.1939088717*Deflactores!$L$5</f>
        <v>30388.432147326152</v>
      </c>
      <c r="P50" s="42">
        <f>16596.7196116956*Deflactores!$M$5</f>
        <v>34334.936080997883</v>
      </c>
      <c r="Q50" s="42">
        <f>18015.2261824909*Deflactores!$N$5</f>
        <v>36560.243205403676</v>
      </c>
      <c r="R50" s="42">
        <f>17331.4251576063*Deflactores!$O$5</f>
        <v>33930.669467912674</v>
      </c>
      <c r="S50" s="42">
        <f>20376.7749838661*Deflactores!$P$5</f>
        <v>37363.225361024633</v>
      </c>
      <c r="T50" s="42">
        <f>13862.1487996668*Deflactores!$Q$5</f>
        <v>24035.828139567049</v>
      </c>
      <c r="U50" s="42">
        <f>17062.9997412807*Deflactores!$R$5</f>
        <v>28423.326860813286</v>
      </c>
      <c r="V50" s="42">
        <f>15624.5116279023*Deflactores!$S$5</f>
        <v>25224.958082047968</v>
      </c>
    </row>
    <row r="51" spans="1:23" x14ac:dyDescent="0.2">
      <c r="A51" s="16"/>
      <c r="B51" s="32"/>
      <c r="C51" s="77" t="s">
        <v>61</v>
      </c>
      <c r="D51" s="42">
        <f>4649.95331817532*Deflactores!$A$5</f>
        <v>17353.23320106832</v>
      </c>
      <c r="E51" s="42">
        <f>5012.04582074741*Deflactores!$B$5</f>
        <v>17375.593626193244</v>
      </c>
      <c r="F51" s="42">
        <f>5198.94195266907*Deflactores!$C$5</f>
        <v>16845.694818425633</v>
      </c>
      <c r="G51" s="42">
        <f>6746.86949258964*Deflactores!$D$5</f>
        <v>20528.720835033389</v>
      </c>
      <c r="H51" s="42">
        <f>7605.01727513989*Deflactores!$E$5</f>
        <v>21934.096263253836</v>
      </c>
      <c r="I51" s="42">
        <f>8559.58808946646*Deflactores!$F$5</f>
        <v>23544.126161918368</v>
      </c>
      <c r="J51" s="42">
        <f>10904.5118013713*Deflactores!$G$5</f>
        <v>28708.552892646891</v>
      </c>
      <c r="K51" s="42">
        <f>12281.4188438467*Deflactores!$H$5</f>
        <v>30591.543381541738</v>
      </c>
      <c r="L51" s="42">
        <f>11920.1349511296*Deflactores!$I$5</f>
        <v>27575.390592235297</v>
      </c>
      <c r="M51" s="42">
        <f>12178.6072874152*Deflactores!$J$5</f>
        <v>27620.418658856037</v>
      </c>
      <c r="N51" s="42">
        <f>11461.5386666204*Deflactores!$K$5</f>
        <v>25195.151792440654</v>
      </c>
      <c r="O51" s="42">
        <f>13247.6115256587*Deflactores!$L$5</f>
        <v>28075.08891504295</v>
      </c>
      <c r="P51" s="42">
        <f>13167.8086880791*Deflactores!$M$5</f>
        <v>27241.279012353825</v>
      </c>
      <c r="Q51" s="42">
        <f>13055.4411041351*Deflactores!$N$5</f>
        <v>26494.81594546415</v>
      </c>
      <c r="R51" s="42">
        <f>13813.2788850299*Deflactores!$O$5</f>
        <v>27043.004014609247</v>
      </c>
      <c r="S51" s="42">
        <f>14925.5964825797*Deflactores!$P$5</f>
        <v>27367.845278160654</v>
      </c>
      <c r="T51" s="42">
        <f>16511.6473317704*Deflactores!$Q$5</f>
        <v>28629.841109274028</v>
      </c>
      <c r="U51" s="42">
        <f>17875.0541896296*Deflactores!$R$5</f>
        <v>29776.036780767015</v>
      </c>
      <c r="V51" s="42">
        <f>20176.2900496005*Deflactores!$S$5</f>
        <v>32573.566641502999</v>
      </c>
      <c r="W51" s="8"/>
    </row>
    <row r="52" spans="1:23" x14ac:dyDescent="0.2">
      <c r="A52" s="16"/>
      <c r="B52" s="34" t="s">
        <v>45</v>
      </c>
      <c r="C52" s="76" t="s">
        <v>46</v>
      </c>
      <c r="D52" s="41">
        <f>4304.79324784434*Deflactores!$A$5</f>
        <v>16065.124959478268</v>
      </c>
      <c r="E52" s="41">
        <f>8048.0453446888*Deflactores!$B$5</f>
        <v>27900.695723016284</v>
      </c>
      <c r="F52" s="41">
        <f>6491.40303091349*Deflactores!$C$5</f>
        <v>21033.547863720967</v>
      </c>
      <c r="G52" s="41">
        <f>6184.94341385733*Deflactores!$D$5</f>
        <v>18818.946603756111</v>
      </c>
      <c r="H52" s="41">
        <f>7612.94237134011*Deflactores!$E$5</f>
        <v>21956.953518755334</v>
      </c>
      <c r="I52" s="41">
        <f>8557.07143150982*Deflactores!$F$5</f>
        <v>23537.203806330897</v>
      </c>
      <c r="J52" s="41">
        <f>9886.9308467188*Deflactores!$G$5</f>
        <v>26029.544681062613</v>
      </c>
      <c r="K52" s="41">
        <f>13952.7384610578*Deflactores!$H$5</f>
        <v>34754.600372302346</v>
      </c>
      <c r="L52" s="41">
        <f>15853.3310046082*Deflactores!$I$5</f>
        <v>36674.231997569623</v>
      </c>
      <c r="M52" s="41">
        <f>22125.5350376892*Deflactores!$J$5</f>
        <v>50179.509558836246</v>
      </c>
      <c r="N52" s="41">
        <f>17260.6970087744*Deflactores!$K$5</f>
        <v>37943.062779687833</v>
      </c>
      <c r="O52" s="41">
        <f>24344.0228905136*Deflactores!$L$5</f>
        <v>51591.232568772582</v>
      </c>
      <c r="P52" s="41">
        <f>28291.0089764056*Deflactores!$M$5</f>
        <v>58527.83005307299</v>
      </c>
      <c r="Q52" s="41">
        <f>33023.6445019148*Deflactores!$N$5</f>
        <v>67018.446634449123</v>
      </c>
      <c r="R52" s="41">
        <f>37044.4768212073*Deflactores!$O$5</f>
        <v>72523.978103468209</v>
      </c>
      <c r="S52" s="41">
        <f>38494.5065130215*Deflactores!$P$5</f>
        <v>70584.227540729669</v>
      </c>
      <c r="T52" s="41">
        <f>32323.2587193337*Deflactores!$Q$5</f>
        <v>56045.877353974254</v>
      </c>
      <c r="U52" s="41">
        <f>31059.7242574772*Deflactores!$R$5</f>
        <v>51738.891646419477</v>
      </c>
      <c r="V52" s="41">
        <f>30111.499899578*Deflactores!$S$5</f>
        <v>48613.44410906385</v>
      </c>
    </row>
    <row r="53" spans="1:23" x14ac:dyDescent="0.2">
      <c r="A53" s="16"/>
      <c r="B53" s="36" t="s">
        <v>47</v>
      </c>
      <c r="C53" s="78" t="s">
        <v>48</v>
      </c>
      <c r="D53" s="43">
        <f t="shared" ref="D53:V53" si="10">+D40+D52</f>
        <v>104147.36743944444</v>
      </c>
      <c r="E53" s="43">
        <f t="shared" si="10"/>
        <v>121658.42915017049</v>
      </c>
      <c r="F53" s="43">
        <f t="shared" si="10"/>
        <v>120329.22246010526</v>
      </c>
      <c r="G53" s="43">
        <f t="shared" si="10"/>
        <v>118767.70251524659</v>
      </c>
      <c r="H53" s="43">
        <f t="shared" si="10"/>
        <v>133842.28926010025</v>
      </c>
      <c r="I53" s="43">
        <f t="shared" si="10"/>
        <v>145479.5810636364</v>
      </c>
      <c r="J53" s="43">
        <f t="shared" si="10"/>
        <v>153765.02257928695</v>
      </c>
      <c r="K53" s="43">
        <f t="shared" si="10"/>
        <v>164530.21164948127</v>
      </c>
      <c r="L53" s="43">
        <f t="shared" si="10"/>
        <v>175981.42976238288</v>
      </c>
      <c r="M53" s="43">
        <f t="shared" si="10"/>
        <v>201253.39762173564</v>
      </c>
      <c r="N53" s="43">
        <f t="shared" si="10"/>
        <v>198064.35311919847</v>
      </c>
      <c r="O53" s="43">
        <f t="shared" si="10"/>
        <v>215325.83014486672</v>
      </c>
      <c r="P53" s="43">
        <f t="shared" si="10"/>
        <v>233725.76002737164</v>
      </c>
      <c r="Q53" s="43">
        <f t="shared" si="10"/>
        <v>255489.31087797965</v>
      </c>
      <c r="R53" s="43">
        <f t="shared" si="10"/>
        <v>270708.4561630761</v>
      </c>
      <c r="S53" s="43">
        <f t="shared" si="10"/>
        <v>266434.48839391471</v>
      </c>
      <c r="T53" s="43">
        <f t="shared" si="10"/>
        <v>257293.38927435694</v>
      </c>
      <c r="U53" s="43">
        <f t="shared" si="10"/>
        <v>271785.54532415722</v>
      </c>
      <c r="V53" s="43">
        <f t="shared" si="10"/>
        <v>269840.68800198141</v>
      </c>
    </row>
    <row r="54" spans="1:23" x14ac:dyDescent="0.2">
      <c r="A54" s="16"/>
      <c r="B54" s="38" t="s">
        <v>49</v>
      </c>
      <c r="C54" s="79" t="s">
        <v>63</v>
      </c>
      <c r="D54" s="44">
        <f t="shared" ref="D54:V54" si="11">+D40+D45+D52</f>
        <v>162759.84277970807</v>
      </c>
      <c r="E54" s="44">
        <f t="shared" si="11"/>
        <v>194816.61512177769</v>
      </c>
      <c r="F54" s="44">
        <f t="shared" si="11"/>
        <v>193954.48865266435</v>
      </c>
      <c r="G54" s="44">
        <f t="shared" si="11"/>
        <v>201273.26136337599</v>
      </c>
      <c r="H54" s="44">
        <f t="shared" si="11"/>
        <v>207896.48224739218</v>
      </c>
      <c r="I54" s="44">
        <f t="shared" si="11"/>
        <v>230396.97414919108</v>
      </c>
      <c r="J54" s="44">
        <f t="shared" si="11"/>
        <v>252727.12464180266</v>
      </c>
      <c r="K54" s="44">
        <f t="shared" si="11"/>
        <v>259224.49710529967</v>
      </c>
      <c r="L54" s="44">
        <f t="shared" si="11"/>
        <v>258279.0654797504</v>
      </c>
      <c r="M54" s="44">
        <f t="shared" si="11"/>
        <v>275518.00090076419</v>
      </c>
      <c r="N54" s="44">
        <f t="shared" si="11"/>
        <v>269164.49435708567</v>
      </c>
      <c r="O54" s="44">
        <f t="shared" si="11"/>
        <v>286771.32366463915</v>
      </c>
      <c r="P54" s="44">
        <f t="shared" si="11"/>
        <v>308702.20566807676</v>
      </c>
      <c r="Q54" s="44">
        <f t="shared" si="11"/>
        <v>332471.36593114311</v>
      </c>
      <c r="R54" s="44">
        <f t="shared" si="11"/>
        <v>348994.71160944342</v>
      </c>
      <c r="S54" s="44">
        <f t="shared" si="11"/>
        <v>351356.11880331067</v>
      </c>
      <c r="T54" s="44">
        <f t="shared" si="11"/>
        <v>326074.99538769567</v>
      </c>
      <c r="U54" s="44">
        <f t="shared" si="11"/>
        <v>353273.62143806211</v>
      </c>
      <c r="V54" s="44">
        <f t="shared" si="11"/>
        <v>345670.88679510972</v>
      </c>
    </row>
    <row r="55" spans="1:23" x14ac:dyDescent="0.2">
      <c r="A55" s="16"/>
      <c r="B55" s="36" t="s">
        <v>64</v>
      </c>
      <c r="C55" s="78" t="s">
        <v>65</v>
      </c>
      <c r="D55" s="43">
        <f t="shared" ref="D55:V55" si="12">+D27</f>
        <v>111608.60828913971</v>
      </c>
      <c r="E55" s="43">
        <f t="shared" si="12"/>
        <v>126836.00359735166</v>
      </c>
      <c r="F55" s="43">
        <f t="shared" si="12"/>
        <v>125535.6463556705</v>
      </c>
      <c r="G55" s="43">
        <f t="shared" si="12"/>
        <v>120222.4742448949</v>
      </c>
      <c r="H55" s="43">
        <f t="shared" si="12"/>
        <v>135849.37310059034</v>
      </c>
      <c r="I55" s="43">
        <f t="shared" si="12"/>
        <v>148961.80122765494</v>
      </c>
      <c r="J55" s="43">
        <f t="shared" si="12"/>
        <v>158024.39403484282</v>
      </c>
      <c r="K55" s="43">
        <f t="shared" si="12"/>
        <v>174909.29901284655</v>
      </c>
      <c r="L55" s="43">
        <f t="shared" si="12"/>
        <v>179512.47955910923</v>
      </c>
      <c r="M55" s="43">
        <f t="shared" si="12"/>
        <v>212730.07307449746</v>
      </c>
      <c r="N55" s="43">
        <f t="shared" si="12"/>
        <v>213805.34485667618</v>
      </c>
      <c r="O55" s="43">
        <f t="shared" si="12"/>
        <v>218778.3015024889</v>
      </c>
      <c r="P55" s="43">
        <f t="shared" si="12"/>
        <v>239900.09297612414</v>
      </c>
      <c r="Q55" s="43">
        <f t="shared" si="12"/>
        <v>263854.59876178595</v>
      </c>
      <c r="R55" s="43">
        <f t="shared" si="12"/>
        <v>283082.7826270329</v>
      </c>
      <c r="S55" s="43">
        <f t="shared" si="12"/>
        <v>272036.76618664712</v>
      </c>
      <c r="T55" s="43">
        <f t="shared" si="12"/>
        <v>260718.05890709959</v>
      </c>
      <c r="U55" s="43">
        <f t="shared" si="12"/>
        <v>274344.81065010943</v>
      </c>
      <c r="V55" s="43">
        <f t="shared" si="12"/>
        <v>277018.29450615123</v>
      </c>
    </row>
    <row r="56" spans="1:23" x14ac:dyDescent="0.2">
      <c r="A56" s="16"/>
      <c r="B56" s="38" t="s">
        <v>66</v>
      </c>
      <c r="C56" s="79" t="s">
        <v>77</v>
      </c>
      <c r="D56" s="45">
        <f t="shared" ref="D56:V56" si="13">+D53/D$27*100</f>
        <v>93.314815976948879</v>
      </c>
      <c r="E56" s="45">
        <f t="shared" si="13"/>
        <v>95.917898467049085</v>
      </c>
      <c r="F56" s="45">
        <f t="shared" si="13"/>
        <v>95.852633059446489</v>
      </c>
      <c r="G56" s="45">
        <f t="shared" si="13"/>
        <v>98.789933630308667</v>
      </c>
      <c r="H56" s="45">
        <f t="shared" si="13"/>
        <v>98.522566726160804</v>
      </c>
      <c r="I56" s="45">
        <f t="shared" si="13"/>
        <v>97.662340187000865</v>
      </c>
      <c r="J56" s="45">
        <f t="shared" si="13"/>
        <v>97.304611429412148</v>
      </c>
      <c r="K56" s="45">
        <f t="shared" si="13"/>
        <v>94.066017403338307</v>
      </c>
      <c r="L56" s="45">
        <f t="shared" si="13"/>
        <v>98.032978094114256</v>
      </c>
      <c r="M56" s="45">
        <f t="shared" si="13"/>
        <v>94.605052643994185</v>
      </c>
      <c r="N56" s="45">
        <f t="shared" si="13"/>
        <v>92.637699610349017</v>
      </c>
      <c r="O56" s="45">
        <f t="shared" si="13"/>
        <v>98.421931547181842</v>
      </c>
      <c r="P56" s="45">
        <f t="shared" si="13"/>
        <v>97.426289889196909</v>
      </c>
      <c r="Q56" s="45">
        <f t="shared" si="13"/>
        <v>96.82958420165393</v>
      </c>
      <c r="R56" s="45">
        <f t="shared" si="13"/>
        <v>95.628725156252187</v>
      </c>
      <c r="S56" s="45">
        <f t="shared" si="13"/>
        <v>97.940617413129871</v>
      </c>
      <c r="T56" s="45">
        <f t="shared" si="13"/>
        <v>98.686447096492486</v>
      </c>
      <c r="U56" s="45">
        <f t="shared" si="13"/>
        <v>99.067135507361144</v>
      </c>
      <c r="V56" s="45">
        <f t="shared" si="13"/>
        <v>97.408977440654027</v>
      </c>
    </row>
    <row r="57" spans="1:23" x14ac:dyDescent="0.2">
      <c r="B57" s="1" t="s">
        <v>52</v>
      </c>
      <c r="C57" s="15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62" spans="1:23" ht="18" customHeight="1" x14ac:dyDescent="0.2">
      <c r="A62" s="16"/>
      <c r="C62" s="131"/>
      <c r="D62" s="164" t="s">
        <v>78</v>
      </c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spans="1:23" x14ac:dyDescent="0.2">
      <c r="A63" s="16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</row>
    <row r="64" spans="1:23" x14ac:dyDescent="0.2">
      <c r="A64" s="16"/>
      <c r="B64" s="167"/>
      <c r="C64" s="161" t="s">
        <v>38</v>
      </c>
      <c r="D64" s="155">
        <v>2000</v>
      </c>
      <c r="E64" s="155">
        <v>2001</v>
      </c>
      <c r="F64" s="155">
        <v>2002</v>
      </c>
      <c r="G64" s="155">
        <v>2003</v>
      </c>
      <c r="H64" s="155">
        <v>2004</v>
      </c>
      <c r="I64" s="155">
        <v>2005</v>
      </c>
      <c r="J64" s="155">
        <v>2006</v>
      </c>
      <c r="K64" s="155">
        <v>2007</v>
      </c>
      <c r="L64" s="155">
        <v>2008</v>
      </c>
      <c r="M64" s="155" t="s">
        <v>35</v>
      </c>
      <c r="N64" s="155">
        <v>2010</v>
      </c>
      <c r="O64" s="155">
        <v>2011</v>
      </c>
      <c r="P64" s="155">
        <v>2012</v>
      </c>
      <c r="Q64" s="155">
        <v>2013</v>
      </c>
      <c r="R64" s="155">
        <v>2014</v>
      </c>
      <c r="S64" s="155">
        <v>2015</v>
      </c>
      <c r="T64" s="155">
        <v>2016</v>
      </c>
      <c r="U64" s="155">
        <v>2017</v>
      </c>
      <c r="V64" s="155">
        <v>2018</v>
      </c>
    </row>
    <row r="65" spans="1:23" ht="12" customHeight="1" thickBot="1" x14ac:dyDescent="0.25">
      <c r="A65" s="16"/>
      <c r="B65" s="156"/>
      <c r="C65" s="162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</row>
    <row r="66" spans="1:23" x14ac:dyDescent="0.2">
      <c r="A66" s="16"/>
      <c r="B66" s="34" t="s">
        <v>39</v>
      </c>
      <c r="C66" s="76" t="s">
        <v>40</v>
      </c>
      <c r="D66" s="46">
        <f t="shared" ref="D66:V66" si="14">+IFERROR(IF(D40&gt;0,+((D40/D14)*100)," "),"")</f>
        <v>95.851060751659546</v>
      </c>
      <c r="E66" s="46">
        <f t="shared" si="14"/>
        <v>96.922173086367664</v>
      </c>
      <c r="F66" s="46">
        <f t="shared" si="14"/>
        <v>98.689669378464444</v>
      </c>
      <c r="G66" s="46">
        <f t="shared" si="14"/>
        <v>98.820161676365629</v>
      </c>
      <c r="H66" s="46">
        <f t="shared" si="14"/>
        <v>99.118845210946844</v>
      </c>
      <c r="I66" s="46">
        <f t="shared" si="14"/>
        <v>98.534606897832489</v>
      </c>
      <c r="J66" s="46">
        <f t="shared" si="14"/>
        <v>98.466462409245864</v>
      </c>
      <c r="K66" s="46">
        <f t="shared" si="14"/>
        <v>96.314310056347878</v>
      </c>
      <c r="L66" s="46">
        <f t="shared" si="14"/>
        <v>98.108985961702615</v>
      </c>
      <c r="M66" s="46">
        <f t="shared" si="14"/>
        <v>95.025415694171102</v>
      </c>
      <c r="N66" s="46">
        <f t="shared" si="14"/>
        <v>92.134450720301615</v>
      </c>
      <c r="O66" s="46">
        <f t="shared" si="14"/>
        <v>98.803610827682405</v>
      </c>
      <c r="P66" s="46">
        <f t="shared" si="14"/>
        <v>98.342562468791044</v>
      </c>
      <c r="Q66" s="46">
        <f t="shared" si="14"/>
        <v>97.458493695076427</v>
      </c>
      <c r="R66" s="46">
        <f t="shared" si="14"/>
        <v>95.48541775639714</v>
      </c>
      <c r="S66" s="46">
        <f t="shared" si="14"/>
        <v>98.323640179211907</v>
      </c>
      <c r="T66" s="46">
        <f t="shared" si="14"/>
        <v>99.238746764618128</v>
      </c>
      <c r="U66" s="46">
        <f t="shared" si="14"/>
        <v>99.32781739937866</v>
      </c>
      <c r="V66" s="46">
        <f t="shared" si="14"/>
        <v>97.435751996337842</v>
      </c>
    </row>
    <row r="67" spans="1:23" x14ac:dyDescent="0.2">
      <c r="A67" s="16"/>
      <c r="B67" s="40"/>
      <c r="C67" s="77" t="s">
        <v>56</v>
      </c>
      <c r="D67" s="47">
        <f t="shared" ref="D67:V67" si="15">+IFERROR(IF(D41&gt;0,+((D41/D15)*100)," "),"")</f>
        <v>98.326046322642597</v>
      </c>
      <c r="E67" s="47">
        <f t="shared" si="15"/>
        <v>98.220738042051195</v>
      </c>
      <c r="F67" s="47">
        <f t="shared" si="15"/>
        <v>98.649801153287314</v>
      </c>
      <c r="G67" s="47">
        <f t="shared" si="15"/>
        <v>98.81537136422061</v>
      </c>
      <c r="H67" s="47">
        <f t="shared" si="15"/>
        <v>98.915238215189717</v>
      </c>
      <c r="I67" s="47">
        <f t="shared" si="15"/>
        <v>98.995048244486782</v>
      </c>
      <c r="J67" s="47">
        <f t="shared" si="15"/>
        <v>98.421591577819839</v>
      </c>
      <c r="K67" s="47">
        <f t="shared" si="15"/>
        <v>97.693537759043124</v>
      </c>
      <c r="L67" s="47">
        <f t="shared" si="15"/>
        <v>97.51293533534141</v>
      </c>
      <c r="M67" s="47">
        <f t="shared" si="15"/>
        <v>97.619794866150741</v>
      </c>
      <c r="N67" s="47">
        <f t="shared" si="15"/>
        <v>95.606258137051995</v>
      </c>
      <c r="O67" s="47">
        <f t="shared" si="15"/>
        <v>98.781551015108178</v>
      </c>
      <c r="P67" s="47">
        <f t="shared" si="15"/>
        <v>97.516627998389183</v>
      </c>
      <c r="Q67" s="47">
        <f t="shared" si="15"/>
        <v>96.346500040791909</v>
      </c>
      <c r="R67" s="47">
        <f t="shared" si="15"/>
        <v>95.081261624905636</v>
      </c>
      <c r="S67" s="47">
        <f t="shared" si="15"/>
        <v>96.31766580495254</v>
      </c>
      <c r="T67" s="47">
        <f t="shared" si="15"/>
        <v>98.932792951671303</v>
      </c>
      <c r="U67" s="47">
        <f t="shared" si="15"/>
        <v>99.129083334235062</v>
      </c>
      <c r="V67" s="47">
        <f t="shared" si="15"/>
        <v>97.056982069058748</v>
      </c>
    </row>
    <row r="68" spans="1:23" x14ac:dyDescent="0.2">
      <c r="A68" s="16"/>
      <c r="B68" s="40"/>
      <c r="C68" s="77" t="s">
        <v>57</v>
      </c>
      <c r="D68" s="47">
        <f t="shared" ref="D68:V68" si="16">+IFERROR(IF(D42&gt;0,+((D42/D16)*100)," "),"")</f>
        <v>94.628256862407213</v>
      </c>
      <c r="E68" s="47">
        <f t="shared" si="16"/>
        <v>95.718897601791056</v>
      </c>
      <c r="F68" s="47">
        <f t="shared" si="16"/>
        <v>96.969218439284489</v>
      </c>
      <c r="G68" s="47">
        <f t="shared" si="16"/>
        <v>97.970480892007615</v>
      </c>
      <c r="H68" s="47">
        <f t="shared" si="16"/>
        <v>98.108782046549237</v>
      </c>
      <c r="I68" s="47">
        <f t="shared" si="16"/>
        <v>98.078086552322702</v>
      </c>
      <c r="J68" s="47">
        <f t="shared" si="16"/>
        <v>98.252564000075935</v>
      </c>
      <c r="K68" s="47">
        <f t="shared" si="16"/>
        <v>95.989736236525388</v>
      </c>
      <c r="L68" s="47">
        <f t="shared" si="16"/>
        <v>98.897810057465648</v>
      </c>
      <c r="M68" s="47">
        <f t="shared" si="16"/>
        <v>98.391848965389912</v>
      </c>
      <c r="N68" s="47">
        <f t="shared" si="16"/>
        <v>97.76145949175411</v>
      </c>
      <c r="O68" s="47">
        <f t="shared" si="16"/>
        <v>97.307962671292614</v>
      </c>
      <c r="P68" s="47">
        <f t="shared" si="16"/>
        <v>96.708802740583337</v>
      </c>
      <c r="Q68" s="47">
        <f t="shared" si="16"/>
        <v>97.570401202195413</v>
      </c>
      <c r="R68" s="47">
        <f t="shared" si="16"/>
        <v>98.141222899922084</v>
      </c>
      <c r="S68" s="47">
        <f t="shared" si="16"/>
        <v>97.904885777583758</v>
      </c>
      <c r="T68" s="47">
        <f t="shared" si="16"/>
        <v>98.742923263933648</v>
      </c>
      <c r="U68" s="47">
        <f t="shared" si="16"/>
        <v>99.017117689784769</v>
      </c>
      <c r="V68" s="47">
        <f t="shared" si="16"/>
        <v>99.109396697526805</v>
      </c>
    </row>
    <row r="69" spans="1:23" x14ac:dyDescent="0.2">
      <c r="A69" s="16"/>
      <c r="B69" s="40"/>
      <c r="C69" s="77" t="s">
        <v>58</v>
      </c>
      <c r="D69" s="47">
        <f t="shared" ref="D69:V69" si="17">+IFERROR(IF(D43&gt;0,+((D43/D17)*100)," "),"")</f>
        <v>95.108137780260023</v>
      </c>
      <c r="E69" s="47">
        <f t="shared" si="17"/>
        <v>96.609063305666382</v>
      </c>
      <c r="F69" s="47">
        <f t="shared" si="17"/>
        <v>98.859134073733628</v>
      </c>
      <c r="G69" s="47">
        <f t="shared" si="17"/>
        <v>98.902205340992765</v>
      </c>
      <c r="H69" s="47">
        <f t="shared" si="17"/>
        <v>99.271730404729368</v>
      </c>
      <c r="I69" s="47">
        <f t="shared" si="17"/>
        <v>98.452332949295354</v>
      </c>
      <c r="J69" s="47">
        <f t="shared" si="17"/>
        <v>98.496726361273957</v>
      </c>
      <c r="K69" s="47">
        <f t="shared" si="17"/>
        <v>95.974209585855704</v>
      </c>
      <c r="L69" s="47">
        <f t="shared" si="17"/>
        <v>98.201741386948541</v>
      </c>
      <c r="M69" s="47">
        <f t="shared" si="17"/>
        <v>94.060765323866349</v>
      </c>
      <c r="N69" s="47">
        <f t="shared" si="17"/>
        <v>90.792550999653059</v>
      </c>
      <c r="O69" s="47">
        <f t="shared" si="17"/>
        <v>98.950653455116424</v>
      </c>
      <c r="P69" s="47">
        <f t="shared" si="17"/>
        <v>98.731876046116298</v>
      </c>
      <c r="Q69" s="47">
        <f t="shared" si="17"/>
        <v>97.763614155095951</v>
      </c>
      <c r="R69" s="47">
        <f t="shared" si="17"/>
        <v>95.349893717336712</v>
      </c>
      <c r="S69" s="47">
        <f t="shared" si="17"/>
        <v>98.954115174288262</v>
      </c>
      <c r="T69" s="47">
        <f t="shared" si="17"/>
        <v>99.372035866229865</v>
      </c>
      <c r="U69" s="47">
        <f t="shared" si="17"/>
        <v>99.404586667177568</v>
      </c>
      <c r="V69" s="47">
        <f t="shared" si="17"/>
        <v>97.416053743268364</v>
      </c>
    </row>
    <row r="70" spans="1:23" x14ac:dyDescent="0.2">
      <c r="A70" s="16"/>
      <c r="B70" s="40"/>
      <c r="C70" s="77" t="s">
        <v>59</v>
      </c>
      <c r="D70" s="47">
        <f t="shared" ref="D70:V70" si="18">+IFERROR(IF(D44&gt;0,+((D44/D18)*100)," "),"")</f>
        <v>100</v>
      </c>
      <c r="E70" s="47">
        <f t="shared" si="18"/>
        <v>86.850598147086941</v>
      </c>
      <c r="F70" s="47">
        <f t="shared" si="18"/>
        <v>99.167081704746309</v>
      </c>
      <c r="G70" s="47">
        <f t="shared" si="18"/>
        <v>99.231034408409272</v>
      </c>
      <c r="H70" s="47">
        <f t="shared" si="18"/>
        <v>99.215913992546135</v>
      </c>
      <c r="I70" s="47">
        <f t="shared" si="18"/>
        <v>99.978808566837117</v>
      </c>
      <c r="J70" s="47">
        <f t="shared" si="18"/>
        <v>99.782987165616106</v>
      </c>
      <c r="K70" s="47">
        <f t="shared" si="18"/>
        <v>83.605573056880871</v>
      </c>
      <c r="L70" s="47">
        <f t="shared" si="18"/>
        <v>97.755145970565721</v>
      </c>
      <c r="M70" s="47">
        <f t="shared" si="18"/>
        <v>92.635340975831511</v>
      </c>
      <c r="N70" s="47">
        <f t="shared" si="18"/>
        <v>97.627099541629477</v>
      </c>
      <c r="O70" s="47">
        <f t="shared" si="18"/>
        <v>91.830503874309315</v>
      </c>
      <c r="P70" s="47">
        <f t="shared" si="18"/>
        <v>93.850689814728256</v>
      </c>
      <c r="Q70" s="47">
        <f t="shared" si="18"/>
        <v>97.933689708670912</v>
      </c>
      <c r="R70" s="47">
        <f t="shared" si="18"/>
        <v>96.6089724592224</v>
      </c>
      <c r="S70" s="47">
        <f t="shared" si="18"/>
        <v>99.470139319067869</v>
      </c>
      <c r="T70" s="47">
        <f t="shared" si="18"/>
        <v>84.312763622163871</v>
      </c>
      <c r="U70" s="47">
        <f t="shared" si="18"/>
        <v>95.710521934130128</v>
      </c>
      <c r="V70" s="47">
        <f t="shared" si="18"/>
        <v>98.336419429818363</v>
      </c>
    </row>
    <row r="71" spans="1:23" x14ac:dyDescent="0.2">
      <c r="A71" s="16"/>
      <c r="B71" s="34" t="s">
        <v>41</v>
      </c>
      <c r="C71" s="76" t="s">
        <v>42</v>
      </c>
      <c r="D71" s="46">
        <f t="shared" ref="D71:V71" si="19">+IFERROR(IF(D45&gt;0,+((D45/D19)*100)," "),"")</f>
        <v>95.140960884534692</v>
      </c>
      <c r="E71" s="46">
        <f t="shared" si="19"/>
        <v>98.614916381354703</v>
      </c>
      <c r="F71" s="46">
        <f t="shared" si="19"/>
        <v>98.965961854513324</v>
      </c>
      <c r="G71" s="46">
        <f t="shared" si="19"/>
        <v>99.194039119985447</v>
      </c>
      <c r="H71" s="46">
        <f t="shared" si="19"/>
        <v>95.506934263998644</v>
      </c>
      <c r="I71" s="46">
        <f t="shared" si="19"/>
        <v>97.83958691323943</v>
      </c>
      <c r="J71" s="46">
        <f t="shared" si="19"/>
        <v>96.563577074437532</v>
      </c>
      <c r="K71" s="46">
        <f t="shared" si="19"/>
        <v>96.692154505553489</v>
      </c>
      <c r="L71" s="46">
        <f t="shared" si="19"/>
        <v>91.495182134418499</v>
      </c>
      <c r="M71" s="46">
        <f t="shared" si="19"/>
        <v>88.428410037031171</v>
      </c>
      <c r="N71" s="46">
        <f t="shared" si="19"/>
        <v>81.085811297480589</v>
      </c>
      <c r="O71" s="46">
        <f t="shared" si="19"/>
        <v>95.815583815225281</v>
      </c>
      <c r="P71" s="46">
        <f t="shared" si="19"/>
        <v>99.538806541882707</v>
      </c>
      <c r="Q71" s="46">
        <f t="shared" si="19"/>
        <v>85.167793953424393</v>
      </c>
      <c r="R71" s="46">
        <f t="shared" si="19"/>
        <v>97.647445574728295</v>
      </c>
      <c r="S71" s="46">
        <f t="shared" si="19"/>
        <v>98.591313731555715</v>
      </c>
      <c r="T71" s="46">
        <f t="shared" si="19"/>
        <v>84.933922411390483</v>
      </c>
      <c r="U71" s="46">
        <f t="shared" si="19"/>
        <v>97.826713372840203</v>
      </c>
      <c r="V71" s="46">
        <f t="shared" si="19"/>
        <v>97.999200014242788</v>
      </c>
    </row>
    <row r="72" spans="1:23" x14ac:dyDescent="0.2">
      <c r="A72" s="16"/>
      <c r="B72" s="34"/>
      <c r="C72" s="76" t="s">
        <v>43</v>
      </c>
      <c r="D72" s="46">
        <f t="shared" ref="D72:V72" si="20">+IFERROR(IF(D46&gt;0,+((D46/D20)*100)," "),"")</f>
        <v>97.306011475750481</v>
      </c>
      <c r="E72" s="46">
        <f t="shared" si="20"/>
        <v>98.235641502363634</v>
      </c>
      <c r="F72" s="46">
        <f t="shared" si="20"/>
        <v>98.517529025333246</v>
      </c>
      <c r="G72" s="46">
        <f t="shared" si="20"/>
        <v>99.265434516976697</v>
      </c>
      <c r="H72" s="46">
        <f t="shared" si="20"/>
        <v>90.247742051355686</v>
      </c>
      <c r="I72" s="46">
        <f t="shared" si="20"/>
        <v>97.812799015568928</v>
      </c>
      <c r="J72" s="46">
        <f t="shared" si="20"/>
        <v>90.818091834568676</v>
      </c>
      <c r="K72" s="46">
        <f t="shared" si="20"/>
        <v>96.579018741528017</v>
      </c>
      <c r="L72" s="46">
        <f t="shared" si="20"/>
        <v>89.54954010189492</v>
      </c>
      <c r="M72" s="46">
        <f t="shared" si="20"/>
        <v>83.08709850362645</v>
      </c>
      <c r="N72" s="46">
        <f t="shared" si="20"/>
        <v>81.632734086724753</v>
      </c>
      <c r="O72" s="46">
        <f t="shared" si="20"/>
        <v>87.137815940680781</v>
      </c>
      <c r="P72" s="46">
        <f t="shared" si="20"/>
        <v>98.718189402040238</v>
      </c>
      <c r="Q72" s="46">
        <f t="shared" si="20"/>
        <v>97.213240522082373</v>
      </c>
      <c r="R72" s="46">
        <f t="shared" si="20"/>
        <v>98.122589841648136</v>
      </c>
      <c r="S72" s="46">
        <f t="shared" si="20"/>
        <v>98.864283759926622</v>
      </c>
      <c r="T72" s="46">
        <f t="shared" si="20"/>
        <v>96.043336646906681</v>
      </c>
      <c r="U72" s="46">
        <f t="shared" si="20"/>
        <v>97.048115312322082</v>
      </c>
      <c r="V72" s="46">
        <f t="shared" si="20"/>
        <v>99.951560783993614</v>
      </c>
    </row>
    <row r="73" spans="1:23" x14ac:dyDescent="0.2">
      <c r="A73" s="16"/>
      <c r="B73" s="32"/>
      <c r="C73" s="77" t="s">
        <v>60</v>
      </c>
      <c r="D73" s="47">
        <f t="shared" ref="D73:V73" si="21">+IFERROR(IF(D47&gt;0,+((D47/D21)*100)," "),"")</f>
        <v>97.420766729959965</v>
      </c>
      <c r="E73" s="47">
        <f t="shared" si="21"/>
        <v>98.480772680160769</v>
      </c>
      <c r="F73" s="47">
        <f t="shared" si="21"/>
        <v>98.929621525621499</v>
      </c>
      <c r="G73" s="47">
        <f t="shared" si="21"/>
        <v>99.160384730001567</v>
      </c>
      <c r="H73" s="47">
        <f t="shared" si="21"/>
        <v>90.85745825305402</v>
      </c>
      <c r="I73" s="47">
        <f t="shared" si="21"/>
        <v>98.173132478820378</v>
      </c>
      <c r="J73" s="47">
        <f t="shared" si="21"/>
        <v>91.190116941193011</v>
      </c>
      <c r="K73" s="47">
        <f t="shared" si="21"/>
        <v>94.58836107401774</v>
      </c>
      <c r="L73" s="47">
        <f t="shared" si="21"/>
        <v>84.013291378162322</v>
      </c>
      <c r="M73" s="47">
        <f t="shared" si="21"/>
        <v>83.582644318144631</v>
      </c>
      <c r="N73" s="47">
        <f t="shared" si="21"/>
        <v>86.63851219357413</v>
      </c>
      <c r="O73" s="47">
        <f t="shared" si="21"/>
        <v>78.488186836005355</v>
      </c>
      <c r="P73" s="47">
        <f t="shared" si="21"/>
        <v>99.97731398971726</v>
      </c>
      <c r="Q73" s="47">
        <f t="shared" si="21"/>
        <v>98.183931399055751</v>
      </c>
      <c r="R73" s="47">
        <f t="shared" si="21"/>
        <v>97.123784224684115</v>
      </c>
      <c r="S73" s="47">
        <f t="shared" si="21"/>
        <v>98.669154553806976</v>
      </c>
      <c r="T73" s="47">
        <f t="shared" si="21"/>
        <v>96.017385795962923</v>
      </c>
      <c r="U73" s="47">
        <f t="shared" si="21"/>
        <v>97.185664731609336</v>
      </c>
      <c r="V73" s="47">
        <f t="shared" si="21"/>
        <v>99.995202226014896</v>
      </c>
    </row>
    <row r="74" spans="1:23" x14ac:dyDescent="0.2">
      <c r="A74" s="16"/>
      <c r="B74" s="32"/>
      <c r="C74" s="77" t="s">
        <v>61</v>
      </c>
      <c r="D74" s="47">
        <f t="shared" ref="D74:V74" si="22">+IFERROR(IF(D48&gt;0,+((D48/D22)*100)," "),"")</f>
        <v>97.188259722699087</v>
      </c>
      <c r="E74" s="47">
        <f t="shared" si="22"/>
        <v>97.91968671968641</v>
      </c>
      <c r="F74" s="47">
        <f t="shared" si="22"/>
        <v>97.911008797704127</v>
      </c>
      <c r="G74" s="47">
        <f t="shared" si="22"/>
        <v>99.418265064030066</v>
      </c>
      <c r="H74" s="47">
        <f t="shared" si="22"/>
        <v>89.695473719252533</v>
      </c>
      <c r="I74" s="47">
        <f t="shared" si="22"/>
        <v>97.13160850660924</v>
      </c>
      <c r="J74" s="47">
        <f t="shared" si="22"/>
        <v>90.430156640724363</v>
      </c>
      <c r="K74" s="47">
        <f t="shared" si="22"/>
        <v>98.433258975647604</v>
      </c>
      <c r="L74" s="47">
        <f t="shared" si="22"/>
        <v>95.185297919553719</v>
      </c>
      <c r="M74" s="47">
        <f t="shared" si="22"/>
        <v>82.740283358888064</v>
      </c>
      <c r="N74" s="47">
        <f t="shared" si="22"/>
        <v>77.537259036053356</v>
      </c>
      <c r="O74" s="47">
        <f t="shared" si="22"/>
        <v>93.664834946175432</v>
      </c>
      <c r="P74" s="47">
        <f t="shared" si="22"/>
        <v>97.36896165803465</v>
      </c>
      <c r="Q74" s="47">
        <f t="shared" si="22"/>
        <v>96.511131398613017</v>
      </c>
      <c r="R74" s="47">
        <f t="shared" si="22"/>
        <v>99.358494342688275</v>
      </c>
      <c r="S74" s="47">
        <f t="shared" si="22"/>
        <v>99.098801412831492</v>
      </c>
      <c r="T74" s="47">
        <f t="shared" si="22"/>
        <v>96.05841815626637</v>
      </c>
      <c r="U74" s="47">
        <f t="shared" si="22"/>
        <v>96.88181991095118</v>
      </c>
      <c r="V74" s="47">
        <f t="shared" si="22"/>
        <v>99.934995625590545</v>
      </c>
    </row>
    <row r="75" spans="1:23" x14ac:dyDescent="0.2">
      <c r="A75" s="16"/>
      <c r="B75" s="34"/>
      <c r="C75" s="76" t="s">
        <v>44</v>
      </c>
      <c r="D75" s="46">
        <f t="shared" ref="D75:V75" si="23">+IFERROR(IF(D49&gt;0,+((D49/D23)*100)," "),"")</f>
        <v>94.167912858901673</v>
      </c>
      <c r="E75" s="46">
        <f t="shared" si="23"/>
        <v>98.838258568846939</v>
      </c>
      <c r="F75" s="46">
        <f t="shared" si="23"/>
        <v>99.28774159275585</v>
      </c>
      <c r="G75" s="46">
        <f t="shared" si="23"/>
        <v>99.125932119723927</v>
      </c>
      <c r="H75" s="46">
        <f t="shared" si="23"/>
        <v>98.336184891298259</v>
      </c>
      <c r="I75" s="46">
        <f t="shared" si="23"/>
        <v>97.858603024160487</v>
      </c>
      <c r="J75" s="46">
        <f t="shared" si="23"/>
        <v>98.718555076844495</v>
      </c>
      <c r="K75" s="46">
        <f t="shared" si="23"/>
        <v>96.71977393497086</v>
      </c>
      <c r="L75" s="46">
        <f t="shared" si="23"/>
        <v>92.014475324450515</v>
      </c>
      <c r="M75" s="46">
        <f t="shared" si="23"/>
        <v>89.963948915396244</v>
      </c>
      <c r="N75" s="46">
        <f t="shared" si="23"/>
        <v>80.935026049398218</v>
      </c>
      <c r="O75" s="46">
        <f t="shared" si="23"/>
        <v>97.982313653711657</v>
      </c>
      <c r="P75" s="46">
        <f t="shared" si="23"/>
        <v>99.719200284522117</v>
      </c>
      <c r="Q75" s="46">
        <f t="shared" si="23"/>
        <v>82.89905475709088</v>
      </c>
      <c r="R75" s="46">
        <f t="shared" si="23"/>
        <v>97.513372937687066</v>
      </c>
      <c r="S75" s="46">
        <f t="shared" si="23"/>
        <v>98.506478567502057</v>
      </c>
      <c r="T75" s="46">
        <f t="shared" si="23"/>
        <v>82.030390199701671</v>
      </c>
      <c r="U75" s="46">
        <f t="shared" si="23"/>
        <v>98.141783625593774</v>
      </c>
      <c r="V75" s="46">
        <f t="shared" si="23"/>
        <v>97.405627427208003</v>
      </c>
    </row>
    <row r="76" spans="1:23" x14ac:dyDescent="0.2">
      <c r="A76" s="16"/>
      <c r="B76" s="32"/>
      <c r="C76" s="77" t="s">
        <v>60</v>
      </c>
      <c r="D76" s="47">
        <f t="shared" ref="D76:V76" si="24">+IFERROR(IF(D50&gt;0,+((D50/D24)*100)," "),"")</f>
        <v>95.170168931031938</v>
      </c>
      <c r="E76" s="47">
        <f t="shared" si="24"/>
        <v>98.674930210381717</v>
      </c>
      <c r="F76" s="47">
        <f t="shared" si="24"/>
        <v>99.436684398056641</v>
      </c>
      <c r="G76" s="47">
        <f t="shared" si="24"/>
        <v>99.651567461249371</v>
      </c>
      <c r="H76" s="47">
        <f t="shared" si="24"/>
        <v>98.900142388379535</v>
      </c>
      <c r="I76" s="47">
        <f t="shared" si="24"/>
        <v>98.699169429975669</v>
      </c>
      <c r="J76" s="47">
        <f t="shared" si="24"/>
        <v>99.533211590728428</v>
      </c>
      <c r="K76" s="47">
        <f t="shared" si="24"/>
        <v>95.59562743957197</v>
      </c>
      <c r="L76" s="47">
        <f t="shared" si="24"/>
        <v>87.864652743844402</v>
      </c>
      <c r="M76" s="47">
        <f t="shared" si="24"/>
        <v>85.34924200581176</v>
      </c>
      <c r="N76" s="47">
        <f t="shared" si="24"/>
        <v>76.241408253837847</v>
      </c>
      <c r="O76" s="47">
        <f t="shared" si="24"/>
        <v>96.928442479222383</v>
      </c>
      <c r="P76" s="47">
        <f t="shared" si="24"/>
        <v>99.54903100803925</v>
      </c>
      <c r="Q76" s="47">
        <f t="shared" si="24"/>
        <v>78.98417012248882</v>
      </c>
      <c r="R76" s="47">
        <f t="shared" si="24"/>
        <v>97.460816548609387</v>
      </c>
      <c r="S76" s="47">
        <f t="shared" si="24"/>
        <v>99.895471985020919</v>
      </c>
      <c r="T76" s="47">
        <f t="shared" si="24"/>
        <v>69.59247954407229</v>
      </c>
      <c r="U76" s="47">
        <f t="shared" si="24"/>
        <v>99.756125829008369</v>
      </c>
      <c r="V76" s="47">
        <f t="shared" si="24"/>
        <v>96.965021725054214</v>
      </c>
    </row>
    <row r="77" spans="1:23" x14ac:dyDescent="0.2">
      <c r="A77" s="16"/>
      <c r="B77" s="32"/>
      <c r="C77" s="77" t="s">
        <v>61</v>
      </c>
      <c r="D77" s="47">
        <f t="shared" ref="D77:V77" si="25">+IFERROR(IF(D51&gt;0,+((D51/D25)*100)," "),"")</f>
        <v>92.889875863980038</v>
      </c>
      <c r="E77" s="47">
        <f t="shared" si="25"/>
        <v>99.109912935510877</v>
      </c>
      <c r="F77" s="47">
        <f t="shared" si="25"/>
        <v>99.057330068078471</v>
      </c>
      <c r="G77" s="47">
        <f t="shared" si="25"/>
        <v>98.577120518568577</v>
      </c>
      <c r="H77" s="47">
        <f t="shared" si="25"/>
        <v>97.634535109751468</v>
      </c>
      <c r="I77" s="47">
        <f t="shared" si="25"/>
        <v>96.942377587697976</v>
      </c>
      <c r="J77" s="47">
        <f t="shared" si="25"/>
        <v>97.471766401298538</v>
      </c>
      <c r="K77" s="47">
        <f t="shared" si="25"/>
        <v>98.443203144959185</v>
      </c>
      <c r="L77" s="47">
        <f t="shared" si="25"/>
        <v>98.375598812328619</v>
      </c>
      <c r="M77" s="47">
        <f t="shared" si="25"/>
        <v>95.788661550648115</v>
      </c>
      <c r="N77" s="47">
        <f t="shared" si="25"/>
        <v>87.437497545773695</v>
      </c>
      <c r="O77" s="47">
        <f t="shared" si="25"/>
        <v>99.149156774382192</v>
      </c>
      <c r="P77" s="47">
        <f t="shared" si="25"/>
        <v>99.934512347315319</v>
      </c>
      <c r="Q77" s="47">
        <f t="shared" si="25"/>
        <v>88.985238312132481</v>
      </c>
      <c r="R77" s="47">
        <f t="shared" si="25"/>
        <v>97.579395304906242</v>
      </c>
      <c r="S77" s="47">
        <f t="shared" si="25"/>
        <v>96.671393850196026</v>
      </c>
      <c r="T77" s="47">
        <f t="shared" si="25"/>
        <v>96.511597830927428</v>
      </c>
      <c r="U77" s="47">
        <f t="shared" si="25"/>
        <v>96.64878149882658</v>
      </c>
      <c r="V77" s="47">
        <f t="shared" si="25"/>
        <v>97.749593106836471</v>
      </c>
      <c r="W77" s="8"/>
    </row>
    <row r="78" spans="1:23" x14ac:dyDescent="0.2">
      <c r="A78" s="16"/>
      <c r="B78" s="34" t="s">
        <v>45</v>
      </c>
      <c r="C78" s="76" t="s">
        <v>46</v>
      </c>
      <c r="D78" s="46">
        <f t="shared" ref="D78:V78" si="26">+IFERROR(IF(D52&gt;0,+((D52/D26)*100)," "),"")</f>
        <v>81.492177272452921</v>
      </c>
      <c r="E78" s="46">
        <f t="shared" si="26"/>
        <v>92.69047093226834</v>
      </c>
      <c r="F78" s="46">
        <f t="shared" si="26"/>
        <v>84.398883113041649</v>
      </c>
      <c r="G78" s="46">
        <f t="shared" si="26"/>
        <v>98.629699765105372</v>
      </c>
      <c r="H78" s="46">
        <f t="shared" si="26"/>
        <v>95.592236171062453</v>
      </c>
      <c r="I78" s="46">
        <f t="shared" si="26"/>
        <v>93.379688818657428</v>
      </c>
      <c r="J78" s="46">
        <f t="shared" si="26"/>
        <v>91.978695521283939</v>
      </c>
      <c r="K78" s="46">
        <f t="shared" si="26"/>
        <v>86.524129931615903</v>
      </c>
      <c r="L78" s="46">
        <f t="shared" si="26"/>
        <v>97.745332109146887</v>
      </c>
      <c r="M78" s="46">
        <f t="shared" si="26"/>
        <v>93.361637334800719</v>
      </c>
      <c r="N78" s="46">
        <f t="shared" si="26"/>
        <v>94.823412184142455</v>
      </c>
      <c r="O78" s="46">
        <f t="shared" si="26"/>
        <v>97.229893461518941</v>
      </c>
      <c r="P78" s="46">
        <f t="shared" si="26"/>
        <v>94.782790537151101</v>
      </c>
      <c r="Q78" s="46">
        <f t="shared" si="26"/>
        <v>95.103684073174662</v>
      </c>
      <c r="R78" s="46">
        <f t="shared" si="26"/>
        <v>96.022540629275483</v>
      </c>
      <c r="S78" s="46">
        <f t="shared" si="26"/>
        <v>96.893303457872193</v>
      </c>
      <c r="T78" s="46">
        <f t="shared" si="26"/>
        <v>96.752945416540342</v>
      </c>
      <c r="U78" s="46">
        <f t="shared" si="26"/>
        <v>97.973565643993496</v>
      </c>
      <c r="V78" s="46">
        <f t="shared" si="26"/>
        <v>97.287318961018556</v>
      </c>
    </row>
    <row r="79" spans="1:23" x14ac:dyDescent="0.2">
      <c r="A79" s="16"/>
      <c r="B79" s="36" t="s">
        <v>47</v>
      </c>
      <c r="C79" s="78" t="s">
        <v>48</v>
      </c>
      <c r="D79" s="48">
        <f t="shared" ref="D79:V79" si="27">+IFERROR(IF(D53&gt;0,+((D53/D27)*100)," "),"")</f>
        <v>93.314815976948879</v>
      </c>
      <c r="E79" s="48">
        <f t="shared" si="27"/>
        <v>95.917898467049085</v>
      </c>
      <c r="F79" s="48">
        <f t="shared" si="27"/>
        <v>95.852633059446489</v>
      </c>
      <c r="G79" s="48">
        <f t="shared" si="27"/>
        <v>98.789933630308667</v>
      </c>
      <c r="H79" s="48">
        <f t="shared" si="27"/>
        <v>98.522566726160804</v>
      </c>
      <c r="I79" s="48">
        <f t="shared" si="27"/>
        <v>97.662340187000865</v>
      </c>
      <c r="J79" s="48">
        <f t="shared" si="27"/>
        <v>97.304611429412148</v>
      </c>
      <c r="K79" s="48">
        <f t="shared" si="27"/>
        <v>94.066017403338307</v>
      </c>
      <c r="L79" s="48">
        <f t="shared" si="27"/>
        <v>98.032978094114256</v>
      </c>
      <c r="M79" s="48">
        <f t="shared" si="27"/>
        <v>94.605052643994185</v>
      </c>
      <c r="N79" s="48">
        <f t="shared" si="27"/>
        <v>92.637699610349017</v>
      </c>
      <c r="O79" s="48">
        <f t="shared" si="27"/>
        <v>98.421931547181842</v>
      </c>
      <c r="P79" s="48">
        <f t="shared" si="27"/>
        <v>97.426289889196909</v>
      </c>
      <c r="Q79" s="48">
        <f t="shared" si="27"/>
        <v>96.82958420165393</v>
      </c>
      <c r="R79" s="48">
        <f t="shared" si="27"/>
        <v>95.628725156252187</v>
      </c>
      <c r="S79" s="48">
        <f t="shared" si="27"/>
        <v>97.940617413129871</v>
      </c>
      <c r="T79" s="48">
        <f t="shared" si="27"/>
        <v>98.686447096492486</v>
      </c>
      <c r="U79" s="48">
        <f t="shared" si="27"/>
        <v>99.067135507361144</v>
      </c>
      <c r="V79" s="48">
        <f t="shared" si="27"/>
        <v>97.408977440654027</v>
      </c>
    </row>
    <row r="80" spans="1:23" x14ac:dyDescent="0.2">
      <c r="A80" s="16"/>
      <c r="B80" s="38" t="s">
        <v>49</v>
      </c>
      <c r="C80" s="79" t="s">
        <v>63</v>
      </c>
      <c r="D80" s="45">
        <f t="shared" ref="D80:V80" si="28">+IFERROR(IF(D54&gt;0,+((D54/D28)*100)," "),"")</f>
        <v>93.964307401903142</v>
      </c>
      <c r="E80" s="45">
        <f t="shared" si="28"/>
        <v>96.913214856921542</v>
      </c>
      <c r="F80" s="45">
        <f t="shared" si="28"/>
        <v>97.011110706938254</v>
      </c>
      <c r="G80" s="45">
        <f t="shared" si="28"/>
        <v>98.955184919646712</v>
      </c>
      <c r="H80" s="45">
        <f t="shared" si="28"/>
        <v>97.42678416266466</v>
      </c>
      <c r="I80" s="45">
        <f t="shared" si="28"/>
        <v>97.727593219199022</v>
      </c>
      <c r="J80" s="45">
        <f t="shared" si="28"/>
        <v>97.013088724646408</v>
      </c>
      <c r="K80" s="45">
        <f t="shared" si="28"/>
        <v>95.008638122876874</v>
      </c>
      <c r="L80" s="45">
        <f t="shared" si="28"/>
        <v>95.850619009622903</v>
      </c>
      <c r="M80" s="45">
        <f t="shared" si="28"/>
        <v>92.856791850237158</v>
      </c>
      <c r="N80" s="45">
        <f t="shared" si="28"/>
        <v>89.277964133186657</v>
      </c>
      <c r="O80" s="45">
        <f t="shared" si="28"/>
        <v>97.759419255718782</v>
      </c>
      <c r="P80" s="45">
        <f t="shared" si="28"/>
        <v>97.931082959875184</v>
      </c>
      <c r="Q80" s="45">
        <f t="shared" si="28"/>
        <v>93.853962657483819</v>
      </c>
      <c r="R80" s="45">
        <f t="shared" si="28"/>
        <v>96.074267562203673</v>
      </c>
      <c r="S80" s="45">
        <f t="shared" si="28"/>
        <v>98.097100234628257</v>
      </c>
      <c r="T80" s="45">
        <f t="shared" si="28"/>
        <v>95.427120451151168</v>
      </c>
      <c r="U80" s="45">
        <f t="shared" si="28"/>
        <v>98.778229789447153</v>
      </c>
      <c r="V80" s="45">
        <f t="shared" si="28"/>
        <v>97.537845662100679</v>
      </c>
    </row>
    <row r="81" spans="2:22" x14ac:dyDescent="0.2">
      <c r="B81" s="1" t="s">
        <v>52</v>
      </c>
      <c r="C81" s="15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2:22" x14ac:dyDescent="0.2">
      <c r="B82" s="1"/>
      <c r="C82" s="15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2:22" x14ac:dyDescent="0.2">
      <c r="B83" s="1"/>
      <c r="C83" s="15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2:22" x14ac:dyDescent="0.2">
      <c r="B84" s="1"/>
      <c r="C84" s="15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2:22" ht="18" customHeight="1" x14ac:dyDescent="0.2">
      <c r="C85" s="131"/>
      <c r="D85" s="164" t="s">
        <v>79</v>
      </c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</row>
    <row r="86" spans="2:22" ht="15.75" customHeight="1" x14ac:dyDescent="0.2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</row>
    <row r="87" spans="2:22" x14ac:dyDescent="0.2">
      <c r="B87" s="167"/>
      <c r="C87" s="161" t="s">
        <v>38</v>
      </c>
      <c r="D87" s="155">
        <v>2000</v>
      </c>
      <c r="E87" s="155">
        <v>2001</v>
      </c>
      <c r="F87" s="155">
        <v>2002</v>
      </c>
      <c r="G87" s="155">
        <v>2003</v>
      </c>
      <c r="H87" s="155">
        <v>2004</v>
      </c>
      <c r="I87" s="155">
        <v>2005</v>
      </c>
      <c r="J87" s="155">
        <v>2006</v>
      </c>
      <c r="K87" s="155">
        <v>2007</v>
      </c>
      <c r="L87" s="155">
        <v>2008</v>
      </c>
      <c r="M87" s="155">
        <v>2009</v>
      </c>
      <c r="N87" s="155">
        <v>2010</v>
      </c>
      <c r="O87" s="155">
        <v>2011</v>
      </c>
      <c r="P87" s="155">
        <v>2012</v>
      </c>
      <c r="Q87" s="155">
        <v>2013</v>
      </c>
      <c r="R87" s="155">
        <v>2014</v>
      </c>
      <c r="S87" s="155">
        <v>2015</v>
      </c>
      <c r="T87" s="155">
        <v>2016</v>
      </c>
      <c r="U87" s="155">
        <v>2017</v>
      </c>
      <c r="V87" s="155">
        <v>2018</v>
      </c>
    </row>
    <row r="88" spans="2:22" ht="12" customHeight="1" thickBot="1" x14ac:dyDescent="0.25">
      <c r="B88" s="156"/>
      <c r="C88" s="162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</row>
    <row r="89" spans="2:22" x14ac:dyDescent="0.2">
      <c r="B89" s="34" t="s">
        <v>39</v>
      </c>
      <c r="C89" s="76" t="s">
        <v>40</v>
      </c>
      <c r="D89" s="41">
        <f t="shared" ref="D89:V89" si="29">+D90+D91+D92+D93</f>
        <v>86428.362362020023</v>
      </c>
      <c r="E89" s="41">
        <f t="shared" si="29"/>
        <v>91808.912542797334</v>
      </c>
      <c r="F89" s="41">
        <f t="shared" si="29"/>
        <v>94576.722562830109</v>
      </c>
      <c r="G89" s="41">
        <f t="shared" si="29"/>
        <v>94810.551063076098</v>
      </c>
      <c r="H89" s="41">
        <f t="shared" si="29"/>
        <v>105475.96581046883</v>
      </c>
      <c r="I89" s="41">
        <f t="shared" si="29"/>
        <v>116999.2769925405</v>
      </c>
      <c r="J89" s="41">
        <f t="shared" si="29"/>
        <v>123318.66770829695</v>
      </c>
      <c r="K89" s="41">
        <f t="shared" si="29"/>
        <v>129220.98372996329</v>
      </c>
      <c r="L89" s="41">
        <f t="shared" si="29"/>
        <v>137191.6580497984</v>
      </c>
      <c r="M89" s="41">
        <f t="shared" si="29"/>
        <v>149171.84933904946</v>
      </c>
      <c r="N89" s="41">
        <f t="shared" si="29"/>
        <v>158792.82052221269</v>
      </c>
      <c r="O89" s="41">
        <f t="shared" si="29"/>
        <v>162681.71111865304</v>
      </c>
      <c r="P89" s="41">
        <f t="shared" si="29"/>
        <v>173465.38917564345</v>
      </c>
      <c r="Q89" s="41">
        <f t="shared" si="29"/>
        <v>187874.61564979167</v>
      </c>
      <c r="R89" s="41">
        <f t="shared" si="29"/>
        <v>195464.3109949115</v>
      </c>
      <c r="S89" s="41">
        <f t="shared" si="29"/>
        <v>189394.25917967412</v>
      </c>
      <c r="T89" s="41">
        <f t="shared" si="29"/>
        <v>192873.1969741497</v>
      </c>
      <c r="U89" s="41">
        <f t="shared" si="29"/>
        <v>212907.28837950801</v>
      </c>
      <c r="V89" s="41">
        <f t="shared" si="29"/>
        <v>213904.96427588066</v>
      </c>
    </row>
    <row r="90" spans="2:22" x14ac:dyDescent="0.2">
      <c r="B90" s="40"/>
      <c r="C90" s="77" t="s">
        <v>56</v>
      </c>
      <c r="D90" s="42">
        <f>5788.54300133193*Deflactores!$A$5</f>
        <v>21602.353770713184</v>
      </c>
      <c r="E90" s="42">
        <f>6226.02580777387*Deflactores!$B$5</f>
        <v>21584.179038079514</v>
      </c>
      <c r="F90" s="42">
        <f>6749.27750588904*Deflactores!$C$5</f>
        <v>21869.116859575915</v>
      </c>
      <c r="G90" s="42">
        <f>7343.69965827011*Deflactores!$D$5</f>
        <v>22344.697840463559</v>
      </c>
      <c r="H90" s="42">
        <f>7925.12153008757*Deflactores!$E$5</f>
        <v>22857.32855692018</v>
      </c>
      <c r="I90" s="42">
        <f>8630.95519555088*Deflactores!$F$5</f>
        <v>23740.429550808116</v>
      </c>
      <c r="J90" s="42">
        <f>9608.32162909425*Deflactores!$G$5</f>
        <v>25296.043942446551</v>
      </c>
      <c r="K90" s="42">
        <f>10542.7368183158*Deflactores!$H$5</f>
        <v>26260.694699723153</v>
      </c>
      <c r="L90" s="42">
        <f>11769.0282546864*Deflactores!$I$5</f>
        <v>27225.828595445262</v>
      </c>
      <c r="M90" s="42">
        <f>13254.2098876382*Deflactores!$J$5</f>
        <v>30059.826829888279</v>
      </c>
      <c r="N90" s="42">
        <f>14299.2494563826*Deflactores!$K$5</f>
        <v>31433.106064612308</v>
      </c>
      <c r="O90" s="42">
        <f>15115.1169106513*Deflactores!$L$5</f>
        <v>32032.812134163527</v>
      </c>
      <c r="P90" s="42">
        <f>17038.4566477198*Deflactores!$M$5</f>
        <v>35248.792147217879</v>
      </c>
      <c r="Q90" s="42">
        <f>18841.6176992014*Deflactores!$N$5</f>
        <v>38237.328717834411</v>
      </c>
      <c r="R90" s="42">
        <f>20841.599094189*Deflactores!$O$5</f>
        <v>40802.727047366752</v>
      </c>
      <c r="S90" s="42">
        <f>22275.1787486698*Deflactores!$P$5</f>
        <v>40844.173045176794</v>
      </c>
      <c r="T90" s="42">
        <f>24225.6066335424*Deflactores!$Q$5</f>
        <v>42005.21333565376</v>
      </c>
      <c r="U90" s="42">
        <f>26117.3604958183*Deflactores!$R$5</f>
        <v>43505.965268133914</v>
      </c>
      <c r="V90" s="42">
        <f>28628.3014048874*Deflactores!$S$5</f>
        <v>46218.897594783448</v>
      </c>
    </row>
    <row r="91" spans="2:22" x14ac:dyDescent="0.2">
      <c r="B91" s="40"/>
      <c r="C91" s="77" t="s">
        <v>57</v>
      </c>
      <c r="D91" s="42">
        <f>1273.43923354033*Deflactores!$A$5</f>
        <v>4752.3677067120743</v>
      </c>
      <c r="E91" s="42">
        <f>1336.22054933624*Deflactores!$B$5</f>
        <v>4632.3649245435126</v>
      </c>
      <c r="F91" s="42">
        <f>1539.6726618435*Deflactores!$C$5</f>
        <v>4988.871970069411</v>
      </c>
      <c r="G91" s="42">
        <f>1708.14491831114*Deflactores!$D$5</f>
        <v>5197.3778672174922</v>
      </c>
      <c r="H91" s="42">
        <f>1885.30476507525*Deflactores!$E$5</f>
        <v>5437.5229807707492</v>
      </c>
      <c r="I91" s="42">
        <f>2083.69104322052*Deflactores!$F$5</f>
        <v>5731.4305654982945</v>
      </c>
      <c r="J91" s="42">
        <f>2444.62374856876*Deflactores!$G$5</f>
        <v>6436.0157948181832</v>
      </c>
      <c r="K91" s="42">
        <f>3263.04724748004*Deflactores!$H$5</f>
        <v>8127.8598748644717</v>
      </c>
      <c r="L91" s="42">
        <f>3585.58693083528*Deflactores!$I$5</f>
        <v>8294.7014044356365</v>
      </c>
      <c r="M91" s="42">
        <f>4115.50400136097*Deflactores!$J$5</f>
        <v>9333.7391400452216</v>
      </c>
      <c r="N91" s="42">
        <f>4532.32441600928*Deflactores!$K$5</f>
        <v>9963.1127159657426</v>
      </c>
      <c r="O91" s="42">
        <f>4856.00601690604*Deflactores!$L$5</f>
        <v>10291.123077738488</v>
      </c>
      <c r="P91" s="42">
        <f>5582.9885520968*Deflactores!$M$5</f>
        <v>11549.966473019329</v>
      </c>
      <c r="Q91" s="42">
        <f>6491.11964330533*Deflactores!$N$5</f>
        <v>13173.129797574546</v>
      </c>
      <c r="R91" s="42">
        <f>6819.64730760715*Deflactores!$O$5</f>
        <v>13351.192794471701</v>
      </c>
      <c r="S91" s="42">
        <f>6709.31501787059*Deflactores!$P$5</f>
        <v>12302.322091169497</v>
      </c>
      <c r="T91" s="42">
        <f>6875.13957095281*Deflactores!$Q$5</f>
        <v>11920.927667933454</v>
      </c>
      <c r="U91" s="42">
        <f>6993.05365510317*Deflactores!$R$5</f>
        <v>11648.93938979124</v>
      </c>
      <c r="V91" s="42">
        <f>6788.53771233023*Deflactores!$S$5</f>
        <v>10959.739626429662</v>
      </c>
    </row>
    <row r="92" spans="2:22" x14ac:dyDescent="0.2">
      <c r="B92" s="40"/>
      <c r="C92" s="77" t="s">
        <v>58</v>
      </c>
      <c r="D92" s="42">
        <f>16093.9795080808*Deflactores!$A$5</f>
        <v>60061.37275514278</v>
      </c>
      <c r="E92" s="42">
        <f>18916.5438552905*Deflactores!$B$5</f>
        <v>65579.244603269806</v>
      </c>
      <c r="F92" s="42">
        <f>20895.6034886807*Deflactores!$C$5</f>
        <v>67706.268433413134</v>
      </c>
      <c r="G92" s="42">
        <f>22103.5204609336*Deflactores!$D$5</f>
        <v>67254.450602955068</v>
      </c>
      <c r="H92" s="42">
        <f>26749.763182508*Deflactores!$E$5</f>
        <v>77150.630884475031</v>
      </c>
      <c r="I92" s="42">
        <f>31809.4026939225*Deflactores!$F$5</f>
        <v>87495.400752124231</v>
      </c>
      <c r="J92" s="42">
        <f>34773.4417205905*Deflactores!$G$5</f>
        <v>91548.820257079788</v>
      </c>
      <c r="K92" s="42">
        <f>38057.1374518781*Deflactores!$H$5</f>
        <v>94795.771249160884</v>
      </c>
      <c r="L92" s="42">
        <f>43932.022448872*Deflactores!$I$5</f>
        <v>101629.94659885907</v>
      </c>
      <c r="M92" s="42">
        <f>48397.0210672094*Deflactores!$J$5</f>
        <v>109761.81037540555</v>
      </c>
      <c r="N92" s="42">
        <f>53397.3371526671*Deflactores!$K$5</f>
        <v>117379.87839204102</v>
      </c>
      <c r="O92" s="42">
        <f>56767.6955833396*Deflactores!$L$5</f>
        <v>120305.31676728837</v>
      </c>
      <c r="P92" s="42">
        <f>61217.8692962968*Deflactores!$M$5</f>
        <v>126646.20952094835</v>
      </c>
      <c r="Q92" s="42">
        <f>67233.4214271821*Deflactores!$N$5</f>
        <v>136444.03983660159</v>
      </c>
      <c r="R92" s="42">
        <f>72165.1132780602*Deflactores!$O$5</f>
        <v>141281.54975632267</v>
      </c>
      <c r="S92" s="42">
        <f>74287.5016536634*Deflactores!$P$5</f>
        <v>136214.91467570281</v>
      </c>
      <c r="T92" s="42">
        <f>80120.8290881152*Deflactores!$Q$5</f>
        <v>138922.94089411671</v>
      </c>
      <c r="U92" s="42">
        <f>94672.6718078178*Deflactores!$R$5</f>
        <v>157704.52654171677</v>
      </c>
      <c r="V92" s="42">
        <f>97043.4605101576*Deflactores!$S$5</f>
        <v>156671.59920276195</v>
      </c>
    </row>
    <row r="93" spans="2:22" x14ac:dyDescent="0.2">
      <c r="B93" s="40"/>
      <c r="C93" s="77" t="s">
        <v>59</v>
      </c>
      <c r="D93" s="42">
        <f>3.28735449999999*Deflactores!$A$5</f>
        <v>12.268129451989118</v>
      </c>
      <c r="E93" s="42">
        <f>3.78565331411999*Deflactores!$B$5</f>
        <v>13.123976904503165</v>
      </c>
      <c r="F93" s="42">
        <f>3.84705829198*Deflactores!$C$5</f>
        <v>12.465299771642593</v>
      </c>
      <c r="G93" s="42">
        <f>4.60930688954*Deflactores!$D$5</f>
        <v>14.024752439971044</v>
      </c>
      <c r="H93" s="42">
        <f>10.56923849817*Deflactores!$E$5</f>
        <v>30.483388302873362</v>
      </c>
      <c r="I93" s="42">
        <f>11.63962649185*Deflactores!$F$5</f>
        <v>32.016124109870056</v>
      </c>
      <c r="J93" s="42">
        <f>14.353094504*Deflactores!$G$5</f>
        <v>37.787713952441692</v>
      </c>
      <c r="K93" s="42">
        <f>14.7168482004*Deflactores!$H$5</f>
        <v>36.657906214774862</v>
      </c>
      <c r="L93" s="42">
        <f>17.80168634267*Deflactores!$I$5</f>
        <v>41.181451058409984</v>
      </c>
      <c r="M93" s="42">
        <f>7.2633989993*Deflactores!$J$5</f>
        <v>16.472993710396697</v>
      </c>
      <c r="N93" s="42">
        <f>7.60762703799999*Deflactores!$K$5</f>
        <v>16.723349593619936</v>
      </c>
      <c r="O93" s="42">
        <f>24.7535565309999*Deflactores!$L$5</f>
        <v>52.459139462636799</v>
      </c>
      <c r="P93" s="42">
        <f>9.871059095*Deflactores!$M$5</f>
        <v>20.421034457902245</v>
      </c>
      <c r="Q93" s="42">
        <f>9.912890012*Deflactores!$N$5</f>
        <v>20.117297781105449</v>
      </c>
      <c r="R93" s="42">
        <f>14.731878771*Deflactores!$O$5</f>
        <v>28.841396750386927</v>
      </c>
      <c r="S93" s="42">
        <f>17.915053264*Deflactores!$P$5</f>
        <v>32.849367625032933</v>
      </c>
      <c r="T93" s="42">
        <f>13.907853562*Deflactores!$Q$5</f>
        <v>24.11507644576233</v>
      </c>
      <c r="U93" s="42">
        <f>28.72946758386*Deflactores!$R$5</f>
        <v>47.85717986607095</v>
      </c>
      <c r="V93" s="42">
        <f>33.89880592418*Deflactores!$S$5</f>
        <v>54.727851905584494</v>
      </c>
    </row>
    <row r="94" spans="2:22" x14ac:dyDescent="0.2">
      <c r="B94" s="34" t="s">
        <v>41</v>
      </c>
      <c r="C94" s="76" t="s">
        <v>42</v>
      </c>
      <c r="D94" s="41">
        <f t="shared" ref="D94:V94" si="30">+D95+D98</f>
        <v>58592.57386877721</v>
      </c>
      <c r="E94" s="41">
        <f t="shared" si="30"/>
        <v>73155.061296705506</v>
      </c>
      <c r="F94" s="41">
        <f t="shared" si="30"/>
        <v>73126.411596734601</v>
      </c>
      <c r="G94" s="41">
        <f t="shared" si="30"/>
        <v>82194.793129138066</v>
      </c>
      <c r="H94" s="41">
        <f t="shared" si="30"/>
        <v>73376.964267181174</v>
      </c>
      <c r="I94" s="41">
        <f t="shared" si="30"/>
        <v>84881.133792425302</v>
      </c>
      <c r="J94" s="41">
        <f t="shared" si="30"/>
        <v>98931.392716471208</v>
      </c>
      <c r="K94" s="41">
        <f t="shared" si="30"/>
        <v>94659.893474578741</v>
      </c>
      <c r="L94" s="41">
        <f t="shared" si="30"/>
        <v>82255.613081831892</v>
      </c>
      <c r="M94" s="41">
        <f t="shared" si="30"/>
        <v>74219.11606814171</v>
      </c>
      <c r="N94" s="41">
        <f t="shared" si="30"/>
        <v>70807.893488690272</v>
      </c>
      <c r="O94" s="41">
        <f t="shared" si="30"/>
        <v>71399.324539700057</v>
      </c>
      <c r="P94" s="41">
        <f t="shared" si="30"/>
        <v>74969.546044042101</v>
      </c>
      <c r="Q94" s="41">
        <f t="shared" si="30"/>
        <v>76741.84357117</v>
      </c>
      <c r="R94" s="41">
        <f t="shared" si="30"/>
        <v>78279.741462838094</v>
      </c>
      <c r="S94" s="41">
        <f t="shared" si="30"/>
        <v>84443.889576659451</v>
      </c>
      <c r="T94" s="41">
        <f t="shared" si="30"/>
        <v>68727.337172266605</v>
      </c>
      <c r="U94" s="41">
        <f t="shared" si="30"/>
        <v>81477.314487648764</v>
      </c>
      <c r="V94" s="41">
        <f t="shared" si="30"/>
        <v>58755.394476020927</v>
      </c>
    </row>
    <row r="95" spans="2:22" x14ac:dyDescent="0.2">
      <c r="B95" s="34"/>
      <c r="C95" s="76" t="s">
        <v>43</v>
      </c>
      <c r="D95" s="41">
        <f t="shared" ref="D95:V95" si="31">+D96+D97</f>
        <v>18571.7704267484</v>
      </c>
      <c r="E95" s="41">
        <f t="shared" si="31"/>
        <v>27008.639941518588</v>
      </c>
      <c r="F95" s="41">
        <f t="shared" si="31"/>
        <v>30594.136781201272</v>
      </c>
      <c r="G95" s="41">
        <f t="shared" si="31"/>
        <v>40103.739999655299</v>
      </c>
      <c r="H95" s="41">
        <f t="shared" si="31"/>
        <v>23849.155572056679</v>
      </c>
      <c r="I95" s="41">
        <f t="shared" si="31"/>
        <v>35212.83569658397</v>
      </c>
      <c r="J95" s="41">
        <f t="shared" si="31"/>
        <v>25360.420423091753</v>
      </c>
      <c r="K95" s="41">
        <f t="shared" si="31"/>
        <v>18525.079170233708</v>
      </c>
      <c r="L95" s="41">
        <f t="shared" si="31"/>
        <v>16929.194930022895</v>
      </c>
      <c r="M95" s="41">
        <f t="shared" si="31"/>
        <v>15535.496787526723</v>
      </c>
      <c r="N95" s="41">
        <f t="shared" si="31"/>
        <v>15450.220320494231</v>
      </c>
      <c r="O95" s="41">
        <f t="shared" si="31"/>
        <v>12943.640549647354</v>
      </c>
      <c r="P95" s="41">
        <f t="shared" si="31"/>
        <v>13393.330950706735</v>
      </c>
      <c r="Q95" s="41">
        <f t="shared" si="31"/>
        <v>13916.236377785375</v>
      </c>
      <c r="R95" s="41">
        <f t="shared" si="31"/>
        <v>17306.067980332227</v>
      </c>
      <c r="S95" s="41">
        <f t="shared" si="31"/>
        <v>20179.597620472705</v>
      </c>
      <c r="T95" s="41">
        <f t="shared" si="31"/>
        <v>16061.667923425706</v>
      </c>
      <c r="U95" s="41">
        <f t="shared" si="31"/>
        <v>23277.950846068634</v>
      </c>
      <c r="V95" s="41">
        <f t="shared" si="31"/>
        <v>15495.935238498179</v>
      </c>
    </row>
    <row r="96" spans="2:22" x14ac:dyDescent="0.2">
      <c r="B96" s="32"/>
      <c r="C96" s="77" t="s">
        <v>60</v>
      </c>
      <c r="D96" s="42">
        <f>2524.53615011964*Deflactores!$A$5</f>
        <v>9421.3557728240357</v>
      </c>
      <c r="E96" s="42">
        <f>4398.17005089057*Deflactores!$B$5</f>
        <v>15247.429540014084</v>
      </c>
      <c r="F96" s="42">
        <f>5648.24748038399*Deflactores!$C$5</f>
        <v>18301.541771329477</v>
      </c>
      <c r="G96" s="42">
        <f>7828.35459273359*Deflactores!$D$5</f>
        <v>23819.358920220617</v>
      </c>
      <c r="H96" s="42">
        <f>3996.43172118164*Deflactores!$E$5</f>
        <v>11526.353578244421</v>
      </c>
      <c r="I96" s="42">
        <f>8411.06129619726*Deflactores!$F$5</f>
        <v>23135.586227215368</v>
      </c>
      <c r="J96" s="42">
        <f>4942.61546714898*Deflactores!$G$5</f>
        <v>13012.534641744993</v>
      </c>
      <c r="K96" s="42">
        <f>3519.23972920904*Deflactores!$H$5</f>
        <v>8766.0046624078295</v>
      </c>
      <c r="L96" s="42">
        <f>3471.56170551639*Deflactores!$I$5</f>
        <v>8030.9216621401802</v>
      </c>
      <c r="M96" s="42">
        <f>2845.4082608112*Deflactores!$J$5</f>
        <v>6453.2311096183712</v>
      </c>
      <c r="N96" s="42">
        <f>3360.86251068273*Deflactores!$K$5</f>
        <v>7387.9645284260032</v>
      </c>
      <c r="O96" s="42">
        <f>2372.81323438591*Deflactores!$L$5</f>
        <v>5028.6002427794419</v>
      </c>
      <c r="P96" s="42">
        <f>3393.13494986786*Deflactores!$M$5</f>
        <v>7019.644504677538</v>
      </c>
      <c r="Q96" s="42">
        <f>2909.13372410395*Deflactores!$N$5</f>
        <v>5903.8191024019825</v>
      </c>
      <c r="R96" s="42">
        <f>4840.87593730627*Deflactores!$O$5</f>
        <v>9477.2449391921036</v>
      </c>
      <c r="S96" s="42">
        <f>5998.53613662173*Deflactores!$P$5</f>
        <v>10999.025002057731</v>
      </c>
      <c r="T96" s="42">
        <f>3415.25511858014*Deflactores!$Q$5</f>
        <v>5921.7720332753934</v>
      </c>
      <c r="U96" s="42">
        <f>7662.48186229947*Deflactores!$R$5</f>
        <v>12764.064340356383</v>
      </c>
      <c r="V96" s="42">
        <f>2964.77775272413*Deflactores!$S$5</f>
        <v>4786.4788555375253</v>
      </c>
    </row>
    <row r="97" spans="2:22" x14ac:dyDescent="0.2">
      <c r="B97" s="32"/>
      <c r="C97" s="77" t="s">
        <v>61</v>
      </c>
      <c r="D97" s="42">
        <f>2451.9350653385*Deflactores!$A$5</f>
        <v>9150.4146539243666</v>
      </c>
      <c r="E97" s="42">
        <f>3392.55893686012*Deflactores!$B$5</f>
        <v>11761.210401504504</v>
      </c>
      <c r="F97" s="42">
        <f>3793.75790626876*Deflactores!$C$5</f>
        <v>12292.595009871795</v>
      </c>
      <c r="G97" s="42">
        <f>5351.9454423602*Deflactores!$D$5</f>
        <v>16284.381079434686</v>
      </c>
      <c r="H97" s="42">
        <f>4272.57731142866*Deflactores!$E$5</f>
        <v>12322.801993812258</v>
      </c>
      <c r="I97" s="42">
        <f>4390.74612498167*Deflactores!$F$5</f>
        <v>12077.249469368604</v>
      </c>
      <c r="J97" s="42">
        <f>4690.15859936179*Deflactores!$G$5</f>
        <v>12347.885781346758</v>
      </c>
      <c r="K97" s="42">
        <f>3917.92202387653*Deflactores!$H$5</f>
        <v>9759.0745078258769</v>
      </c>
      <c r="L97" s="42">
        <f>3846.49558563489*Deflactores!$I$5</f>
        <v>8898.273267882716</v>
      </c>
      <c r="M97" s="42">
        <f>4004.62238959403*Deflactores!$J$5</f>
        <v>9082.2656779083518</v>
      </c>
      <c r="N97" s="42">
        <f>3667.60467498747*Deflactores!$K$5</f>
        <v>8062.2557920682284</v>
      </c>
      <c r="O97" s="42">
        <f>3734.81913138782*Deflactores!$L$5</f>
        <v>7915.0403068679125</v>
      </c>
      <c r="P97" s="42">
        <f>3080.89365851928*Deflactores!$M$5</f>
        <v>6373.6864460291972</v>
      </c>
      <c r="Q97" s="42">
        <f>3948.15506761166*Deflactores!$N$5</f>
        <v>8012.4172753833918</v>
      </c>
      <c r="R97" s="42">
        <f>3998.87956051021*Deflactores!$O$5</f>
        <v>7828.8230411401255</v>
      </c>
      <c r="S97" s="42">
        <f>5006.80711209762*Deflactores!$P$5</f>
        <v>9180.5726184149735</v>
      </c>
      <c r="T97" s="42">
        <f>5847.96766003692*Deflactores!$Q$5</f>
        <v>10139.895890150312</v>
      </c>
      <c r="U97" s="42">
        <f>6311.66237524982*Deflactores!$R$5</f>
        <v>10513.886505712253</v>
      </c>
      <c r="V97" s="42">
        <f>6633.5105588606*Deflactores!$S$5</f>
        <v>10709.456382960654</v>
      </c>
    </row>
    <row r="98" spans="2:22" x14ac:dyDescent="0.2">
      <c r="B98" s="34"/>
      <c r="C98" s="76" t="s">
        <v>44</v>
      </c>
      <c r="D98" s="41">
        <f t="shared" ref="D98:V98" si="32">+D99+D100</f>
        <v>40020.80344202881</v>
      </c>
      <c r="E98" s="41">
        <f t="shared" si="32"/>
        <v>46146.421355186918</v>
      </c>
      <c r="F98" s="41">
        <f t="shared" si="32"/>
        <v>42532.274815533325</v>
      </c>
      <c r="G98" s="41">
        <f t="shared" si="32"/>
        <v>42091.05312948276</v>
      </c>
      <c r="H98" s="41">
        <f t="shared" si="32"/>
        <v>49527.808695124499</v>
      </c>
      <c r="I98" s="41">
        <f t="shared" si="32"/>
        <v>49668.298095841339</v>
      </c>
      <c r="J98" s="41">
        <f t="shared" si="32"/>
        <v>73570.972293379455</v>
      </c>
      <c r="K98" s="41">
        <f t="shared" si="32"/>
        <v>76134.81430434504</v>
      </c>
      <c r="L98" s="41">
        <f t="shared" si="32"/>
        <v>65326.418151809004</v>
      </c>
      <c r="M98" s="41">
        <f t="shared" si="32"/>
        <v>58683.619280614992</v>
      </c>
      <c r="N98" s="41">
        <f t="shared" si="32"/>
        <v>55357.673168196045</v>
      </c>
      <c r="O98" s="41">
        <f t="shared" si="32"/>
        <v>58455.683990052697</v>
      </c>
      <c r="P98" s="41">
        <f t="shared" si="32"/>
        <v>61576.21509333537</v>
      </c>
      <c r="Q98" s="41">
        <f t="shared" si="32"/>
        <v>62825.607193384632</v>
      </c>
      <c r="R98" s="41">
        <f t="shared" si="32"/>
        <v>60973.673482505867</v>
      </c>
      <c r="S98" s="41">
        <f t="shared" si="32"/>
        <v>64264.291956186746</v>
      </c>
      <c r="T98" s="41">
        <f t="shared" si="32"/>
        <v>52665.669248840903</v>
      </c>
      <c r="U98" s="41">
        <f t="shared" si="32"/>
        <v>58199.36364158013</v>
      </c>
      <c r="V98" s="41">
        <f t="shared" si="32"/>
        <v>43259.459237522744</v>
      </c>
    </row>
    <row r="99" spans="2:22" x14ac:dyDescent="0.2">
      <c r="B99" s="32"/>
      <c r="C99" s="77" t="s">
        <v>60</v>
      </c>
      <c r="D99" s="42">
        <f>6074.22972292359*Deflactores!$A$5</f>
        <v>22668.512495974141</v>
      </c>
      <c r="E99" s="42">
        <f>8299.65154502352*Deflactores!$B$5</f>
        <v>28772.955723663032</v>
      </c>
      <c r="F99" s="42">
        <f>7978.05026683677*Deflactores!$C$5</f>
        <v>25850.606001129585</v>
      </c>
      <c r="G99" s="42">
        <f>7096.54240308964*Deflactores!$D$5</f>
        <v>21592.671689739025</v>
      </c>
      <c r="H99" s="42">
        <f>9573.32850353675*Deflactores!$E$5</f>
        <v>27611.02327048486</v>
      </c>
      <c r="I99" s="42">
        <f>9499.11209202548*Deflactores!$F$5</f>
        <v>26128.394402071368</v>
      </c>
      <c r="J99" s="42">
        <f>17041.7316504578*Deflactores!$G$5</f>
        <v>44866.149295004427</v>
      </c>
      <c r="K99" s="42">
        <f>18284.0067513306*Deflactores!$H$5</f>
        <v>45543.270922803305</v>
      </c>
      <c r="L99" s="42">
        <f>16319.0142442899*Deflactores!$I$5</f>
        <v>37751.51822621785</v>
      </c>
      <c r="M99" s="42">
        <f>13696.6251719467*Deflactores!$J$5</f>
        <v>31063.200621758951</v>
      </c>
      <c r="N99" s="42">
        <f>13721.2577621111*Deflactores!$K$5</f>
        <v>30162.544677043006</v>
      </c>
      <c r="O99" s="42">
        <f>14339.1939088717*Deflactores!$L$5</f>
        <v>30388.432147326152</v>
      </c>
      <c r="P99" s="42">
        <f>16596.7196116956*Deflactores!$M$5</f>
        <v>34334.936080997883</v>
      </c>
      <c r="Q99" s="42">
        <f>17902.1626864768*Deflactores!$N$5</f>
        <v>36330.791247928602</v>
      </c>
      <c r="R99" s="42">
        <f>17331.4251576063*Deflactores!$O$5</f>
        <v>33930.669467912674</v>
      </c>
      <c r="S99" s="42">
        <f>20376.7749838661*Deflactores!$P$5</f>
        <v>37363.225361024633</v>
      </c>
      <c r="T99" s="42">
        <f>13862.1487996668*Deflactores!$Q$5</f>
        <v>24035.828139567049</v>
      </c>
      <c r="U99" s="42">
        <f>17062.9997412807*Deflactores!$R$5</f>
        <v>28423.326860813286</v>
      </c>
      <c r="V99" s="42">
        <f>8077.16362790233*Deflactores!$S$5</f>
        <v>13040.158872666992</v>
      </c>
    </row>
    <row r="100" spans="2:22" x14ac:dyDescent="0.2">
      <c r="B100" s="32"/>
      <c r="C100" s="77" t="s">
        <v>61</v>
      </c>
      <c r="D100" s="42">
        <f>4649.70083255627*Deflactores!$A$5</f>
        <v>17352.290946054669</v>
      </c>
      <c r="E100" s="42">
        <f>5011.43199384638*Deflactores!$B$5</f>
        <v>17373.465631523883</v>
      </c>
      <c r="F100" s="42">
        <f>5148.32001734199*Deflactores!$C$5</f>
        <v>16681.668814403743</v>
      </c>
      <c r="G100" s="42">
        <f>6736.89829457159*Deflactores!$D$5</f>
        <v>20498.381439743735</v>
      </c>
      <c r="H100" s="42">
        <f>7599.01523953614*Deflactores!$E$5</f>
        <v>21916.785424639638</v>
      </c>
      <c r="I100" s="42">
        <f>8558.05298946646*Deflactores!$F$5</f>
        <v>23539.903693769971</v>
      </c>
      <c r="J100" s="42">
        <f>10903.0950571607*Deflactores!$G$5</f>
        <v>28704.822998375035</v>
      </c>
      <c r="K100" s="42">
        <f>12281.4188438467*Deflactores!$H$5</f>
        <v>30591.543381541738</v>
      </c>
      <c r="L100" s="42">
        <f>11919.9228485088*Deflactores!$I$5</f>
        <v>27574.899925591159</v>
      </c>
      <c r="M100" s="42">
        <f>12178.6072874152*Deflactores!$J$5</f>
        <v>27620.418658856037</v>
      </c>
      <c r="N100" s="42">
        <f>11461.5280666204*Deflactores!$K$5</f>
        <v>25195.128491153038</v>
      </c>
      <c r="O100" s="42">
        <f>13243.9134967812*Deflactores!$L$5</f>
        <v>28067.25184272655</v>
      </c>
      <c r="P100" s="42">
        <f>13167.8086880712*Deflactores!$M$5</f>
        <v>27241.279012337483</v>
      </c>
      <c r="Q100" s="42">
        <f>13055.4411041311*Deflactores!$N$5</f>
        <v>26494.81594545603</v>
      </c>
      <c r="R100" s="42">
        <f>13813.2788850217*Deflactores!$O$5</f>
        <v>27043.004014593193</v>
      </c>
      <c r="S100" s="42">
        <f>14671.0294825731*Deflactores!$P$5</f>
        <v>26901.066595162116</v>
      </c>
      <c r="T100" s="42">
        <f>16511.6473317703*Deflactores!$Q$5</f>
        <v>28629.84110927385</v>
      </c>
      <c r="U100" s="42">
        <f>17875.0541896295*Deflactores!$R$5</f>
        <v>29776.036780766844</v>
      </c>
      <c r="V100" s="42">
        <f>18718.0414097016*Deflactores!$S$5</f>
        <v>30219.300364855753</v>
      </c>
    </row>
    <row r="101" spans="2:22" x14ac:dyDescent="0.2">
      <c r="B101" s="34" t="s">
        <v>45</v>
      </c>
      <c r="C101" s="76" t="s">
        <v>46</v>
      </c>
      <c r="D101" s="41">
        <f>3782.81883124352*Deflactores!$A$5</f>
        <v>14117.160505542626</v>
      </c>
      <c r="E101" s="41">
        <f>5449.1810180333*Deflactores!$B$5</f>
        <v>18891.039378166188</v>
      </c>
      <c r="F101" s="41">
        <f>4024.86747222247*Deflactores!$C$5</f>
        <v>13041.439919685856</v>
      </c>
      <c r="G101" s="41">
        <f>4043.25983760931*Deflactores!$D$5</f>
        <v>12302.439310698017</v>
      </c>
      <c r="H101" s="41">
        <f>4998.85522849166*Deflactores!$E$5</f>
        <v>14417.504631610316</v>
      </c>
      <c r="I101" s="41">
        <f>6108.25926121626*Deflactores!$F$5</f>
        <v>16801.465815015188</v>
      </c>
      <c r="J101" s="41">
        <f>6660.05394145813*Deflactores!$G$5</f>
        <v>17534.073448587369</v>
      </c>
      <c r="K101" s="41">
        <f>12478.0178422548*Deflactores!$H$5</f>
        <v>31081.247939707046</v>
      </c>
      <c r="L101" s="41">
        <f>13824.4138626633*Deflactores!$I$5</f>
        <v>31980.645649949412</v>
      </c>
      <c r="M101" s="41">
        <f>20174.0490011978*Deflactores!$J$5</f>
        <v>45753.64541339306</v>
      </c>
      <c r="N101" s="41">
        <f>14331.419520534*Deflactores!$K$5</f>
        <v>31503.823415313884</v>
      </c>
      <c r="O101" s="41">
        <f>21508.7119451102*Deflactores!$L$5</f>
        <v>45582.480973074133</v>
      </c>
      <c r="P101" s="41">
        <f>25722.2427249388*Deflactores!$M$5</f>
        <v>53213.621756815199</v>
      </c>
      <c r="Q101" s="41">
        <f>30679.663845779*Deflactores!$N$5</f>
        <v>62261.553660195183</v>
      </c>
      <c r="R101" s="41">
        <f>33675.6836975565*Deflactores!$O$5</f>
        <v>65928.709396774066</v>
      </c>
      <c r="S101" s="41">
        <f>34705.7334084421*Deflactores!$P$5</f>
        <v>63637.064240341169</v>
      </c>
      <c r="T101" s="41">
        <f>28471.4423253231*Deflactores!$Q$5</f>
        <v>49367.143904378689</v>
      </c>
      <c r="U101" s="41">
        <f>27855.3330214092*Deflactores!$R$5</f>
        <v>46401.057685586864</v>
      </c>
      <c r="V101" s="41">
        <f>23430.6340216743*Deflactores!$S$5</f>
        <v>37827.535036491383</v>
      </c>
    </row>
    <row r="102" spans="2:22" x14ac:dyDescent="0.2">
      <c r="B102" s="36" t="s">
        <v>47</v>
      </c>
      <c r="C102" s="78" t="s">
        <v>48</v>
      </c>
      <c r="D102" s="43">
        <f t="shared" ref="D102:V102" si="33">+D89+D101</f>
        <v>100545.52286756266</v>
      </c>
      <c r="E102" s="43">
        <f t="shared" si="33"/>
        <v>110699.95192096352</v>
      </c>
      <c r="F102" s="43">
        <f t="shared" si="33"/>
        <v>107618.16248251597</v>
      </c>
      <c r="G102" s="43">
        <f t="shared" si="33"/>
        <v>107112.99037377411</v>
      </c>
      <c r="H102" s="43">
        <f t="shared" si="33"/>
        <v>119893.47044207914</v>
      </c>
      <c r="I102" s="43">
        <f t="shared" si="33"/>
        <v>133800.74280755568</v>
      </c>
      <c r="J102" s="43">
        <f t="shared" si="33"/>
        <v>140852.74115688432</v>
      </c>
      <c r="K102" s="43">
        <f t="shared" si="33"/>
        <v>160302.23166967035</v>
      </c>
      <c r="L102" s="43">
        <f t="shared" si="33"/>
        <v>169172.3036997478</v>
      </c>
      <c r="M102" s="43">
        <f t="shared" si="33"/>
        <v>194925.49475244252</v>
      </c>
      <c r="N102" s="43">
        <f t="shared" si="33"/>
        <v>190296.64393752656</v>
      </c>
      <c r="O102" s="43">
        <f t="shared" si="33"/>
        <v>208264.19209172716</v>
      </c>
      <c r="P102" s="43">
        <f t="shared" si="33"/>
        <v>226679.01093245865</v>
      </c>
      <c r="Q102" s="43">
        <f t="shared" si="33"/>
        <v>250136.16930998684</v>
      </c>
      <c r="R102" s="43">
        <f t="shared" si="33"/>
        <v>261393.02039168557</v>
      </c>
      <c r="S102" s="43">
        <f t="shared" si="33"/>
        <v>253031.32342001528</v>
      </c>
      <c r="T102" s="43">
        <f t="shared" si="33"/>
        <v>242240.3408785284</v>
      </c>
      <c r="U102" s="43">
        <f t="shared" si="33"/>
        <v>259308.34606509487</v>
      </c>
      <c r="V102" s="43">
        <f t="shared" si="33"/>
        <v>251732.49931237203</v>
      </c>
    </row>
    <row r="103" spans="2:22" x14ac:dyDescent="0.2">
      <c r="B103" s="38" t="s">
        <v>49</v>
      </c>
      <c r="C103" s="79" t="s">
        <v>63</v>
      </c>
      <c r="D103" s="44">
        <f t="shared" ref="D103:V103" si="34">+D89+D94+D101</f>
        <v>159138.09673633985</v>
      </c>
      <c r="E103" s="44">
        <f t="shared" si="34"/>
        <v>183855.01321766904</v>
      </c>
      <c r="F103" s="44">
        <f t="shared" si="34"/>
        <v>180744.57407925057</v>
      </c>
      <c r="G103" s="44">
        <f t="shared" si="34"/>
        <v>189307.78350291218</v>
      </c>
      <c r="H103" s="44">
        <f t="shared" si="34"/>
        <v>193270.43470926033</v>
      </c>
      <c r="I103" s="44">
        <f t="shared" si="34"/>
        <v>218681.87659998098</v>
      </c>
      <c r="J103" s="44">
        <f t="shared" si="34"/>
        <v>239784.13387335552</v>
      </c>
      <c r="K103" s="44">
        <f t="shared" si="34"/>
        <v>254962.12514424909</v>
      </c>
      <c r="L103" s="44">
        <f t="shared" si="34"/>
        <v>251427.9167815797</v>
      </c>
      <c r="M103" s="44">
        <f t="shared" si="34"/>
        <v>269144.61082058423</v>
      </c>
      <c r="N103" s="44">
        <f t="shared" si="34"/>
        <v>261104.53742621685</v>
      </c>
      <c r="O103" s="44">
        <f t="shared" si="34"/>
        <v>279663.51663142722</v>
      </c>
      <c r="P103" s="44">
        <f t="shared" si="34"/>
        <v>301648.55697650072</v>
      </c>
      <c r="Q103" s="44">
        <f t="shared" si="34"/>
        <v>326878.01288115687</v>
      </c>
      <c r="R103" s="44">
        <f t="shared" si="34"/>
        <v>339672.76185452368</v>
      </c>
      <c r="S103" s="44">
        <f t="shared" si="34"/>
        <v>337475.21299667476</v>
      </c>
      <c r="T103" s="44">
        <f t="shared" si="34"/>
        <v>310967.67805079499</v>
      </c>
      <c r="U103" s="44">
        <f t="shared" si="34"/>
        <v>340785.66055274365</v>
      </c>
      <c r="V103" s="44">
        <f t="shared" si="34"/>
        <v>310487.893788393</v>
      </c>
    </row>
    <row r="104" spans="2:22" x14ac:dyDescent="0.2">
      <c r="B104" s="36" t="s">
        <v>64</v>
      </c>
      <c r="C104" s="78" t="s">
        <v>65</v>
      </c>
      <c r="D104" s="43">
        <f t="shared" ref="D104:V104" si="35">+D27</f>
        <v>111608.60828913971</v>
      </c>
      <c r="E104" s="43">
        <f t="shared" si="35"/>
        <v>126836.00359735166</v>
      </c>
      <c r="F104" s="43">
        <f t="shared" si="35"/>
        <v>125535.6463556705</v>
      </c>
      <c r="G104" s="43">
        <f t="shared" si="35"/>
        <v>120222.4742448949</v>
      </c>
      <c r="H104" s="43">
        <f t="shared" si="35"/>
        <v>135849.37310059034</v>
      </c>
      <c r="I104" s="43">
        <f t="shared" si="35"/>
        <v>148961.80122765494</v>
      </c>
      <c r="J104" s="43">
        <f t="shared" si="35"/>
        <v>158024.39403484282</v>
      </c>
      <c r="K104" s="43">
        <f t="shared" si="35"/>
        <v>174909.29901284655</v>
      </c>
      <c r="L104" s="43">
        <f t="shared" si="35"/>
        <v>179512.47955910923</v>
      </c>
      <c r="M104" s="43">
        <f t="shared" si="35"/>
        <v>212730.07307449746</v>
      </c>
      <c r="N104" s="43">
        <f t="shared" si="35"/>
        <v>213805.34485667618</v>
      </c>
      <c r="O104" s="43">
        <f t="shared" si="35"/>
        <v>218778.3015024889</v>
      </c>
      <c r="P104" s="43">
        <f t="shared" si="35"/>
        <v>239900.09297612414</v>
      </c>
      <c r="Q104" s="43">
        <f t="shared" si="35"/>
        <v>263854.59876178595</v>
      </c>
      <c r="R104" s="43">
        <f t="shared" si="35"/>
        <v>283082.7826270329</v>
      </c>
      <c r="S104" s="43">
        <f t="shared" si="35"/>
        <v>272036.76618664712</v>
      </c>
      <c r="T104" s="43">
        <f t="shared" si="35"/>
        <v>260718.05890709959</v>
      </c>
      <c r="U104" s="43">
        <f t="shared" si="35"/>
        <v>274344.81065010943</v>
      </c>
      <c r="V104" s="43">
        <f t="shared" si="35"/>
        <v>277018.29450615123</v>
      </c>
    </row>
    <row r="105" spans="2:22" x14ac:dyDescent="0.2">
      <c r="B105" s="38" t="s">
        <v>66</v>
      </c>
      <c r="C105" s="79" t="s">
        <v>70</v>
      </c>
      <c r="D105" s="45">
        <f t="shared" ref="D105:V105" si="36">+D102/D$27*100</f>
        <v>90.087605614688442</v>
      </c>
      <c r="E105" s="45">
        <f t="shared" si="36"/>
        <v>87.278019474964708</v>
      </c>
      <c r="F105" s="45">
        <f t="shared" si="36"/>
        <v>85.72717439762863</v>
      </c>
      <c r="G105" s="45">
        <f t="shared" si="36"/>
        <v>89.095646256276027</v>
      </c>
      <c r="H105" s="45">
        <f t="shared" si="36"/>
        <v>88.254710129065842</v>
      </c>
      <c r="I105" s="45">
        <f t="shared" si="36"/>
        <v>89.822183744321833</v>
      </c>
      <c r="J105" s="45">
        <f t="shared" si="36"/>
        <v>89.133542967946894</v>
      </c>
      <c r="K105" s="45">
        <f t="shared" si="36"/>
        <v>91.648776008127868</v>
      </c>
      <c r="L105" s="45">
        <f t="shared" si="36"/>
        <v>94.239856813990102</v>
      </c>
      <c r="M105" s="45">
        <f t="shared" si="36"/>
        <v>91.630436606948464</v>
      </c>
      <c r="N105" s="45">
        <f t="shared" si="36"/>
        <v>89.004624306792422</v>
      </c>
      <c r="O105" s="45">
        <f t="shared" si="36"/>
        <v>95.194171753526419</v>
      </c>
      <c r="P105" s="45">
        <f t="shared" si="36"/>
        <v>94.488921667495433</v>
      </c>
      <c r="Q105" s="45">
        <f t="shared" si="36"/>
        <v>94.800761663364284</v>
      </c>
      <c r="R105" s="45">
        <f t="shared" si="36"/>
        <v>92.338014331332886</v>
      </c>
      <c r="S105" s="45">
        <f t="shared" si="36"/>
        <v>93.013649208874952</v>
      </c>
      <c r="T105" s="45">
        <f t="shared" si="36"/>
        <v>92.912758668874844</v>
      </c>
      <c r="U105" s="45">
        <f t="shared" si="36"/>
        <v>94.519136502205768</v>
      </c>
      <c r="V105" s="45">
        <f t="shared" si="36"/>
        <v>90.872156931419653</v>
      </c>
    </row>
    <row r="106" spans="2:22" x14ac:dyDescent="0.2">
      <c r="B106" s="1" t="s">
        <v>52</v>
      </c>
      <c r="C106" s="15"/>
      <c r="D106" s="12"/>
      <c r="E106" s="12"/>
      <c r="F106" s="12"/>
      <c r="G106" s="12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11" spans="2:22" ht="18" customHeight="1" x14ac:dyDescent="0.2">
      <c r="C111" s="131"/>
      <c r="D111" s="164" t="s">
        <v>80</v>
      </c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</row>
    <row r="112" spans="2:22" x14ac:dyDescent="0.2">
      <c r="U112" s="29"/>
      <c r="V112" s="29"/>
    </row>
    <row r="113" spans="2:22" x14ac:dyDescent="0.2">
      <c r="B113" s="167"/>
      <c r="C113" s="161" t="s">
        <v>38</v>
      </c>
      <c r="D113" s="155">
        <v>2000</v>
      </c>
      <c r="E113" s="155">
        <v>2001</v>
      </c>
      <c r="F113" s="155">
        <v>2002</v>
      </c>
      <c r="G113" s="155">
        <v>2003</v>
      </c>
      <c r="H113" s="155">
        <v>2004</v>
      </c>
      <c r="I113" s="155">
        <v>2005</v>
      </c>
      <c r="J113" s="155">
        <v>2006</v>
      </c>
      <c r="K113" s="155">
        <v>2007</v>
      </c>
      <c r="L113" s="155">
        <v>2008</v>
      </c>
      <c r="M113" s="155">
        <v>2009</v>
      </c>
      <c r="N113" s="155">
        <v>2010</v>
      </c>
      <c r="O113" s="155">
        <v>2011</v>
      </c>
      <c r="P113" s="155">
        <v>2012</v>
      </c>
      <c r="Q113" s="155">
        <v>2013</v>
      </c>
      <c r="R113" s="155">
        <v>2014</v>
      </c>
      <c r="S113" s="155">
        <v>2015</v>
      </c>
      <c r="T113" s="155">
        <v>2016</v>
      </c>
      <c r="U113" s="155">
        <v>2017</v>
      </c>
      <c r="V113" s="155">
        <v>2018</v>
      </c>
    </row>
    <row r="114" spans="2:22" ht="12" customHeight="1" thickBot="1" x14ac:dyDescent="0.25">
      <c r="B114" s="156"/>
      <c r="C114" s="162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</row>
    <row r="115" spans="2:22" x14ac:dyDescent="0.2">
      <c r="B115" s="34" t="s">
        <v>39</v>
      </c>
      <c r="C115" s="76" t="s">
        <v>40</v>
      </c>
      <c r="D115" s="46">
        <f t="shared" ref="D115:V115" si="37">+IFERROR(IF(D89&gt;0,+((D89/D14)*100)," "),"")</f>
        <v>94.051309074160258</v>
      </c>
      <c r="E115" s="46">
        <f t="shared" si="37"/>
        <v>94.907577082778047</v>
      </c>
      <c r="F115" s="46">
        <f t="shared" si="37"/>
        <v>93.999517285764384</v>
      </c>
      <c r="G115" s="46">
        <f t="shared" si="37"/>
        <v>93.739976043077306</v>
      </c>
      <c r="H115" s="46">
        <f t="shared" si="37"/>
        <v>93.440805797927979</v>
      </c>
      <c r="I115" s="46">
        <f t="shared" si="37"/>
        <v>94.540372470062934</v>
      </c>
      <c r="J115" s="46">
        <f t="shared" si="37"/>
        <v>95.06171001240763</v>
      </c>
      <c r="K115" s="46">
        <f t="shared" si="37"/>
        <v>95.902687494738643</v>
      </c>
      <c r="L115" s="46">
        <f t="shared" si="37"/>
        <v>96.619088386185936</v>
      </c>
      <c r="M115" s="46">
        <f t="shared" si="37"/>
        <v>93.829034090985004</v>
      </c>
      <c r="N115" s="46">
        <f t="shared" si="37"/>
        <v>91.370043709493004</v>
      </c>
      <c r="O115" s="46">
        <f t="shared" si="37"/>
        <v>98.168259562117427</v>
      </c>
      <c r="P115" s="46">
        <f t="shared" si="37"/>
        <v>97.370048114617617</v>
      </c>
      <c r="Q115" s="46">
        <f t="shared" si="37"/>
        <v>97.150172883544997</v>
      </c>
      <c r="R115" s="46">
        <f t="shared" si="37"/>
        <v>94.174839394848533</v>
      </c>
      <c r="S115" s="46">
        <f t="shared" si="37"/>
        <v>95.082502879841527</v>
      </c>
      <c r="T115" s="46">
        <f t="shared" si="37"/>
        <v>95.109222318098972</v>
      </c>
      <c r="U115" s="46">
        <f t="shared" si="37"/>
        <v>96.105148202470218</v>
      </c>
      <c r="V115" s="46">
        <f t="shared" si="37"/>
        <v>94.210779301931424</v>
      </c>
    </row>
    <row r="116" spans="2:22" x14ac:dyDescent="0.2">
      <c r="B116" s="40"/>
      <c r="C116" s="77" t="s">
        <v>56</v>
      </c>
      <c r="D116" s="47">
        <f t="shared" ref="D116:V116" si="38">+IFERROR(IF(D90&gt;0,+((D90/D15)*100)," "),"")</f>
        <v>98.220293880536275</v>
      </c>
      <c r="E116" s="47">
        <f t="shared" si="38"/>
        <v>97.619170314756531</v>
      </c>
      <c r="F116" s="47">
        <f t="shared" si="38"/>
        <v>98.253926400523142</v>
      </c>
      <c r="G116" s="47">
        <f t="shared" si="38"/>
        <v>98.559013617245228</v>
      </c>
      <c r="H116" s="47">
        <f t="shared" si="38"/>
        <v>96.556525140890287</v>
      </c>
      <c r="I116" s="47">
        <f t="shared" si="38"/>
        <v>98.571628143020888</v>
      </c>
      <c r="J116" s="47">
        <f t="shared" si="38"/>
        <v>98.106343656800277</v>
      </c>
      <c r="K116" s="47">
        <f t="shared" si="38"/>
        <v>97.569847424844696</v>
      </c>
      <c r="L116" s="47">
        <f t="shared" si="38"/>
        <v>97.430393853458668</v>
      </c>
      <c r="M116" s="47">
        <f t="shared" si="38"/>
        <v>97.489634493333838</v>
      </c>
      <c r="N116" s="47">
        <f t="shared" si="38"/>
        <v>95.442239839431664</v>
      </c>
      <c r="O116" s="47">
        <f t="shared" si="38"/>
        <v>98.617123729711594</v>
      </c>
      <c r="P116" s="47">
        <f t="shared" si="38"/>
        <v>97.32474876244531</v>
      </c>
      <c r="Q116" s="47">
        <f t="shared" si="38"/>
        <v>96.241923631279832</v>
      </c>
      <c r="R116" s="47">
        <f t="shared" si="38"/>
        <v>94.98887519295846</v>
      </c>
      <c r="S116" s="47">
        <f t="shared" si="38"/>
        <v>96.234668675443018</v>
      </c>
      <c r="T116" s="47">
        <f t="shared" si="38"/>
        <v>98.809817616638654</v>
      </c>
      <c r="U116" s="47">
        <f t="shared" si="38"/>
        <v>99.006277060097219</v>
      </c>
      <c r="V116" s="47">
        <f t="shared" si="38"/>
        <v>96.521006361016546</v>
      </c>
    </row>
    <row r="117" spans="2:22" x14ac:dyDescent="0.2">
      <c r="B117" s="40"/>
      <c r="C117" s="77" t="s">
        <v>57</v>
      </c>
      <c r="D117" s="47">
        <f t="shared" ref="D117:V117" si="39">+IFERROR(IF(D91&gt;0,+((D91/D16)*100)," "),"")</f>
        <v>88.97549757478302</v>
      </c>
      <c r="E117" s="47">
        <f t="shared" si="39"/>
        <v>81.026467161340008</v>
      </c>
      <c r="F117" s="47">
        <f t="shared" si="39"/>
        <v>76.047378079520172</v>
      </c>
      <c r="G117" s="47">
        <f t="shared" si="39"/>
        <v>76.416715123053706</v>
      </c>
      <c r="H117" s="47">
        <f t="shared" si="39"/>
        <v>71.72361841503772</v>
      </c>
      <c r="I117" s="47">
        <f t="shared" si="39"/>
        <v>72.288678255600715</v>
      </c>
      <c r="J117" s="47">
        <f t="shared" si="39"/>
        <v>76.705874736100924</v>
      </c>
      <c r="K117" s="47">
        <f t="shared" si="39"/>
        <v>92.419899267171928</v>
      </c>
      <c r="L117" s="47">
        <f t="shared" si="39"/>
        <v>94.697553285095722</v>
      </c>
      <c r="M117" s="47">
        <f t="shared" si="39"/>
        <v>92.611530944748367</v>
      </c>
      <c r="N117" s="47">
        <f t="shared" si="39"/>
        <v>93.143877172448725</v>
      </c>
      <c r="O117" s="47">
        <f t="shared" si="39"/>
        <v>91.601858445812979</v>
      </c>
      <c r="P117" s="47">
        <f t="shared" si="39"/>
        <v>92.595509412013271</v>
      </c>
      <c r="Q117" s="47">
        <f t="shared" si="39"/>
        <v>94.023274965284159</v>
      </c>
      <c r="R117" s="47">
        <f t="shared" si="39"/>
        <v>94.041608711705592</v>
      </c>
      <c r="S117" s="47">
        <f t="shared" si="39"/>
        <v>94.189951906391642</v>
      </c>
      <c r="T117" s="47">
        <f t="shared" si="39"/>
        <v>94.909214219402813</v>
      </c>
      <c r="U117" s="47">
        <f t="shared" si="39"/>
        <v>95.801740791972463</v>
      </c>
      <c r="V117" s="47">
        <f t="shared" si="39"/>
        <v>85.95431458246405</v>
      </c>
    </row>
    <row r="118" spans="2:22" x14ac:dyDescent="0.2">
      <c r="B118" s="40"/>
      <c r="C118" s="77" t="s">
        <v>58</v>
      </c>
      <c r="D118" s="47">
        <f t="shared" ref="D118:V118" si="40">+IFERROR(IF(D92&gt;0,+((D92/D17)*100)," "),"")</f>
        <v>93.049665567975509</v>
      </c>
      <c r="E118" s="47">
        <f t="shared" si="40"/>
        <v>95.206556861331421</v>
      </c>
      <c r="F118" s="47">
        <f t="shared" si="40"/>
        <v>94.333458140110366</v>
      </c>
      <c r="G118" s="47">
        <f t="shared" si="40"/>
        <v>93.870128538710247</v>
      </c>
      <c r="H118" s="47">
        <f t="shared" si="40"/>
        <v>94.559625873296099</v>
      </c>
      <c r="I118" s="47">
        <f t="shared" si="40"/>
        <v>95.423428366560401</v>
      </c>
      <c r="J118" s="47">
        <f t="shared" si="40"/>
        <v>95.859206133559582</v>
      </c>
      <c r="K118" s="47">
        <f t="shared" si="40"/>
        <v>95.767686884351505</v>
      </c>
      <c r="L118" s="47">
        <f t="shared" si="40"/>
        <v>96.564790815766884</v>
      </c>
      <c r="M118" s="47">
        <f t="shared" si="40"/>
        <v>92.977583121286912</v>
      </c>
      <c r="N118" s="47">
        <f t="shared" si="40"/>
        <v>90.194403484331104</v>
      </c>
      <c r="O118" s="47">
        <f t="shared" si="40"/>
        <v>98.658097738276524</v>
      </c>
      <c r="P118" s="47">
        <f t="shared" si="40"/>
        <v>97.843706293225196</v>
      </c>
      <c r="Q118" s="47">
        <f t="shared" si="40"/>
        <v>97.722722553015444</v>
      </c>
      <c r="R118" s="47">
        <f t="shared" si="40"/>
        <v>93.955099706849779</v>
      </c>
      <c r="S118" s="47">
        <f t="shared" si="40"/>
        <v>94.822351335939786</v>
      </c>
      <c r="T118" s="47">
        <f t="shared" si="40"/>
        <v>94.064187287251016</v>
      </c>
      <c r="U118" s="47">
        <f t="shared" si="40"/>
        <v>95.357473356813784</v>
      </c>
      <c r="V118" s="47">
        <f t="shared" si="40"/>
        <v>94.192067187358674</v>
      </c>
    </row>
    <row r="119" spans="2:22" x14ac:dyDescent="0.2">
      <c r="B119" s="40"/>
      <c r="C119" s="77" t="s">
        <v>59</v>
      </c>
      <c r="D119" s="47">
        <f t="shared" ref="D119:V119" si="41">+IFERROR(IF(D93&gt;0,+((D93/D18)*100)," "),"")</f>
        <v>100</v>
      </c>
      <c r="E119" s="47">
        <f t="shared" si="41"/>
        <v>49.789514989853892</v>
      </c>
      <c r="F119" s="47">
        <f t="shared" si="41"/>
        <v>54.798277761666078</v>
      </c>
      <c r="G119" s="47">
        <f t="shared" si="41"/>
        <v>60.867182217721385</v>
      </c>
      <c r="H119" s="47">
        <f t="shared" si="41"/>
        <v>82.650495134778211</v>
      </c>
      <c r="I119" s="47">
        <f t="shared" si="41"/>
        <v>62.565423800557362</v>
      </c>
      <c r="J119" s="47">
        <f t="shared" si="41"/>
        <v>81.06351662801724</v>
      </c>
      <c r="K119" s="47">
        <f t="shared" si="41"/>
        <v>77.357491913569802</v>
      </c>
      <c r="L119" s="47">
        <f t="shared" si="41"/>
        <v>93.763092499853286</v>
      </c>
      <c r="M119" s="47">
        <f t="shared" si="41"/>
        <v>89.245198856082652</v>
      </c>
      <c r="N119" s="47">
        <f t="shared" si="41"/>
        <v>86.744054160680378</v>
      </c>
      <c r="O119" s="47">
        <f t="shared" si="41"/>
        <v>88.996293320739682</v>
      </c>
      <c r="P119" s="47">
        <f t="shared" si="41"/>
        <v>92.271860522724282</v>
      </c>
      <c r="Q119" s="47">
        <f t="shared" si="41"/>
        <v>94.934685705529702</v>
      </c>
      <c r="R119" s="47">
        <f t="shared" si="41"/>
        <v>93.106847582693192</v>
      </c>
      <c r="S119" s="47">
        <f t="shared" si="41"/>
        <v>98.960574996764933</v>
      </c>
      <c r="T119" s="47">
        <f t="shared" si="41"/>
        <v>79.768703707086701</v>
      </c>
      <c r="U119" s="47">
        <f t="shared" si="41"/>
        <v>93.341713864944879</v>
      </c>
      <c r="V119" s="47">
        <f t="shared" si="41"/>
        <v>66.875410108032568</v>
      </c>
    </row>
    <row r="120" spans="2:22" x14ac:dyDescent="0.2">
      <c r="B120" s="34" t="s">
        <v>41</v>
      </c>
      <c r="C120" s="76" t="s">
        <v>42</v>
      </c>
      <c r="D120" s="46">
        <f t="shared" ref="D120:V120" si="42">+IFERROR(IF(D94&gt;0,+((D94/D19)*100)," "),"")</f>
        <v>95.108656411651708</v>
      </c>
      <c r="E120" s="46">
        <f t="shared" si="42"/>
        <v>98.610704418604982</v>
      </c>
      <c r="F120" s="46">
        <f t="shared" si="42"/>
        <v>98.295409101981434</v>
      </c>
      <c r="G120" s="46">
        <f t="shared" si="42"/>
        <v>98.82041451435714</v>
      </c>
      <c r="H120" s="46">
        <f t="shared" si="42"/>
        <v>94.633519319561827</v>
      </c>
      <c r="I120" s="46">
        <f t="shared" si="42"/>
        <v>97.797809909346128</v>
      </c>
      <c r="J120" s="46">
        <f t="shared" si="42"/>
        <v>96.533612024768317</v>
      </c>
      <c r="K120" s="46">
        <f t="shared" si="42"/>
        <v>96.65703691901939</v>
      </c>
      <c r="L120" s="46">
        <f t="shared" si="42"/>
        <v>91.44846306820736</v>
      </c>
      <c r="M120" s="46">
        <f t="shared" si="42"/>
        <v>88.374247467541224</v>
      </c>
      <c r="N120" s="46">
        <f t="shared" si="42"/>
        <v>80.752518769070377</v>
      </c>
      <c r="O120" s="46">
        <f t="shared" si="42"/>
        <v>95.753666575076778</v>
      </c>
      <c r="P120" s="46">
        <f t="shared" si="42"/>
        <v>99.529646630238574</v>
      </c>
      <c r="Q120" s="46">
        <f t="shared" si="42"/>
        <v>84.902040045068233</v>
      </c>
      <c r="R120" s="46">
        <f t="shared" si="42"/>
        <v>97.639320599935246</v>
      </c>
      <c r="S120" s="46">
        <f t="shared" si="42"/>
        <v>98.03667180940198</v>
      </c>
      <c r="T120" s="46">
        <f t="shared" si="42"/>
        <v>84.8669092331467</v>
      </c>
      <c r="U120" s="46">
        <f t="shared" si="42"/>
        <v>97.813794003806279</v>
      </c>
      <c r="V120" s="46">
        <f t="shared" si="42"/>
        <v>75.932567061832543</v>
      </c>
    </row>
    <row r="121" spans="2:22" x14ac:dyDescent="0.2">
      <c r="B121" s="34"/>
      <c r="C121" s="76" t="s">
        <v>43</v>
      </c>
      <c r="D121" s="46">
        <f t="shared" ref="D121:V121" si="43">+IFERROR(IF(D95&gt;0,+((D95/D20)*100)," "),"")</f>
        <v>97.221672620421089</v>
      </c>
      <c r="E121" s="46">
        <f t="shared" si="43"/>
        <v>98.232016517571452</v>
      </c>
      <c r="F121" s="46">
        <f t="shared" si="43"/>
        <v>98.434895041920029</v>
      </c>
      <c r="G121" s="46">
        <f t="shared" si="43"/>
        <v>98.759108026024649</v>
      </c>
      <c r="H121" s="46">
        <f t="shared" si="43"/>
        <v>87.932973138092436</v>
      </c>
      <c r="I121" s="46">
        <f t="shared" si="43"/>
        <v>97.723889301934875</v>
      </c>
      <c r="J121" s="46">
        <f t="shared" si="43"/>
        <v>90.721578511392167</v>
      </c>
      <c r="K121" s="46">
        <f t="shared" si="43"/>
        <v>96.400051152764547</v>
      </c>
      <c r="L121" s="46">
        <f t="shared" si="43"/>
        <v>89.338787970649008</v>
      </c>
      <c r="M121" s="46">
        <f t="shared" si="43"/>
        <v>82.844533568575144</v>
      </c>
      <c r="N121" s="46">
        <f t="shared" si="43"/>
        <v>81.531221848819726</v>
      </c>
      <c r="O121" s="46">
        <f t="shared" si="43"/>
        <v>86.880523858629431</v>
      </c>
      <c r="P121" s="46">
        <f t="shared" si="43"/>
        <v>98.667360747551058</v>
      </c>
      <c r="Q121" s="46">
        <f t="shared" si="43"/>
        <v>97.138136870766786</v>
      </c>
      <c r="R121" s="46">
        <f t="shared" si="43"/>
        <v>98.085670511311861</v>
      </c>
      <c r="S121" s="46">
        <f t="shared" si="43"/>
        <v>98.810606937954077</v>
      </c>
      <c r="T121" s="46">
        <f t="shared" si="43"/>
        <v>95.719919508910493</v>
      </c>
      <c r="U121" s="46">
        <f t="shared" si="43"/>
        <v>97.003269744020542</v>
      </c>
      <c r="V121" s="46">
        <f t="shared" si="43"/>
        <v>85.895680396572388</v>
      </c>
    </row>
    <row r="122" spans="2:22" x14ac:dyDescent="0.2">
      <c r="B122" s="32"/>
      <c r="C122" s="77" t="s">
        <v>60</v>
      </c>
      <c r="D122" s="47">
        <f t="shared" ref="D122:V122" si="44">+IFERROR(IF(D96&gt;0,+((D96/D21)*100)," "),"")</f>
        <v>97.384951136690177</v>
      </c>
      <c r="E122" s="47">
        <f t="shared" si="44"/>
        <v>98.480772680160769</v>
      </c>
      <c r="F122" s="47">
        <f t="shared" si="44"/>
        <v>98.892274388888367</v>
      </c>
      <c r="G122" s="47">
        <f t="shared" si="44"/>
        <v>98.97611611613361</v>
      </c>
      <c r="H122" s="47">
        <f t="shared" si="44"/>
        <v>89.417164810687055</v>
      </c>
      <c r="I122" s="47">
        <f t="shared" si="44"/>
        <v>98.170484252025986</v>
      </c>
      <c r="J122" s="47">
        <f t="shared" si="44"/>
        <v>91.190116941193011</v>
      </c>
      <c r="K122" s="47">
        <f t="shared" si="44"/>
        <v>94.58836107401774</v>
      </c>
      <c r="L122" s="47">
        <f t="shared" si="44"/>
        <v>84.013291378162322</v>
      </c>
      <c r="M122" s="47">
        <f t="shared" si="44"/>
        <v>83.582644318144631</v>
      </c>
      <c r="N122" s="47">
        <f t="shared" si="44"/>
        <v>86.63851219357413</v>
      </c>
      <c r="O122" s="47">
        <f t="shared" si="44"/>
        <v>78.482727262216827</v>
      </c>
      <c r="P122" s="47">
        <f t="shared" si="44"/>
        <v>99.972607949259185</v>
      </c>
      <c r="Q122" s="47">
        <f t="shared" si="44"/>
        <v>98.183931399020324</v>
      </c>
      <c r="R122" s="47">
        <f t="shared" si="44"/>
        <v>97.123773270178546</v>
      </c>
      <c r="S122" s="47">
        <f t="shared" si="44"/>
        <v>98.669143005836773</v>
      </c>
      <c r="T122" s="47">
        <f t="shared" si="44"/>
        <v>96.016320348965735</v>
      </c>
      <c r="U122" s="47">
        <f t="shared" si="44"/>
        <v>97.185664731607318</v>
      </c>
      <c r="V122" s="47">
        <f t="shared" si="44"/>
        <v>96.431337057915314</v>
      </c>
    </row>
    <row r="123" spans="2:22" x14ac:dyDescent="0.2">
      <c r="B123" s="32"/>
      <c r="C123" s="77" t="s">
        <v>61</v>
      </c>
      <c r="D123" s="47">
        <f t="shared" ref="D123:V123" si="45">+IFERROR(IF(D97&gt;0,+((D97/D22)*100)," "),"")</f>
        <v>97.054130561813352</v>
      </c>
      <c r="E123" s="47">
        <f t="shared" si="45"/>
        <v>97.911389414985692</v>
      </c>
      <c r="F123" s="47">
        <f t="shared" si="45"/>
        <v>97.761721360180971</v>
      </c>
      <c r="G123" s="47">
        <f t="shared" si="45"/>
        <v>98.443396151861364</v>
      </c>
      <c r="H123" s="47">
        <f t="shared" si="45"/>
        <v>86.588623000664512</v>
      </c>
      <c r="I123" s="47">
        <f t="shared" si="45"/>
        <v>96.879626216829422</v>
      </c>
      <c r="J123" s="47">
        <f t="shared" si="45"/>
        <v>90.233002489634984</v>
      </c>
      <c r="K123" s="47">
        <f t="shared" si="45"/>
        <v>98.087588236912779</v>
      </c>
      <c r="L123" s="47">
        <f t="shared" si="45"/>
        <v>94.76000557696112</v>
      </c>
      <c r="M123" s="47">
        <f t="shared" si="45"/>
        <v>82.327955728655738</v>
      </c>
      <c r="N123" s="47">
        <f t="shared" si="45"/>
        <v>77.352694607499089</v>
      </c>
      <c r="O123" s="47">
        <f t="shared" si="45"/>
        <v>93.217509794758797</v>
      </c>
      <c r="P123" s="47">
        <f t="shared" si="45"/>
        <v>97.268709847897583</v>
      </c>
      <c r="Q123" s="47">
        <f t="shared" si="45"/>
        <v>96.381704625466853</v>
      </c>
      <c r="R123" s="47">
        <f t="shared" si="45"/>
        <v>99.275905237332239</v>
      </c>
      <c r="S123" s="47">
        <f t="shared" si="45"/>
        <v>98.98062653671424</v>
      </c>
      <c r="T123" s="47">
        <f t="shared" si="45"/>
        <v>95.547664192381006</v>
      </c>
      <c r="U123" s="47">
        <f t="shared" si="45"/>
        <v>96.78275665260982</v>
      </c>
      <c r="V123" s="47">
        <f t="shared" si="45"/>
        <v>81.896618647176766</v>
      </c>
    </row>
    <row r="124" spans="2:22" x14ac:dyDescent="0.2">
      <c r="B124" s="34"/>
      <c r="C124" s="76" t="s">
        <v>44</v>
      </c>
      <c r="D124" s="46">
        <f t="shared" ref="D124:V124" si="46">+IFERROR(IF(D98&gt;0,+((D98/D23)*100)," "),"")</f>
        <v>94.15899442295931</v>
      </c>
      <c r="E124" s="46">
        <f t="shared" si="46"/>
        <v>98.833700954570304</v>
      </c>
      <c r="F124" s="46">
        <f t="shared" si="46"/>
        <v>98.195318862549072</v>
      </c>
      <c r="G124" s="46">
        <f t="shared" si="46"/>
        <v>98.878897290458283</v>
      </c>
      <c r="H124" s="46">
        <f t="shared" si="46"/>
        <v>98.238164999101528</v>
      </c>
      <c r="I124" s="46">
        <f t="shared" si="46"/>
        <v>97.85028444419666</v>
      </c>
      <c r="J124" s="46">
        <f t="shared" si="46"/>
        <v>98.713550506494101</v>
      </c>
      <c r="K124" s="46">
        <f t="shared" si="46"/>
        <v>96.71977393497086</v>
      </c>
      <c r="L124" s="46">
        <f t="shared" si="46"/>
        <v>92.011536795557532</v>
      </c>
      <c r="M124" s="46">
        <f t="shared" si="46"/>
        <v>89.963948915396244</v>
      </c>
      <c r="N124" s="46">
        <f t="shared" si="46"/>
        <v>80.537832273331617</v>
      </c>
      <c r="O124" s="46">
        <f t="shared" si="46"/>
        <v>97.969179062023045</v>
      </c>
      <c r="P124" s="46">
        <f t="shared" si="46"/>
        <v>99.719200284495642</v>
      </c>
      <c r="Q124" s="46">
        <f t="shared" si="46"/>
        <v>82.597392199896063</v>
      </c>
      <c r="R124" s="46">
        <f t="shared" si="46"/>
        <v>97.513372937661387</v>
      </c>
      <c r="S124" s="46">
        <f t="shared" si="46"/>
        <v>97.796143887748926</v>
      </c>
      <c r="T124" s="46">
        <f t="shared" si="46"/>
        <v>82.030390199701415</v>
      </c>
      <c r="U124" s="46">
        <f t="shared" si="46"/>
        <v>98.141783625593476</v>
      </c>
      <c r="V124" s="46">
        <f t="shared" si="46"/>
        <v>72.903500380792323</v>
      </c>
    </row>
    <row r="125" spans="2:22" x14ac:dyDescent="0.2">
      <c r="B125" s="32"/>
      <c r="C125" s="77" t="s">
        <v>60</v>
      </c>
      <c r="D125" s="47">
        <f t="shared" ref="D125:V125" si="47">+IFERROR(IF(D99&gt;0,+((D99/D24)*100)," "),"")</f>
        <v>95.158211933642974</v>
      </c>
      <c r="E125" s="47">
        <f t="shared" si="47"/>
        <v>98.674930210381717</v>
      </c>
      <c r="F125" s="47">
        <f t="shared" si="47"/>
        <v>98.261581470375631</v>
      </c>
      <c r="G125" s="47">
        <f t="shared" si="47"/>
        <v>99.307464826930698</v>
      </c>
      <c r="H125" s="47">
        <f t="shared" si="47"/>
        <v>98.785271912958976</v>
      </c>
      <c r="I125" s="47">
        <f t="shared" si="47"/>
        <v>98.699169429975669</v>
      </c>
      <c r="J125" s="47">
        <f t="shared" si="47"/>
        <v>99.533211590728428</v>
      </c>
      <c r="K125" s="47">
        <f t="shared" si="47"/>
        <v>95.59562743957197</v>
      </c>
      <c r="L125" s="47">
        <f t="shared" si="47"/>
        <v>87.86093915153414</v>
      </c>
      <c r="M125" s="47">
        <f t="shared" si="47"/>
        <v>85.34924200581176</v>
      </c>
      <c r="N125" s="47">
        <f t="shared" si="47"/>
        <v>75.557570203020248</v>
      </c>
      <c r="O125" s="47">
        <f t="shared" si="47"/>
        <v>96.928442479222383</v>
      </c>
      <c r="P125" s="47">
        <f t="shared" si="47"/>
        <v>99.54903100803925</v>
      </c>
      <c r="Q125" s="47">
        <f t="shared" si="47"/>
        <v>78.488465749234791</v>
      </c>
      <c r="R125" s="47">
        <f t="shared" si="47"/>
        <v>97.460816548609387</v>
      </c>
      <c r="S125" s="47">
        <f t="shared" si="47"/>
        <v>99.895471985020919</v>
      </c>
      <c r="T125" s="47">
        <f t="shared" si="47"/>
        <v>69.59247954407229</v>
      </c>
      <c r="U125" s="47">
        <f t="shared" si="47"/>
        <v>99.756125829008369</v>
      </c>
      <c r="V125" s="47">
        <f t="shared" si="47"/>
        <v>50.126516931109833</v>
      </c>
    </row>
    <row r="126" spans="2:22" x14ac:dyDescent="0.2">
      <c r="B126" s="32"/>
      <c r="C126" s="77" t="s">
        <v>61</v>
      </c>
      <c r="D126" s="47">
        <f t="shared" ref="D126:V126" si="48">+IFERROR(IF(D100&gt;0,+((D100/D25)*100)," "),"")</f>
        <v>92.884832080482397</v>
      </c>
      <c r="E126" s="47">
        <f t="shared" si="48"/>
        <v>99.097774911858579</v>
      </c>
      <c r="F126" s="47">
        <f t="shared" si="48"/>
        <v>98.092811940730456</v>
      </c>
      <c r="G126" s="47">
        <f t="shared" si="48"/>
        <v>98.431433398072272</v>
      </c>
      <c r="H126" s="47">
        <f t="shared" si="48"/>
        <v>97.557479932270155</v>
      </c>
      <c r="I126" s="47">
        <f t="shared" si="48"/>
        <v>96.924991675866764</v>
      </c>
      <c r="J126" s="47">
        <f t="shared" si="48"/>
        <v>97.459102600913781</v>
      </c>
      <c r="K126" s="47">
        <f t="shared" si="48"/>
        <v>98.443203144959185</v>
      </c>
      <c r="L126" s="47">
        <f t="shared" si="48"/>
        <v>98.373848352084991</v>
      </c>
      <c r="M126" s="47">
        <f t="shared" si="48"/>
        <v>95.788661550648115</v>
      </c>
      <c r="N126" s="47">
        <f t="shared" si="48"/>
        <v>87.437416680760649</v>
      </c>
      <c r="O126" s="47">
        <f t="shared" si="48"/>
        <v>99.121479600710444</v>
      </c>
      <c r="P126" s="47">
        <f t="shared" si="48"/>
        <v>99.934512347255364</v>
      </c>
      <c r="Q126" s="47">
        <f t="shared" si="48"/>
        <v>88.98523831210521</v>
      </c>
      <c r="R126" s="47">
        <f t="shared" si="48"/>
        <v>97.579395304848305</v>
      </c>
      <c r="S126" s="47">
        <f t="shared" si="48"/>
        <v>95.022592293244941</v>
      </c>
      <c r="T126" s="47">
        <f t="shared" si="48"/>
        <v>96.511597830926831</v>
      </c>
      <c r="U126" s="47">
        <f t="shared" si="48"/>
        <v>96.648781498826025</v>
      </c>
      <c r="V126" s="47">
        <f t="shared" si="48"/>
        <v>90.684706011721715</v>
      </c>
    </row>
    <row r="127" spans="2:22" x14ac:dyDescent="0.2">
      <c r="B127" s="34" t="s">
        <v>45</v>
      </c>
      <c r="C127" s="76" t="s">
        <v>46</v>
      </c>
      <c r="D127" s="46">
        <f t="shared" ref="D127:V127" si="49">+IFERROR(IF(D101&gt;0,+((D101/D26)*100)," "),"")</f>
        <v>71.610905573604228</v>
      </c>
      <c r="E127" s="46">
        <f t="shared" si="49"/>
        <v>62.758984712978716</v>
      </c>
      <c r="F127" s="46">
        <f t="shared" si="49"/>
        <v>52.329876563801157</v>
      </c>
      <c r="G127" s="46">
        <f t="shared" si="49"/>
        <v>64.476823338793736</v>
      </c>
      <c r="H127" s="46">
        <f t="shared" si="49"/>
        <v>62.768339267332273</v>
      </c>
      <c r="I127" s="46">
        <f t="shared" si="49"/>
        <v>66.65684090654095</v>
      </c>
      <c r="J127" s="46">
        <f t="shared" si="49"/>
        <v>61.958871072715525</v>
      </c>
      <c r="K127" s="46">
        <f t="shared" si="49"/>
        <v>77.379049287391595</v>
      </c>
      <c r="L127" s="46">
        <f t="shared" si="49"/>
        <v>85.235836167650476</v>
      </c>
      <c r="M127" s="46">
        <f t="shared" si="49"/>
        <v>85.1270824961275</v>
      </c>
      <c r="N127" s="46">
        <f t="shared" si="49"/>
        <v>78.731125382053932</v>
      </c>
      <c r="O127" s="46">
        <f t="shared" si="49"/>
        <v>85.905677148064967</v>
      </c>
      <c r="P127" s="46">
        <f t="shared" si="49"/>
        <v>86.176705340446517</v>
      </c>
      <c r="Q127" s="46">
        <f t="shared" si="49"/>
        <v>88.353332948790239</v>
      </c>
      <c r="R127" s="46">
        <f t="shared" si="49"/>
        <v>87.290332690460801</v>
      </c>
      <c r="S127" s="46">
        <f t="shared" si="49"/>
        <v>87.356702643653279</v>
      </c>
      <c r="T127" s="46">
        <f t="shared" si="49"/>
        <v>85.223334972240281</v>
      </c>
      <c r="U127" s="46">
        <f t="shared" si="49"/>
        <v>87.865760677232814</v>
      </c>
      <c r="V127" s="46">
        <f t="shared" si="49"/>
        <v>75.702092991969053</v>
      </c>
    </row>
    <row r="128" spans="2:22" x14ac:dyDescent="0.2">
      <c r="B128" s="36" t="s">
        <v>47</v>
      </c>
      <c r="C128" s="78" t="s">
        <v>48</v>
      </c>
      <c r="D128" s="48">
        <f t="shared" ref="D128:V128" si="50">+IFERROR(IF(D102&gt;0,+((D102/D27)*100)," "),"")</f>
        <v>90.087605614688442</v>
      </c>
      <c r="E128" s="48">
        <f t="shared" si="50"/>
        <v>87.278019474964708</v>
      </c>
      <c r="F128" s="48">
        <f t="shared" si="50"/>
        <v>85.72717439762863</v>
      </c>
      <c r="G128" s="48">
        <f t="shared" si="50"/>
        <v>89.095646256276027</v>
      </c>
      <c r="H128" s="48">
        <f t="shared" si="50"/>
        <v>88.254710129065842</v>
      </c>
      <c r="I128" s="48">
        <f t="shared" si="50"/>
        <v>89.822183744321833</v>
      </c>
      <c r="J128" s="48">
        <f t="shared" si="50"/>
        <v>89.133542967946894</v>
      </c>
      <c r="K128" s="48">
        <f t="shared" si="50"/>
        <v>91.648776008127868</v>
      </c>
      <c r="L128" s="48">
        <f t="shared" si="50"/>
        <v>94.239856813990102</v>
      </c>
      <c r="M128" s="48">
        <f t="shared" si="50"/>
        <v>91.630436606948464</v>
      </c>
      <c r="N128" s="48">
        <f t="shared" si="50"/>
        <v>89.004624306792422</v>
      </c>
      <c r="O128" s="48">
        <f t="shared" si="50"/>
        <v>95.194171753526419</v>
      </c>
      <c r="P128" s="48">
        <f t="shared" si="50"/>
        <v>94.488921667495433</v>
      </c>
      <c r="Q128" s="48">
        <f t="shared" si="50"/>
        <v>94.800761663364284</v>
      </c>
      <c r="R128" s="48">
        <f t="shared" si="50"/>
        <v>92.338014331332886</v>
      </c>
      <c r="S128" s="48">
        <f t="shared" si="50"/>
        <v>93.013649208874952</v>
      </c>
      <c r="T128" s="48">
        <f t="shared" si="50"/>
        <v>92.912758668874844</v>
      </c>
      <c r="U128" s="48">
        <f t="shared" si="50"/>
        <v>94.519136502205768</v>
      </c>
      <c r="V128" s="48">
        <f t="shared" si="50"/>
        <v>90.872156931419653</v>
      </c>
    </row>
    <row r="129" spans="2:22" x14ac:dyDescent="0.2">
      <c r="B129" s="38" t="s">
        <v>49</v>
      </c>
      <c r="C129" s="79" t="s">
        <v>63</v>
      </c>
      <c r="D129" s="45">
        <f t="shared" ref="D129:V129" si="51">+IFERROR(IF(D103&gt;0,+((D103/D28)*100)," "),"")</f>
        <v>91.87340553852836</v>
      </c>
      <c r="E129" s="45">
        <f t="shared" si="51"/>
        <v>91.460270918618974</v>
      </c>
      <c r="F129" s="45">
        <f t="shared" si="51"/>
        <v>90.403846837909782</v>
      </c>
      <c r="G129" s="45">
        <f t="shared" si="51"/>
        <v>93.072406122733014</v>
      </c>
      <c r="H129" s="45">
        <f t="shared" si="51"/>
        <v>90.57256151663276</v>
      </c>
      <c r="I129" s="45">
        <f t="shared" si="51"/>
        <v>92.758394764921235</v>
      </c>
      <c r="J129" s="45">
        <f t="shared" si="51"/>
        <v>92.044728033005981</v>
      </c>
      <c r="K129" s="45">
        <f t="shared" si="51"/>
        <v>93.446431773883347</v>
      </c>
      <c r="L129" s="45">
        <f t="shared" si="51"/>
        <v>93.30807131057945</v>
      </c>
      <c r="M129" s="45">
        <f t="shared" si="51"/>
        <v>90.708792249046695</v>
      </c>
      <c r="N129" s="45">
        <f t="shared" si="51"/>
        <v>86.604593161625615</v>
      </c>
      <c r="O129" s="45">
        <f t="shared" si="51"/>
        <v>95.336390764344586</v>
      </c>
      <c r="P129" s="45">
        <f t="shared" si="51"/>
        <v>95.693420116846198</v>
      </c>
      <c r="Q129" s="45">
        <f t="shared" si="51"/>
        <v>92.275004581460351</v>
      </c>
      <c r="R129" s="45">
        <f t="shared" si="51"/>
        <v>93.508041011590976</v>
      </c>
      <c r="S129" s="45">
        <f t="shared" si="51"/>
        <v>94.221611704931505</v>
      </c>
      <c r="T129" s="45">
        <f t="shared" si="51"/>
        <v>91.005905051031021</v>
      </c>
      <c r="U129" s="45">
        <f t="shared" si="51"/>
        <v>95.28649252100837</v>
      </c>
      <c r="V129" s="45">
        <f t="shared" si="51"/>
        <v>87.6102715651419</v>
      </c>
    </row>
    <row r="130" spans="2:22" x14ac:dyDescent="0.2">
      <c r="B130" s="1" t="s">
        <v>52</v>
      </c>
      <c r="C130" s="15"/>
      <c r="D130" s="12"/>
      <c r="E130" s="12"/>
      <c r="F130" s="12"/>
      <c r="G130" s="12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2:22" x14ac:dyDescent="0.2">
      <c r="B131" s="1"/>
      <c r="C131" s="15"/>
      <c r="D131" s="12"/>
      <c r="E131" s="12"/>
      <c r="F131" s="12"/>
      <c r="G131" s="12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2:22" x14ac:dyDescent="0.2">
      <c r="B132" s="1"/>
      <c r="C132" s="15"/>
      <c r="D132" s="12"/>
      <c r="E132" s="12"/>
      <c r="F132" s="12"/>
      <c r="G132" s="12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2:22" x14ac:dyDescent="0.2">
      <c r="B133" s="1"/>
      <c r="C133" s="15"/>
      <c r="D133" s="12"/>
      <c r="E133" s="12"/>
      <c r="F133" s="12"/>
      <c r="G133" s="12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2:22" x14ac:dyDescent="0.2">
      <c r="B134" s="1"/>
      <c r="C134" s="15"/>
      <c r="D134" s="12"/>
      <c r="E134" s="12"/>
      <c r="F134" s="12"/>
      <c r="G134" s="12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2:22" ht="18" customHeight="1" x14ac:dyDescent="0.2">
      <c r="C135" s="131"/>
      <c r="D135" s="164" t="s">
        <v>81</v>
      </c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</row>
    <row r="136" spans="2:22" ht="15.75" customHeight="1" x14ac:dyDescent="0.2">
      <c r="B136" s="159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</row>
    <row r="137" spans="2:22" x14ac:dyDescent="0.2">
      <c r="B137" s="167"/>
      <c r="C137" s="161" t="s">
        <v>38</v>
      </c>
      <c r="D137" s="155" t="s">
        <v>27</v>
      </c>
      <c r="E137" s="155" t="s">
        <v>28</v>
      </c>
      <c r="F137" s="155" t="s">
        <v>29</v>
      </c>
      <c r="G137" s="155" t="s">
        <v>30</v>
      </c>
      <c r="H137" s="155">
        <v>2004</v>
      </c>
      <c r="I137" s="155" t="s">
        <v>31</v>
      </c>
      <c r="J137" s="155" t="s">
        <v>32</v>
      </c>
      <c r="K137" s="155" t="s">
        <v>33</v>
      </c>
      <c r="L137" s="155" t="s">
        <v>34</v>
      </c>
      <c r="M137" s="155" t="s">
        <v>35</v>
      </c>
      <c r="N137" s="155">
        <v>2010</v>
      </c>
      <c r="O137" s="155">
        <v>2011</v>
      </c>
      <c r="P137" s="155">
        <v>2012</v>
      </c>
      <c r="Q137" s="155">
        <v>2013</v>
      </c>
      <c r="R137" s="155">
        <v>2014</v>
      </c>
      <c r="S137" s="155">
        <v>2015</v>
      </c>
      <c r="T137" s="155">
        <v>2016</v>
      </c>
      <c r="U137" s="155">
        <v>2017</v>
      </c>
      <c r="V137" s="155">
        <v>2018</v>
      </c>
    </row>
    <row r="138" spans="2:22" ht="12" customHeight="1" thickBot="1" x14ac:dyDescent="0.25">
      <c r="B138" s="156"/>
      <c r="C138" s="162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</row>
    <row r="139" spans="2:22" x14ac:dyDescent="0.2">
      <c r="B139" s="34" t="s">
        <v>39</v>
      </c>
      <c r="C139" s="76" t="s">
        <v>40</v>
      </c>
      <c r="D139" s="41">
        <f t="shared" ref="D139:V139" si="52">+D140+D141+D142+D143</f>
        <v>77287.269234086794</v>
      </c>
      <c r="E139" s="41">
        <f t="shared" si="52"/>
        <v>89200.921958783874</v>
      </c>
      <c r="F139" s="41">
        <f t="shared" si="52"/>
        <v>91516.416161490095</v>
      </c>
      <c r="G139" s="41">
        <f t="shared" si="52"/>
        <v>93220.834380796718</v>
      </c>
      <c r="H139" s="41">
        <f t="shared" si="52"/>
        <v>102512.24729157884</v>
      </c>
      <c r="I139" s="41">
        <f t="shared" si="52"/>
        <v>115430.18284232881</v>
      </c>
      <c r="J139" s="41">
        <f t="shared" si="52"/>
        <v>120942.02972064032</v>
      </c>
      <c r="K139" s="41">
        <f t="shared" si="52"/>
        <v>126888.05098573018</v>
      </c>
      <c r="L139" s="41">
        <f t="shared" si="52"/>
        <v>133647.44058888359</v>
      </c>
      <c r="M139" s="41">
        <f t="shared" si="52"/>
        <v>142970.90346276324</v>
      </c>
      <c r="N139" s="41">
        <f t="shared" si="52"/>
        <v>147494.82504607103</v>
      </c>
      <c r="O139" s="41">
        <f t="shared" si="52"/>
        <v>149975.06322618766</v>
      </c>
      <c r="P139" s="41">
        <f t="shared" si="52"/>
        <v>158557.26331906341</v>
      </c>
      <c r="Q139" s="41">
        <f t="shared" si="52"/>
        <v>174357.98081082891</v>
      </c>
      <c r="R139" s="41">
        <f t="shared" si="52"/>
        <v>184652.2541064774</v>
      </c>
      <c r="S139" s="41">
        <f t="shared" si="52"/>
        <v>183892.58893627592</v>
      </c>
      <c r="T139" s="41">
        <f t="shared" si="52"/>
        <v>188846.3456989328</v>
      </c>
      <c r="U139" s="41">
        <f t="shared" si="52"/>
        <v>208296.33860620813</v>
      </c>
      <c r="V139" s="41">
        <f t="shared" si="52"/>
        <v>213672.54284095863</v>
      </c>
    </row>
    <row r="140" spans="2:22" x14ac:dyDescent="0.2">
      <c r="B140" s="40"/>
      <c r="C140" s="77" t="s">
        <v>56</v>
      </c>
      <c r="D140" s="42">
        <f>5536.69532383403*Deflactores!$A$5</f>
        <v>20662.479501075682</v>
      </c>
      <c r="E140" s="42">
        <f>6085.78580803861*Deflactores!$B$5</f>
        <v>21097.999674864128</v>
      </c>
      <c r="F140" s="42">
        <f>6583.09505979162*Deflactores!$C$5</f>
        <v>21330.649841358987</v>
      </c>
      <c r="G140" s="42">
        <f>7167.7117535827*Deflactores!$D$5</f>
        <v>21809.218894318477</v>
      </c>
      <c r="H140" s="42">
        <f>7781.42628950585*Deflactores!$E$5</f>
        <v>22442.888309717335</v>
      </c>
      <c r="I140" s="42">
        <f>8514.89685575096*Deflactores!$F$5</f>
        <v>23421.197811402952</v>
      </c>
      <c r="J140" s="42">
        <f>9536.43673933454*Deflactores!$G$5</f>
        <v>25106.7909802379</v>
      </c>
      <c r="K140" s="42">
        <f>10488.5906271949*Deflactores!$H$5</f>
        <v>26125.823022787379</v>
      </c>
      <c r="L140" s="42">
        <f>11689.6227300988*Deflactores!$I$5</f>
        <v>27042.136182174643</v>
      </c>
      <c r="M140" s="42">
        <f>13129.6224664513*Deflactores!$J$5</f>
        <v>29777.269337754889</v>
      </c>
      <c r="N140" s="42">
        <f>14221.9583182624*Deflactores!$K$5</f>
        <v>31263.202004276995</v>
      </c>
      <c r="O140" s="42">
        <f>15015.9375952732*Deflactores!$L$5</f>
        <v>31822.62570981223</v>
      </c>
      <c r="P140" s="42">
        <f>16734.6894176685*Deflactores!$M$5</f>
        <v>34620.365044071339</v>
      </c>
      <c r="Q140" s="42">
        <f>18674.8932389789*Deflactores!$N$5</f>
        <v>37898.976773080671</v>
      </c>
      <c r="R140" s="42">
        <f>20622.2648127526*Deflactores!$O$5</f>
        <v>40373.32444840423</v>
      </c>
      <c r="S140" s="42">
        <f>21941.9005402817*Deflactores!$P$5</f>
        <v>40233.068058358083</v>
      </c>
      <c r="T140" s="42">
        <f>23627.7357138171*Deflactores!$Q$5</f>
        <v>40968.554237281678</v>
      </c>
      <c r="U140" s="42">
        <f>25585.9840042135*Deflactores!$R$5</f>
        <v>42620.805100751662</v>
      </c>
      <c r="V140" s="42">
        <f>28619.9621744331*Deflactores!$S$5</f>
        <v>46205.434342705186</v>
      </c>
    </row>
    <row r="141" spans="2:22" x14ac:dyDescent="0.2">
      <c r="B141" s="40"/>
      <c r="C141" s="77" t="s">
        <v>57</v>
      </c>
      <c r="D141" s="42">
        <f>888.064024843599*Deflactores!$A$5</f>
        <v>3314.1799639910409</v>
      </c>
      <c r="E141" s="42">
        <f>1230.06552794873*Deflactores!$B$5</f>
        <v>4264.3502297508448</v>
      </c>
      <c r="F141" s="42">
        <f>1334.13783427012*Deflactores!$C$5</f>
        <v>4322.894736359126</v>
      </c>
      <c r="G141" s="42">
        <f>1546.14778712226*Deflactores!$D$5</f>
        <v>4704.4686912055022</v>
      </c>
      <c r="H141" s="42">
        <f>1604.02403697395*Deflactores!$E$5</f>
        <v>4626.2639995005766</v>
      </c>
      <c r="I141" s="42">
        <f>1835.50396917425*Deflactores!$F$5</f>
        <v>5048.7636284883629</v>
      </c>
      <c r="J141" s="42">
        <f>2266.66424057011*Deflactores!$G$5</f>
        <v>5967.4978050915652</v>
      </c>
      <c r="K141" s="42">
        <f>2942.72075225407*Deflactores!$H$5</f>
        <v>7329.9649410985594</v>
      </c>
      <c r="L141" s="42">
        <f>3253.7157159398*Deflactores!$I$5</f>
        <v>7526.9686216624614</v>
      </c>
      <c r="M141" s="42">
        <f>3623.79789436037*Deflactores!$J$5</f>
        <v>8218.5764443479111</v>
      </c>
      <c r="N141" s="42">
        <f>4073.29148183188*Deflactores!$K$5</f>
        <v>8954.0506004217714</v>
      </c>
      <c r="O141" s="42">
        <f>4403.67004205122*Deflactores!$L$5</f>
        <v>9332.5070518288467</v>
      </c>
      <c r="P141" s="42">
        <f>4978.31161383418*Deflactores!$M$5</f>
        <v>10299.02384636496</v>
      </c>
      <c r="Q141" s="42">
        <f>5901.46207552404*Deflactores!$N$5</f>
        <v>11976.474042736279</v>
      </c>
      <c r="R141" s="42">
        <f>6096.68206768592*Deflactores!$O$5</f>
        <v>11935.804598204899</v>
      </c>
      <c r="S141" s="42">
        <f>5966.37169783937*Deflactores!$P$5</f>
        <v>10940.047701882031</v>
      </c>
      <c r="T141" s="42">
        <f>5784.7300651314*Deflactores!$Q$5</f>
        <v>10030.24709146297</v>
      </c>
      <c r="U141" s="42">
        <f>5903.87585680597*Deflactores!$R$5</f>
        <v>9834.6009358296469</v>
      </c>
      <c r="V141" s="42">
        <f>6728.57401724903*Deflactores!$S$5</f>
        <v>10862.931372137296</v>
      </c>
    </row>
    <row r="142" spans="2:22" x14ac:dyDescent="0.2">
      <c r="B142" s="40"/>
      <c r="C142" s="77" t="s">
        <v>58</v>
      </c>
      <c r="D142" s="42">
        <f>14283.634446176*Deflactores!$A$5</f>
        <v>53305.317826409839</v>
      </c>
      <c r="E142" s="42">
        <f>18410.6556112563*Deflactores!$B$5</f>
        <v>63825.448077264395</v>
      </c>
      <c r="F142" s="42">
        <f>20322.8447101945*Deflactores!$C$5</f>
        <v>65850.406284000332</v>
      </c>
      <c r="G142" s="42">
        <f>21920.9485596407*Deflactores!$D$5</f>
        <v>66698.938509816202</v>
      </c>
      <c r="H142" s="42">
        <f>26149.0506906068*Deflactores!$E$5</f>
        <v>75418.079182459653</v>
      </c>
      <c r="I142" s="42">
        <f>31603.7566373406*Deflactores!$F$5</f>
        <v>86929.747749870119</v>
      </c>
      <c r="J142" s="42">
        <f>34120.591114632*Deflactores!$G$5</f>
        <v>89830.045818246203</v>
      </c>
      <c r="K142" s="42">
        <f>37495.0536371099*Deflactores!$H$5</f>
        <v>93395.687787944262</v>
      </c>
      <c r="L142" s="42">
        <f>42811.3485133804*Deflactores!$I$5</f>
        <v>99037.440589118822</v>
      </c>
      <c r="M142" s="42">
        <f>46279.4565657244*Deflactores!$J$5</f>
        <v>104959.28930810861</v>
      </c>
      <c r="N142" s="42">
        <f>48794.0939955158*Deflactores!$K$5</f>
        <v>107260.86963977732</v>
      </c>
      <c r="O142" s="42">
        <f>51339.1703046179*Deflactores!$L$5</f>
        <v>108800.87843268889</v>
      </c>
      <c r="P142" s="42">
        <f>54920.6022913183*Deflactores!$M$5</f>
        <v>113618.55916837219</v>
      </c>
      <c r="Q142" s="42">
        <f>61330.5806793997*Deflactores!$N$5</f>
        <v>124464.76790542608</v>
      </c>
      <c r="R142" s="42">
        <f>67585.0603719136*Deflactores!$O$5</f>
        <v>132314.93218789896</v>
      </c>
      <c r="S142" s="42">
        <f>72367.6028223255*Deflactores!$P$5</f>
        <v>132694.55324645588</v>
      </c>
      <c r="T142" s="42">
        <f>79487.0375321914*Deflactores!$Q$5</f>
        <v>137823.99836113368</v>
      </c>
      <c r="U142" s="42">
        <f>93531.9782274185*Deflactores!$R$5</f>
        <v>155804.37375643125</v>
      </c>
      <c r="V142" s="42">
        <f>96968.0847192129*Deflactores!$S$5</f>
        <v>156549.90892454641</v>
      </c>
    </row>
    <row r="143" spans="2:22" x14ac:dyDescent="0.2">
      <c r="B143" s="40"/>
      <c r="C143" s="77" t="s">
        <v>59</v>
      </c>
      <c r="D143" s="42">
        <f>1.41802313233999*Deflactores!$A$5</f>
        <v>5.2919426102241625</v>
      </c>
      <c r="E143" s="42">
        <f>3.78565331411999*Deflactores!$B$5</f>
        <v>13.123976904503165</v>
      </c>
      <c r="F143" s="42">
        <f>3.84705829198*Deflactores!$C$5</f>
        <v>12.465299771642593</v>
      </c>
      <c r="G143" s="42">
        <f>2.69769515491*Deflactores!$D$5</f>
        <v>8.208285456535938</v>
      </c>
      <c r="H143" s="42">
        <f>8.6735094128*Deflactores!$E$5</f>
        <v>25.015799901268991</v>
      </c>
      <c r="I143" s="42">
        <f>11.07885303385*Deflactores!$F$5</f>
        <v>30.473652567383692</v>
      </c>
      <c r="J143" s="42">
        <f>14.3179229696*Deflactores!$G$5</f>
        <v>37.695117064655214</v>
      </c>
      <c r="K143" s="42">
        <f>14.6836582004*Deflactores!$H$5</f>
        <v>36.575233899976148</v>
      </c>
      <c r="L143" s="42">
        <f>17.67794558267*Deflactores!$I$5</f>
        <v>40.895195927644309</v>
      </c>
      <c r="M143" s="42">
        <f>6.9527120223*Deflactores!$J$5</f>
        <v>15.768372551829422</v>
      </c>
      <c r="N143" s="42">
        <f>7.598279538*Deflactores!$K$5</f>
        <v>16.702801594941061</v>
      </c>
      <c r="O143" s="42">
        <f>8.989959661*Deflactores!$L$5</f>
        <v>19.052031857695557</v>
      </c>
      <c r="P143" s="42">
        <f>9.336553239*Deflactores!$M$5</f>
        <v>19.315260254923825</v>
      </c>
      <c r="Q143" s="42">
        <f>8.752350458*Deflactores!$N$5</f>
        <v>17.762089585886212</v>
      </c>
      <c r="R143" s="42">
        <f>14.400619209*Deflactores!$O$5</f>
        <v>28.192871969297322</v>
      </c>
      <c r="S143" s="42">
        <f>13.590577172*Deflactores!$P$5</f>
        <v>24.919929579920694</v>
      </c>
      <c r="T143" s="42">
        <f>13.579656139*Deflactores!$Q$5</f>
        <v>23.54600905447402</v>
      </c>
      <c r="U143" s="42">
        <f>21.94686861086*Deflactores!$R$5</f>
        <v>36.558813195585046</v>
      </c>
      <c r="V143" s="42">
        <f>33.61409536118*Deflactores!$S$5</f>
        <v>54.268201569738721</v>
      </c>
    </row>
    <row r="144" spans="2:22" x14ac:dyDescent="0.2">
      <c r="B144" s="34" t="s">
        <v>41</v>
      </c>
      <c r="C144" s="76" t="s">
        <v>42</v>
      </c>
      <c r="D144" s="41">
        <f t="shared" ref="D144:V144" si="53">+D145+D148</f>
        <v>57774.689135960529</v>
      </c>
      <c r="E144" s="41">
        <f t="shared" si="53"/>
        <v>70820.971978691465</v>
      </c>
      <c r="F144" s="41">
        <f t="shared" si="53"/>
        <v>70307.062366826183</v>
      </c>
      <c r="G144" s="41">
        <f t="shared" si="53"/>
        <v>77558.317614327985</v>
      </c>
      <c r="H144" s="41">
        <f t="shared" si="53"/>
        <v>68856.421427444046</v>
      </c>
      <c r="I144" s="41">
        <f t="shared" si="53"/>
        <v>82534.120318164365</v>
      </c>
      <c r="J144" s="41">
        <f t="shared" si="53"/>
        <v>94571.332269670034</v>
      </c>
      <c r="K144" s="41">
        <f t="shared" si="53"/>
        <v>90853.404632605263</v>
      </c>
      <c r="L144" s="41">
        <f t="shared" si="53"/>
        <v>79807.39547775143</v>
      </c>
      <c r="M144" s="41">
        <f t="shared" si="53"/>
        <v>71905.61982914072</v>
      </c>
      <c r="N144" s="41">
        <f t="shared" si="53"/>
        <v>69219.641778944875</v>
      </c>
      <c r="O144" s="41">
        <f t="shared" si="53"/>
        <v>69477.05920333018</v>
      </c>
      <c r="P144" s="41">
        <f t="shared" si="53"/>
        <v>74782.765178314803</v>
      </c>
      <c r="Q144" s="41">
        <f t="shared" si="53"/>
        <v>75584.48219097688</v>
      </c>
      <c r="R144" s="41">
        <f t="shared" si="53"/>
        <v>76937.11882086577</v>
      </c>
      <c r="S144" s="41">
        <f t="shared" si="53"/>
        <v>83971.582423535394</v>
      </c>
      <c r="T144" s="41">
        <f t="shared" si="53"/>
        <v>68596.742541255517</v>
      </c>
      <c r="U144" s="41">
        <f t="shared" si="53"/>
        <v>81452.345943029373</v>
      </c>
      <c r="V144" s="41">
        <f t="shared" si="53"/>
        <v>58731.174804455062</v>
      </c>
    </row>
    <row r="145" spans="2:22" x14ac:dyDescent="0.2">
      <c r="B145" s="34"/>
      <c r="C145" s="76" t="s">
        <v>43</v>
      </c>
      <c r="D145" s="41">
        <f t="shared" ref="D145:V145" si="54">+D146+D147</f>
        <v>18376.412439115513</v>
      </c>
      <c r="E145" s="41">
        <f t="shared" si="54"/>
        <v>26525.812765331026</v>
      </c>
      <c r="F145" s="41">
        <f t="shared" si="54"/>
        <v>30009.670540939525</v>
      </c>
      <c r="G145" s="41">
        <f t="shared" si="54"/>
        <v>36783.337806035532</v>
      </c>
      <c r="H145" s="41">
        <f t="shared" si="54"/>
        <v>21084.714240602047</v>
      </c>
      <c r="I145" s="41">
        <f t="shared" si="54"/>
        <v>33302.573397016225</v>
      </c>
      <c r="J145" s="41">
        <f t="shared" si="54"/>
        <v>23129.761525426446</v>
      </c>
      <c r="K145" s="41">
        <f t="shared" si="54"/>
        <v>17056.568632318427</v>
      </c>
      <c r="L145" s="41">
        <f t="shared" si="54"/>
        <v>15645.979892031139</v>
      </c>
      <c r="M145" s="41">
        <f t="shared" si="54"/>
        <v>14262.003533489065</v>
      </c>
      <c r="N145" s="41">
        <f t="shared" si="54"/>
        <v>14369.725548152124</v>
      </c>
      <c r="O145" s="41">
        <f t="shared" si="54"/>
        <v>11444.017722053151</v>
      </c>
      <c r="P145" s="41">
        <f t="shared" si="54"/>
        <v>13393.252277536065</v>
      </c>
      <c r="Q145" s="41">
        <f t="shared" si="54"/>
        <v>12977.531202949576</v>
      </c>
      <c r="R145" s="41">
        <f t="shared" si="54"/>
        <v>16159.182676167937</v>
      </c>
      <c r="S145" s="41">
        <f t="shared" si="54"/>
        <v>19910.82456683151</v>
      </c>
      <c r="T145" s="41">
        <f t="shared" si="54"/>
        <v>16061.667923425706</v>
      </c>
      <c r="U145" s="41">
        <f t="shared" si="54"/>
        <v>23277.950846068634</v>
      </c>
      <c r="V145" s="41">
        <f t="shared" si="54"/>
        <v>15495.935238498179</v>
      </c>
    </row>
    <row r="146" spans="2:22" x14ac:dyDescent="0.2">
      <c r="B146" s="32"/>
      <c r="C146" s="77" t="s">
        <v>60</v>
      </c>
      <c r="D146" s="42">
        <f>2493.60005488522*Deflactores!$A$5</f>
        <v>9305.9048772559036</v>
      </c>
      <c r="E146" s="42">
        <f>4319.99324263563*Deflactores!$B$5</f>
        <v>14976.40878325889</v>
      </c>
      <c r="F146" s="42">
        <f>5544.42162090215*Deflactores!$C$5</f>
        <v>17965.123561814002</v>
      </c>
      <c r="G146" s="42">
        <f>7544.53861961724*Deflactores!$D$5</f>
        <v>22955.791174167691</v>
      </c>
      <c r="H146" s="42">
        <f>3747.49133615979*Deflactores!$E$5</f>
        <v>10808.369361860074</v>
      </c>
      <c r="I146" s="42">
        <f>8189.87073913316*Deflactores!$F$5</f>
        <v>22527.176298266695</v>
      </c>
      <c r="J146" s="42">
        <f>4717.39946956163*Deflactores!$G$5</f>
        <v>12419.603431546881</v>
      </c>
      <c r="K146" s="42">
        <f>3340.27429503312*Deflactores!$H$5</f>
        <v>8320.2232007543062</v>
      </c>
      <c r="L146" s="42">
        <f>3374.09124745946*Deflactores!$I$5</f>
        <v>7805.4388162543446</v>
      </c>
      <c r="M146" s="42">
        <f>2750.38880165926*Deflactores!$J$5</f>
        <v>6237.7321465122486</v>
      </c>
      <c r="N146" s="42">
        <f>3278.17077937629*Deflactores!$K$5</f>
        <v>7206.188696851742</v>
      </c>
      <c r="O146" s="42">
        <f>2188.69272693391*Deflactores!$L$5</f>
        <v>4638.4016316723946</v>
      </c>
      <c r="P146" s="42">
        <f>3393.13494986786*Deflactores!$M$5</f>
        <v>7019.644504677538</v>
      </c>
      <c r="Q146" s="42">
        <f>2851.34747890945*Deflactores!$N$5</f>
        <v>5786.5472371011001</v>
      </c>
      <c r="R146" s="42">
        <f>4767.30280819024*Deflactores!$O$5</f>
        <v>9333.2068405905884</v>
      </c>
      <c r="S146" s="42">
        <f>5975.63018509173*Deflactores!$P$5</f>
        <v>10957.024232563945</v>
      </c>
      <c r="T146" s="42">
        <f>3415.25511858014*Deflactores!$Q$5</f>
        <v>5921.7720332753934</v>
      </c>
      <c r="U146" s="42">
        <f>7662.48186229947*Deflactores!$R$5</f>
        <v>12764.064340356383</v>
      </c>
      <c r="V146" s="42">
        <f>2964.77775272413*Deflactores!$S$5</f>
        <v>4786.4788555375253</v>
      </c>
    </row>
    <row r="147" spans="2:22" x14ac:dyDescent="0.2">
      <c r="B147" s="32"/>
      <c r="C147" s="77" t="s">
        <v>61</v>
      </c>
      <c r="D147" s="42">
        <f>2430.52324867085*Deflactores!$A$5</f>
        <v>9070.5075618596111</v>
      </c>
      <c r="E147" s="42">
        <f>3331.46269450077*Deflactores!$B$5</f>
        <v>11549.403982072135</v>
      </c>
      <c r="F147" s="42">
        <f>3717.20497525441*Deflactores!$C$5</f>
        <v>12044.546979125524</v>
      </c>
      <c r="G147" s="42">
        <f>4544.49418829354*Deflactores!$D$5</f>
        <v>13827.546631867839</v>
      </c>
      <c r="H147" s="42">
        <f>3563.02714231521*Deflactores!$E$5</f>
        <v>10276.344878741973</v>
      </c>
      <c r="I147" s="42">
        <f>3917.45100376292*Deflactores!$F$5</f>
        <v>10775.39709874953</v>
      </c>
      <c r="J147" s="42">
        <f>4068.09238229403*Deflactores!$G$5</f>
        <v>10710.158093879565</v>
      </c>
      <c r="K147" s="42">
        <f>3507.3326007574*Deflactores!$H$5</f>
        <v>8736.3454315641193</v>
      </c>
      <c r="L147" s="42">
        <f>3389.26505503247*Deflactores!$I$5</f>
        <v>7840.5410757767941</v>
      </c>
      <c r="M147" s="42">
        <f>3538.12341502287*Deflactores!$J$5</f>
        <v>8024.2713869768168</v>
      </c>
      <c r="N147" s="42">
        <f>3258.76800772336*Deflactores!$K$5</f>
        <v>7163.5368513003814</v>
      </c>
      <c r="O147" s="42">
        <f>3211.32226618982*Deflactores!$L$5</f>
        <v>6805.6160903807568</v>
      </c>
      <c r="P147" s="42">
        <f>3080.85562971528*Deflactores!$M$5</f>
        <v>6373.6077728585269</v>
      </c>
      <c r="Q147" s="42">
        <f>3543.39006695334*Deflactores!$N$5</f>
        <v>7190.9839658484761</v>
      </c>
      <c r="R147" s="42">
        <f>3486.63587182725*Deflactores!$O$5</f>
        <v>6825.9758355773492</v>
      </c>
      <c r="S147" s="42">
        <f>4883.13235538164*Deflactores!$P$5</f>
        <v>8953.8003342675656</v>
      </c>
      <c r="T147" s="42">
        <f>5847.96766003692*Deflactores!$Q$5</f>
        <v>10139.895890150312</v>
      </c>
      <c r="U147" s="42">
        <f>6311.66237524982*Deflactores!$R$5</f>
        <v>10513.886505712253</v>
      </c>
      <c r="V147" s="42">
        <f>6633.5105588606*Deflactores!$S$5</f>
        <v>10709.456382960654</v>
      </c>
    </row>
    <row r="148" spans="2:22" x14ac:dyDescent="0.2">
      <c r="B148" s="34"/>
      <c r="C148" s="76" t="s">
        <v>44</v>
      </c>
      <c r="D148" s="41">
        <f t="shared" ref="D148:V148" si="55">+D149+D150</f>
        <v>39398.276696845016</v>
      </c>
      <c r="E148" s="41">
        <f t="shared" si="55"/>
        <v>44295.159213360443</v>
      </c>
      <c r="F148" s="41">
        <f t="shared" si="55"/>
        <v>40297.391825886662</v>
      </c>
      <c r="G148" s="41">
        <f t="shared" si="55"/>
        <v>40774.979808292454</v>
      </c>
      <c r="H148" s="41">
        <f t="shared" si="55"/>
        <v>47771.707186842003</v>
      </c>
      <c r="I148" s="41">
        <f t="shared" si="55"/>
        <v>49231.54692114814</v>
      </c>
      <c r="J148" s="41">
        <f t="shared" si="55"/>
        <v>71441.570744243596</v>
      </c>
      <c r="K148" s="41">
        <f t="shared" si="55"/>
        <v>73796.836000286828</v>
      </c>
      <c r="L148" s="41">
        <f t="shared" si="55"/>
        <v>64161.415585720293</v>
      </c>
      <c r="M148" s="41">
        <f t="shared" si="55"/>
        <v>57643.616295651656</v>
      </c>
      <c r="N148" s="41">
        <f t="shared" si="55"/>
        <v>54849.916230792747</v>
      </c>
      <c r="O148" s="41">
        <f t="shared" si="55"/>
        <v>58033.041481277032</v>
      </c>
      <c r="P148" s="41">
        <f t="shared" si="55"/>
        <v>61389.512900778733</v>
      </c>
      <c r="Q148" s="41">
        <f t="shared" si="55"/>
        <v>62606.950988027311</v>
      </c>
      <c r="R148" s="41">
        <f t="shared" si="55"/>
        <v>60777.936144697829</v>
      </c>
      <c r="S148" s="41">
        <f t="shared" si="55"/>
        <v>64060.75785670388</v>
      </c>
      <c r="T148" s="41">
        <f t="shared" si="55"/>
        <v>52535.074617829814</v>
      </c>
      <c r="U148" s="41">
        <f t="shared" si="55"/>
        <v>58174.395096960739</v>
      </c>
      <c r="V148" s="41">
        <f t="shared" si="55"/>
        <v>43235.239565956879</v>
      </c>
    </row>
    <row r="149" spans="2:22" x14ac:dyDescent="0.2">
      <c r="B149" s="32"/>
      <c r="C149" s="77" t="s">
        <v>60</v>
      </c>
      <c r="D149" s="42">
        <f>5996.64616033858*Deflactores!$A$5</f>
        <v>22378.977190566886</v>
      </c>
      <c r="E149" s="42">
        <f>7838.04527889175*Deflactores!$B$5</f>
        <v>27172.674484730946</v>
      </c>
      <c r="F149" s="42">
        <f>7294.42019768011*Deflactores!$C$5</f>
        <v>23635.496923445033</v>
      </c>
      <c r="G149" s="42">
        <f>7015.17017846429*Deflactores!$D$5</f>
        <v>21345.080168234988</v>
      </c>
      <c r="H149" s="42">
        <f>9383.45183920503*Deflactores!$E$5</f>
        <v>27063.38834962653</v>
      </c>
      <c r="I149" s="42">
        <f>9471.38247462775*Deflactores!$F$5</f>
        <v>26052.12091745856</v>
      </c>
      <c r="J149" s="42">
        <f>16553.412144309*Deflactores!$G$5</f>
        <v>43580.539574354567</v>
      </c>
      <c r="K149" s="42">
        <f>17728.5609090329*Deflactores!$H$5</f>
        <v>44159.721855973752</v>
      </c>
      <c r="L149" s="42">
        <f>16110.7426538197*Deflactores!$I$5</f>
        <v>37269.714078863159</v>
      </c>
      <c r="M149" s="42">
        <f>13480.4910184717*Deflactores!$J$5</f>
        <v>30573.020122086727</v>
      </c>
      <c r="N149" s="42">
        <f>13648.382382926*Deflactores!$K$5</f>
        <v>30002.347491140943</v>
      </c>
      <c r="O149" s="42">
        <f>14231.952410353*Deflactores!$L$5</f>
        <v>30161.159887684218</v>
      </c>
      <c r="P149" s="42">
        <f>16531.6123650902*Deflactores!$M$5</f>
        <v>34200.243611467289</v>
      </c>
      <c r="Q149" s="42">
        <f>17809.7668843994*Deflactores!$N$5</f>
        <v>36143.28247280197</v>
      </c>
      <c r="R149" s="42">
        <f>17247.1774421307*Deflactores!$O$5</f>
        <v>33765.733153603011</v>
      </c>
      <c r="S149" s="42">
        <f>20267.0774013158*Deflactores!$P$5</f>
        <v>37162.081877738805</v>
      </c>
      <c r="T149" s="42">
        <f>13862.1487996668*Deflactores!$Q$5</f>
        <v>24035.828139567049</v>
      </c>
      <c r="U149" s="42">
        <f>17062.9997412807*Deflactores!$R$5</f>
        <v>28423.326860813286</v>
      </c>
      <c r="V149" s="42">
        <f>8077.16197390233*Deflactores!$S$5</f>
        <v>13040.156202370366</v>
      </c>
    </row>
    <row r="150" spans="2:22" x14ac:dyDescent="0.2">
      <c r="B150" s="32"/>
      <c r="C150" s="77" t="s">
        <v>61</v>
      </c>
      <c r="D150" s="42">
        <f>4560.47281191182*Deflactores!$A$5</f>
        <v>17019.299506278134</v>
      </c>
      <c r="E150" s="42">
        <f>4939.03574583889*Deflactores!$B$5</f>
        <v>17122.484728629493</v>
      </c>
      <c r="F150" s="42">
        <f>5142.21736490905*Deflactores!$C$5</f>
        <v>16661.894902441629</v>
      </c>
      <c r="G150" s="42">
        <f>6385.73626574278*Deflactores!$D$5</f>
        <v>19429.899640057465</v>
      </c>
      <c r="H150" s="42">
        <f>7180.01419369926*Deflactores!$E$5</f>
        <v>20708.318837215469</v>
      </c>
      <c r="I150" s="42">
        <f>8426.999472283*Deflactores!$F$5</f>
        <v>23179.426003689576</v>
      </c>
      <c r="J150" s="42">
        <f>10582.5934287424*Deflactores!$G$5</f>
        <v>27861.031169889036</v>
      </c>
      <c r="K150" s="42">
        <f>11898.2493818479*Deflactores!$H$5</f>
        <v>29637.114144313076</v>
      </c>
      <c r="L150" s="42">
        <f>11624.5936736611*Deflactores!$I$5</f>
        <v>26891.701506857135</v>
      </c>
      <c r="M150" s="42">
        <f>11936.1753312289*Deflactores!$J$5</f>
        <v>27070.596173564929</v>
      </c>
      <c r="N150" s="42">
        <f>11303.4194922562*Deflactores!$K$5</f>
        <v>24847.568739651801</v>
      </c>
      <c r="O150" s="42">
        <f>13151.7253946517*Deflactores!$L$5</f>
        <v>27871.881593592818</v>
      </c>
      <c r="P150" s="42">
        <f>13142.6683823456*Deflactores!$M$5</f>
        <v>27189.26928931144</v>
      </c>
      <c r="Q150" s="42">
        <f>13040.0930661693*Deflactores!$N$5</f>
        <v>26463.668515225345</v>
      </c>
      <c r="R150" s="42">
        <f>13797.5460497458*Deflactores!$O$5</f>
        <v>27012.202991094822</v>
      </c>
      <c r="S150" s="42">
        <f>14669.7257126804*Deflactores!$P$5</f>
        <v>26898.675978965075</v>
      </c>
      <c r="T150" s="42">
        <f>16436.3296769343*Deflactores!$Q$5</f>
        <v>28499.246478262761</v>
      </c>
      <c r="U150" s="42">
        <f>17860.0651536005*Deflactores!$R$5</f>
        <v>29751.068236147457</v>
      </c>
      <c r="V150" s="42">
        <f>18703.0412334201*Deflactores!$S$5</f>
        <v>30195.083363586513</v>
      </c>
    </row>
    <row r="151" spans="2:22" x14ac:dyDescent="0.2">
      <c r="B151" s="34" t="s">
        <v>45</v>
      </c>
      <c r="C151" s="76" t="s">
        <v>46</v>
      </c>
      <c r="D151" s="41">
        <f>2615.81160303518*Deflactores!$A$5</f>
        <v>9761.9880569773832</v>
      </c>
      <c r="E151" s="41">
        <f>5175.8680623544*Deflactores!$B$5</f>
        <v>17943.52712059825</v>
      </c>
      <c r="F151" s="41">
        <f>3612.64863811889*Deflactores!$C$5</f>
        <v>11705.761864240148</v>
      </c>
      <c r="G151" s="41">
        <f>3818.87483637343*Deflactores!$D$5</f>
        <v>11619.702368031594</v>
      </c>
      <c r="H151" s="41">
        <f>4668.08029494895*Deflactores!$E$5</f>
        <v>13463.496380042769</v>
      </c>
      <c r="I151" s="41">
        <f>5852.53477107567*Deflactores!$F$5</f>
        <v>16098.066352841117</v>
      </c>
      <c r="J151" s="41">
        <f>6256.14431597698*Deflactores!$G$5</f>
        <v>16470.691514742648</v>
      </c>
      <c r="K151" s="41">
        <f>11094.5779598787*Deflactores!$H$5</f>
        <v>27635.264888761132</v>
      </c>
      <c r="L151" s="41">
        <f>11878.5029609326*Deflactores!$I$5</f>
        <v>27479.081414904584</v>
      </c>
      <c r="M151" s="41">
        <f>17017.6982478993*Deflactores!$J$5</f>
        <v>38595.213649985461</v>
      </c>
      <c r="N151" s="41">
        <f>12521.4130145728*Deflactores!$K$5</f>
        <v>27525.004341413362</v>
      </c>
      <c r="O151" s="41">
        <f>16684.2655093627*Deflactores!$L$5</f>
        <v>35358.24074779787</v>
      </c>
      <c r="P151" s="41">
        <f>19741.6364103951*Deflactores!$M$5</f>
        <v>40841.072220534195</v>
      </c>
      <c r="Q151" s="41">
        <f>23694.7128255822*Deflactores!$N$5</f>
        <v>48086.238541230734</v>
      </c>
      <c r="R151" s="41">
        <f>27831.8570110541*Deflactores!$O$5</f>
        <v>54487.933469558506</v>
      </c>
      <c r="S151" s="41">
        <f>28783.8317050822*Deflactores!$P$5</f>
        <v>52778.557529457743</v>
      </c>
      <c r="T151" s="41">
        <f>23899.681646081*Deflactores!$Q$5</f>
        <v>41440.086161055755</v>
      </c>
      <c r="U151" s="41">
        <f>22330.7659023129*Deflactores!$R$5</f>
        <v>37198.304396510757</v>
      </c>
      <c r="V151" s="41">
        <f>23227.7350515509*Deflactores!$S$5</f>
        <v>37499.965244990599</v>
      </c>
    </row>
    <row r="152" spans="2:22" x14ac:dyDescent="0.2">
      <c r="B152" s="36" t="s">
        <v>47</v>
      </c>
      <c r="C152" s="78" t="s">
        <v>48</v>
      </c>
      <c r="D152" s="43">
        <f t="shared" ref="D152:V152" si="56">+D139+D151</f>
        <v>87049.257291064176</v>
      </c>
      <c r="E152" s="43">
        <f t="shared" si="56"/>
        <v>107144.44907938212</v>
      </c>
      <c r="F152" s="43">
        <f t="shared" si="56"/>
        <v>103222.17802573025</v>
      </c>
      <c r="G152" s="43">
        <f t="shared" si="56"/>
        <v>104840.53674882831</v>
      </c>
      <c r="H152" s="43">
        <f t="shared" si="56"/>
        <v>115975.7436716216</v>
      </c>
      <c r="I152" s="43">
        <f t="shared" si="56"/>
        <v>131528.24919516992</v>
      </c>
      <c r="J152" s="43">
        <f t="shared" si="56"/>
        <v>137412.72123538295</v>
      </c>
      <c r="K152" s="43">
        <f t="shared" si="56"/>
        <v>154523.31587449132</v>
      </c>
      <c r="L152" s="43">
        <f t="shared" si="56"/>
        <v>161126.52200378818</v>
      </c>
      <c r="M152" s="43">
        <f t="shared" si="56"/>
        <v>181566.1171127487</v>
      </c>
      <c r="N152" s="43">
        <f t="shared" si="56"/>
        <v>175019.82938748438</v>
      </c>
      <c r="O152" s="43">
        <f t="shared" si="56"/>
        <v>185333.30397398554</v>
      </c>
      <c r="P152" s="43">
        <f t="shared" si="56"/>
        <v>199398.33553959761</v>
      </c>
      <c r="Q152" s="43">
        <f t="shared" si="56"/>
        <v>222444.21935205965</v>
      </c>
      <c r="R152" s="43">
        <f t="shared" si="56"/>
        <v>239140.18757603591</v>
      </c>
      <c r="S152" s="43">
        <f t="shared" si="56"/>
        <v>236671.14646573365</v>
      </c>
      <c r="T152" s="43">
        <f t="shared" si="56"/>
        <v>230286.43185998854</v>
      </c>
      <c r="U152" s="43">
        <f t="shared" si="56"/>
        <v>245494.64300271889</v>
      </c>
      <c r="V152" s="43">
        <f t="shared" si="56"/>
        <v>251172.50808594923</v>
      </c>
    </row>
    <row r="153" spans="2:22" x14ac:dyDescent="0.2">
      <c r="B153" s="38" t="s">
        <v>49</v>
      </c>
      <c r="C153" s="79" t="s">
        <v>63</v>
      </c>
      <c r="D153" s="44">
        <f t="shared" ref="D153:V153" si="57">+D139+D144+D151</f>
        <v>144823.94642702473</v>
      </c>
      <c r="E153" s="44">
        <f t="shared" si="57"/>
        <v>177965.42105807358</v>
      </c>
      <c r="F153" s="44">
        <f t="shared" si="57"/>
        <v>173529.24039255641</v>
      </c>
      <c r="G153" s="44">
        <f t="shared" si="57"/>
        <v>182398.85436315631</v>
      </c>
      <c r="H153" s="44">
        <f t="shared" si="57"/>
        <v>184832.16509906566</v>
      </c>
      <c r="I153" s="44">
        <f t="shared" si="57"/>
        <v>214062.3695133343</v>
      </c>
      <c r="J153" s="44">
        <f t="shared" si="57"/>
        <v>231984.05350505302</v>
      </c>
      <c r="K153" s="44">
        <f t="shared" si="57"/>
        <v>245376.72050709659</v>
      </c>
      <c r="L153" s="44">
        <f t="shared" si="57"/>
        <v>240933.91748153963</v>
      </c>
      <c r="M153" s="44">
        <f t="shared" si="57"/>
        <v>253471.73694188942</v>
      </c>
      <c r="N153" s="44">
        <f t="shared" si="57"/>
        <v>244239.47116642926</v>
      </c>
      <c r="O153" s="44">
        <f t="shared" si="57"/>
        <v>254810.36317731574</v>
      </c>
      <c r="P153" s="44">
        <f t="shared" si="57"/>
        <v>274181.10071791243</v>
      </c>
      <c r="Q153" s="44">
        <f t="shared" si="57"/>
        <v>298028.7015430365</v>
      </c>
      <c r="R153" s="44">
        <f t="shared" si="57"/>
        <v>316077.30639690167</v>
      </c>
      <c r="S153" s="44">
        <f t="shared" si="57"/>
        <v>320642.72888926906</v>
      </c>
      <c r="T153" s="44">
        <f t="shared" si="57"/>
        <v>298883.17440124409</v>
      </c>
      <c r="U153" s="44">
        <f t="shared" si="57"/>
        <v>326946.98894574825</v>
      </c>
      <c r="V153" s="44">
        <f t="shared" si="57"/>
        <v>309903.68289040431</v>
      </c>
    </row>
    <row r="154" spans="2:22" x14ac:dyDescent="0.2">
      <c r="B154" s="36" t="s">
        <v>64</v>
      </c>
      <c r="C154" s="78" t="s">
        <v>65</v>
      </c>
      <c r="D154" s="43">
        <f t="shared" ref="D154:V154" si="58">+D27</f>
        <v>111608.60828913971</v>
      </c>
      <c r="E154" s="43">
        <f t="shared" si="58"/>
        <v>126836.00359735166</v>
      </c>
      <c r="F154" s="43">
        <f t="shared" si="58"/>
        <v>125535.6463556705</v>
      </c>
      <c r="G154" s="43">
        <f t="shared" si="58"/>
        <v>120222.4742448949</v>
      </c>
      <c r="H154" s="43">
        <f t="shared" si="58"/>
        <v>135849.37310059034</v>
      </c>
      <c r="I154" s="43">
        <f t="shared" si="58"/>
        <v>148961.80122765494</v>
      </c>
      <c r="J154" s="43">
        <f t="shared" si="58"/>
        <v>158024.39403484282</v>
      </c>
      <c r="K154" s="43">
        <f t="shared" si="58"/>
        <v>174909.29901284655</v>
      </c>
      <c r="L154" s="43">
        <f t="shared" si="58"/>
        <v>179512.47955910923</v>
      </c>
      <c r="M154" s="43">
        <f t="shared" si="58"/>
        <v>212730.07307449746</v>
      </c>
      <c r="N154" s="43">
        <f t="shared" si="58"/>
        <v>213805.34485667618</v>
      </c>
      <c r="O154" s="43">
        <f t="shared" si="58"/>
        <v>218778.3015024889</v>
      </c>
      <c r="P154" s="43">
        <f t="shared" si="58"/>
        <v>239900.09297612414</v>
      </c>
      <c r="Q154" s="43">
        <f t="shared" si="58"/>
        <v>263854.59876178595</v>
      </c>
      <c r="R154" s="43">
        <f t="shared" si="58"/>
        <v>283082.7826270329</v>
      </c>
      <c r="S154" s="43">
        <f t="shared" si="58"/>
        <v>272036.76618664712</v>
      </c>
      <c r="T154" s="43">
        <f t="shared" si="58"/>
        <v>260718.05890709959</v>
      </c>
      <c r="U154" s="43">
        <f t="shared" si="58"/>
        <v>274344.81065010943</v>
      </c>
      <c r="V154" s="43">
        <f t="shared" si="58"/>
        <v>277018.29450615123</v>
      </c>
    </row>
    <row r="155" spans="2:22" x14ac:dyDescent="0.2">
      <c r="B155" s="38" t="s">
        <v>66</v>
      </c>
      <c r="C155" s="79" t="s">
        <v>73</v>
      </c>
      <c r="D155" s="45">
        <f t="shared" ref="D155:V155" si="59">+D152/D$27*100</f>
        <v>77.995110435880846</v>
      </c>
      <c r="E155" s="45">
        <f t="shared" si="59"/>
        <v>84.474791100733867</v>
      </c>
      <c r="F155" s="45">
        <f t="shared" si="59"/>
        <v>82.225392565613419</v>
      </c>
      <c r="G155" s="45">
        <f t="shared" si="59"/>
        <v>87.205439255281533</v>
      </c>
      <c r="H155" s="45">
        <f t="shared" si="59"/>
        <v>85.370834641796094</v>
      </c>
      <c r="I155" s="45">
        <f t="shared" si="59"/>
        <v>88.296629143305182</v>
      </c>
      <c r="J155" s="45">
        <f t="shared" si="59"/>
        <v>86.956651265553859</v>
      </c>
      <c r="K155" s="45">
        <f t="shared" si="59"/>
        <v>88.344826002156722</v>
      </c>
      <c r="L155" s="45">
        <f t="shared" si="59"/>
        <v>89.75783878620706</v>
      </c>
      <c r="M155" s="45">
        <f t="shared" si="59"/>
        <v>85.350469958784231</v>
      </c>
      <c r="N155" s="45">
        <f t="shared" si="59"/>
        <v>81.859426622289746</v>
      </c>
      <c r="O155" s="45">
        <f t="shared" si="59"/>
        <v>84.712836099916942</v>
      </c>
      <c r="P155" s="45">
        <f t="shared" si="59"/>
        <v>83.117239791750535</v>
      </c>
      <c r="Q155" s="45">
        <f t="shared" si="59"/>
        <v>84.305606343775523</v>
      </c>
      <c r="R155" s="45">
        <f t="shared" si="59"/>
        <v>84.477121977110059</v>
      </c>
      <c r="S155" s="45">
        <f t="shared" si="59"/>
        <v>86.999691175328579</v>
      </c>
      <c r="T155" s="45">
        <f t="shared" si="59"/>
        <v>88.327764031890638</v>
      </c>
      <c r="U155" s="45">
        <f t="shared" si="59"/>
        <v>89.48397544716633</v>
      </c>
      <c r="V155" s="45">
        <f t="shared" si="59"/>
        <v>90.670007384790935</v>
      </c>
    </row>
    <row r="156" spans="2:22" x14ac:dyDescent="0.2">
      <c r="B156" s="1" t="s">
        <v>52</v>
      </c>
      <c r="C156" s="15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63" spans="2:22" ht="18" customHeight="1" x14ac:dyDescent="0.2">
      <c r="C163" s="131"/>
      <c r="D163" s="164" t="s">
        <v>82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spans="2:22" x14ac:dyDescent="0.2">
      <c r="U164" s="29"/>
      <c r="V164" s="29"/>
    </row>
    <row r="165" spans="2:22" x14ac:dyDescent="0.2">
      <c r="B165" s="167"/>
      <c r="C165" s="161" t="s">
        <v>38</v>
      </c>
      <c r="D165" s="155" t="s">
        <v>27</v>
      </c>
      <c r="E165" s="155" t="s">
        <v>28</v>
      </c>
      <c r="F165" s="155" t="s">
        <v>29</v>
      </c>
      <c r="G165" s="155" t="s">
        <v>30</v>
      </c>
      <c r="H165" s="155">
        <v>2004</v>
      </c>
      <c r="I165" s="155" t="s">
        <v>31</v>
      </c>
      <c r="J165" s="155" t="s">
        <v>32</v>
      </c>
      <c r="K165" s="155" t="s">
        <v>33</v>
      </c>
      <c r="L165" s="155" t="s">
        <v>34</v>
      </c>
      <c r="M165" s="155" t="s">
        <v>35</v>
      </c>
      <c r="N165" s="155">
        <v>2010</v>
      </c>
      <c r="O165" s="155">
        <v>2011</v>
      </c>
      <c r="P165" s="155">
        <v>2012</v>
      </c>
      <c r="Q165" s="155">
        <v>2013</v>
      </c>
      <c r="R165" s="155">
        <v>2014</v>
      </c>
      <c r="S165" s="155">
        <v>2015</v>
      </c>
      <c r="T165" s="155">
        <v>2016</v>
      </c>
      <c r="U165" s="155">
        <v>2017</v>
      </c>
      <c r="V165" s="155">
        <v>2018</v>
      </c>
    </row>
    <row r="166" spans="2:22" ht="12" customHeight="1" thickBot="1" x14ac:dyDescent="0.25">
      <c r="B166" s="156"/>
      <c r="C166" s="162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</row>
    <row r="167" spans="2:22" x14ac:dyDescent="0.2">
      <c r="B167" s="34" t="s">
        <v>39</v>
      </c>
      <c r="C167" s="76" t="s">
        <v>40</v>
      </c>
      <c r="D167" s="46">
        <f t="shared" ref="D167:V167" si="60">+IFERROR(IF(D139&gt;0,+((D139/D14)*100)," "),"")</f>
        <v>84.10397521806108</v>
      </c>
      <c r="E167" s="46">
        <f t="shared" si="60"/>
        <v>92.21156358552598</v>
      </c>
      <c r="F167" s="46">
        <f t="shared" si="60"/>
        <v>90.957888048915009</v>
      </c>
      <c r="G167" s="46">
        <f t="shared" si="60"/>
        <v>92.168210010275658</v>
      </c>
      <c r="H167" s="46">
        <f t="shared" si="60"/>
        <v>90.815257461533065</v>
      </c>
      <c r="I167" s="46">
        <f t="shared" si="60"/>
        <v>93.272477922209731</v>
      </c>
      <c r="J167" s="46">
        <f t="shared" si="60"/>
        <v>93.229649421860984</v>
      </c>
      <c r="K167" s="46">
        <f t="shared" si="60"/>
        <v>94.171277367231994</v>
      </c>
      <c r="L167" s="46">
        <f t="shared" si="60"/>
        <v>94.123025105197726</v>
      </c>
      <c r="M167" s="46">
        <f t="shared" si="60"/>
        <v>89.92864159333628</v>
      </c>
      <c r="N167" s="46">
        <f t="shared" si="60"/>
        <v>84.869130525320941</v>
      </c>
      <c r="O167" s="46">
        <f t="shared" si="60"/>
        <v>90.500590591250869</v>
      </c>
      <c r="P167" s="46">
        <f t="shared" si="60"/>
        <v>89.001779730633871</v>
      </c>
      <c r="Q167" s="46">
        <f t="shared" si="60"/>
        <v>90.160705962389727</v>
      </c>
      <c r="R167" s="46">
        <f t="shared" si="60"/>
        <v>88.965582954051243</v>
      </c>
      <c r="S167" s="46">
        <f t="shared" si="60"/>
        <v>92.320473138139675</v>
      </c>
      <c r="T167" s="46">
        <f t="shared" si="60"/>
        <v>93.123509947562297</v>
      </c>
      <c r="U167" s="46">
        <f t="shared" si="60"/>
        <v>94.023791501673585</v>
      </c>
      <c r="V167" s="46">
        <f t="shared" si="60"/>
        <v>94.108413260149263</v>
      </c>
    </row>
    <row r="168" spans="2:22" x14ac:dyDescent="0.2">
      <c r="B168" s="40"/>
      <c r="C168" s="77" t="s">
        <v>56</v>
      </c>
      <c r="D168" s="47">
        <f t="shared" ref="D168:V168" si="61">+IFERROR(IF(D140&gt;0,+((D140/D15)*100)," "),"")</f>
        <v>93.946929600218681</v>
      </c>
      <c r="E168" s="47">
        <f t="shared" si="61"/>
        <v>95.420317813694922</v>
      </c>
      <c r="F168" s="47">
        <f t="shared" si="61"/>
        <v>95.834692962030218</v>
      </c>
      <c r="G168" s="47">
        <f t="shared" si="61"/>
        <v>96.197098628657201</v>
      </c>
      <c r="H168" s="47">
        <f t="shared" si="61"/>
        <v>94.805799545430318</v>
      </c>
      <c r="I168" s="47">
        <f t="shared" si="61"/>
        <v>97.246159610922462</v>
      </c>
      <c r="J168" s="47">
        <f t="shared" si="61"/>
        <v>97.372358683072662</v>
      </c>
      <c r="K168" s="47">
        <f t="shared" si="61"/>
        <v>97.068740767498909</v>
      </c>
      <c r="L168" s="47">
        <f t="shared" si="61"/>
        <v>96.773031888877611</v>
      </c>
      <c r="M168" s="47">
        <f t="shared" si="61"/>
        <v>96.573247756067332</v>
      </c>
      <c r="N168" s="47">
        <f t="shared" si="61"/>
        <v>94.92634987160973</v>
      </c>
      <c r="O168" s="47">
        <f t="shared" si="61"/>
        <v>97.970037843847365</v>
      </c>
      <c r="P168" s="47">
        <f t="shared" si="61"/>
        <v>95.589611011517434</v>
      </c>
      <c r="Q168" s="47">
        <f t="shared" si="61"/>
        <v>95.39030446437144</v>
      </c>
      <c r="R168" s="47">
        <f t="shared" si="61"/>
        <v>93.989224609970876</v>
      </c>
      <c r="S168" s="47">
        <f t="shared" si="61"/>
        <v>94.794818592853218</v>
      </c>
      <c r="T168" s="47">
        <f t="shared" si="61"/>
        <v>96.371260868402103</v>
      </c>
      <c r="U168" s="47">
        <f t="shared" si="61"/>
        <v>96.991923114970547</v>
      </c>
      <c r="V168" s="47">
        <f t="shared" si="61"/>
        <v>96.492890445079325</v>
      </c>
    </row>
    <row r="169" spans="2:22" x14ac:dyDescent="0.2">
      <c r="B169" s="40"/>
      <c r="C169" s="77" t="s">
        <v>57</v>
      </c>
      <c r="D169" s="47">
        <f t="shared" ref="D169:V169" si="62">+IFERROR(IF(D141&gt;0,+((D141/D16)*100)," "),"")</f>
        <v>62.049241461682392</v>
      </c>
      <c r="E169" s="47">
        <f t="shared" si="62"/>
        <v>74.589381338390268</v>
      </c>
      <c r="F169" s="47">
        <f t="shared" si="62"/>
        <v>65.895619768589938</v>
      </c>
      <c r="G169" s="47">
        <f t="shared" si="62"/>
        <v>69.169502962008195</v>
      </c>
      <c r="H169" s="47">
        <f t="shared" si="62"/>
        <v>61.022711069144286</v>
      </c>
      <c r="I169" s="47">
        <f t="shared" si="62"/>
        <v>63.678421182555823</v>
      </c>
      <c r="J169" s="47">
        <f t="shared" si="62"/>
        <v>71.12197261757062</v>
      </c>
      <c r="K169" s="47">
        <f t="shared" si="62"/>
        <v>83.347231856593311</v>
      </c>
      <c r="L169" s="47">
        <f t="shared" si="62"/>
        <v>85.93263064827849</v>
      </c>
      <c r="M169" s="47">
        <f t="shared" si="62"/>
        <v>81.546627270945876</v>
      </c>
      <c r="N169" s="47">
        <f t="shared" si="62"/>
        <v>83.710283432313204</v>
      </c>
      <c r="O169" s="47">
        <f t="shared" si="62"/>
        <v>83.069163923947485</v>
      </c>
      <c r="P169" s="47">
        <f t="shared" si="62"/>
        <v>82.566764304324394</v>
      </c>
      <c r="Q169" s="47">
        <f t="shared" si="62"/>
        <v>85.482138970657871</v>
      </c>
      <c r="R169" s="47">
        <f t="shared" si="62"/>
        <v>84.072058801258336</v>
      </c>
      <c r="S169" s="47">
        <f t="shared" si="62"/>
        <v>83.76000557110612</v>
      </c>
      <c r="T169" s="47">
        <f t="shared" si="62"/>
        <v>79.856442081929686</v>
      </c>
      <c r="U169" s="47">
        <f t="shared" si="62"/>
        <v>80.880486894157173</v>
      </c>
      <c r="V169" s="47">
        <f t="shared" si="62"/>
        <v>85.19507326585844</v>
      </c>
    </row>
    <row r="170" spans="2:22" x14ac:dyDescent="0.2">
      <c r="B170" s="40"/>
      <c r="C170" s="77" t="s">
        <v>58</v>
      </c>
      <c r="D170" s="47">
        <f t="shared" ref="D170:V170" si="63">+IFERROR(IF(D142&gt;0,+((D142/D17)*100)," "),"")</f>
        <v>82.582894283204226</v>
      </c>
      <c r="E170" s="47">
        <f t="shared" si="63"/>
        <v>92.660432250008682</v>
      </c>
      <c r="F170" s="47">
        <f t="shared" si="63"/>
        <v>91.74773161232774</v>
      </c>
      <c r="G170" s="47">
        <f t="shared" si="63"/>
        <v>93.094774772227154</v>
      </c>
      <c r="H170" s="47">
        <f t="shared" si="63"/>
        <v>92.436124887360762</v>
      </c>
      <c r="I170" s="47">
        <f t="shared" si="63"/>
        <v>94.806521097413295</v>
      </c>
      <c r="J170" s="47">
        <f t="shared" si="63"/>
        <v>94.059506773517853</v>
      </c>
      <c r="K170" s="47">
        <f t="shared" si="63"/>
        <v>94.353248742661293</v>
      </c>
      <c r="L170" s="47">
        <f t="shared" si="63"/>
        <v>94.101493245540709</v>
      </c>
      <c r="M170" s="47">
        <f t="shared" si="63"/>
        <v>88.909439563895418</v>
      </c>
      <c r="N170" s="47">
        <f t="shared" si="63"/>
        <v>82.418982596477846</v>
      </c>
      <c r="O170" s="47">
        <f t="shared" si="63"/>
        <v>89.223718343104977</v>
      </c>
      <c r="P170" s="47">
        <f t="shared" si="63"/>
        <v>87.7788681933731</v>
      </c>
      <c r="Q170" s="47">
        <f t="shared" si="63"/>
        <v>89.143036194276021</v>
      </c>
      <c r="R170" s="47">
        <f t="shared" si="63"/>
        <v>87.992116931480425</v>
      </c>
      <c r="S170" s="47">
        <f t="shared" si="63"/>
        <v>92.371746355800369</v>
      </c>
      <c r="T170" s="47">
        <f t="shared" si="63"/>
        <v>93.320097538105642</v>
      </c>
      <c r="U170" s="47">
        <f t="shared" si="63"/>
        <v>94.208528728716445</v>
      </c>
      <c r="V170" s="47">
        <f t="shared" si="63"/>
        <v>94.11890613634462</v>
      </c>
    </row>
    <row r="171" spans="2:22" x14ac:dyDescent="0.2">
      <c r="B171" s="40"/>
      <c r="C171" s="77" t="s">
        <v>59</v>
      </c>
      <c r="D171" s="47">
        <f t="shared" ref="D171:V171" si="64">+IFERROR(IF(D143&gt;0,+((D143/D18)*100)," "),"")</f>
        <v>43.135692616661643</v>
      </c>
      <c r="E171" s="47">
        <f t="shared" si="64"/>
        <v>49.789514989853892</v>
      </c>
      <c r="F171" s="47">
        <f t="shared" si="64"/>
        <v>54.798277761666078</v>
      </c>
      <c r="G171" s="47">
        <f t="shared" si="64"/>
        <v>35.623816442857432</v>
      </c>
      <c r="H171" s="47">
        <f t="shared" si="64"/>
        <v>67.826064067737818</v>
      </c>
      <c r="I171" s="47">
        <f t="shared" si="64"/>
        <v>59.551149323585065</v>
      </c>
      <c r="J171" s="47">
        <f t="shared" si="64"/>
        <v>80.864874567737317</v>
      </c>
      <c r="K171" s="47">
        <f t="shared" si="64"/>
        <v>77.183032333525929</v>
      </c>
      <c r="L171" s="47">
        <f t="shared" si="64"/>
        <v>93.111338722006295</v>
      </c>
      <c r="M171" s="47">
        <f t="shared" si="64"/>
        <v>85.427795867890438</v>
      </c>
      <c r="N171" s="47">
        <f t="shared" si="64"/>
        <v>86.63747164260792</v>
      </c>
      <c r="O171" s="47">
        <f t="shared" si="64"/>
        <v>32.321540782634969</v>
      </c>
      <c r="P171" s="47">
        <f t="shared" si="64"/>
        <v>87.275451391874952</v>
      </c>
      <c r="Q171" s="47">
        <f t="shared" si="64"/>
        <v>83.820322722136027</v>
      </c>
      <c r="R171" s="47">
        <f t="shared" si="64"/>
        <v>91.013256260847825</v>
      </c>
      <c r="S171" s="47">
        <f t="shared" si="64"/>
        <v>75.07269510505138</v>
      </c>
      <c r="T171" s="47">
        <f t="shared" si="64"/>
        <v>77.886322441278239</v>
      </c>
      <c r="U171" s="47">
        <f t="shared" si="64"/>
        <v>71.305126839778239</v>
      </c>
      <c r="V171" s="47">
        <f t="shared" si="64"/>
        <v>66.31373440460807</v>
      </c>
    </row>
    <row r="172" spans="2:22" x14ac:dyDescent="0.2">
      <c r="B172" s="34" t="s">
        <v>41</v>
      </c>
      <c r="C172" s="76" t="s">
        <v>42</v>
      </c>
      <c r="D172" s="46">
        <f t="shared" ref="D172:V172" si="65">+IFERROR(IF(D144&gt;0,+((D144/D19)*100)," "),"")</f>
        <v>93.781049295227547</v>
      </c>
      <c r="E172" s="46">
        <f t="shared" si="65"/>
        <v>95.464425982834328</v>
      </c>
      <c r="F172" s="46">
        <f t="shared" si="65"/>
        <v>94.505682792375694</v>
      </c>
      <c r="G172" s="46">
        <f t="shared" si="65"/>
        <v>93.246114551835845</v>
      </c>
      <c r="H172" s="46">
        <f t="shared" si="65"/>
        <v>88.803421516639929</v>
      </c>
      <c r="I172" s="46">
        <f t="shared" si="65"/>
        <v>95.093642712760825</v>
      </c>
      <c r="J172" s="46">
        <f t="shared" si="65"/>
        <v>92.279225504785884</v>
      </c>
      <c r="K172" s="46">
        <f t="shared" si="65"/>
        <v>92.770238413068455</v>
      </c>
      <c r="L172" s="46">
        <f t="shared" si="65"/>
        <v>88.726633775816637</v>
      </c>
      <c r="M172" s="46">
        <f t="shared" si="65"/>
        <v>85.619519306227801</v>
      </c>
      <c r="N172" s="46">
        <f t="shared" si="65"/>
        <v>78.941204808407093</v>
      </c>
      <c r="O172" s="46">
        <f t="shared" si="65"/>
        <v>93.175715659235209</v>
      </c>
      <c r="P172" s="46">
        <f t="shared" si="65"/>
        <v>99.281676160306603</v>
      </c>
      <c r="Q172" s="46">
        <f t="shared" si="65"/>
        <v>83.621612866424243</v>
      </c>
      <c r="R172" s="46">
        <f t="shared" si="65"/>
        <v>95.964650242899125</v>
      </c>
      <c r="S172" s="46">
        <f t="shared" si="65"/>
        <v>97.488338216572615</v>
      </c>
      <c r="T172" s="46">
        <f t="shared" si="65"/>
        <v>84.705646435075906</v>
      </c>
      <c r="U172" s="46">
        <f t="shared" si="65"/>
        <v>97.783819180810042</v>
      </c>
      <c r="V172" s="46">
        <f t="shared" si="65"/>
        <v>75.901266755676971</v>
      </c>
    </row>
    <row r="173" spans="2:22" x14ac:dyDescent="0.2">
      <c r="B173" s="34"/>
      <c r="C173" s="76" t="s">
        <v>43</v>
      </c>
      <c r="D173" s="46">
        <f t="shared" ref="D173:V173" si="66">+IFERROR(IF(D145&gt;0,+((D145/D20)*100)," "),"")</f>
        <v>96.198989813074192</v>
      </c>
      <c r="E173" s="46">
        <f t="shared" si="66"/>
        <v>96.475945599188066</v>
      </c>
      <c r="F173" s="46">
        <f t="shared" si="66"/>
        <v>96.554408155587581</v>
      </c>
      <c r="G173" s="46">
        <f t="shared" si="66"/>
        <v>90.582315563965935</v>
      </c>
      <c r="H173" s="46">
        <f t="shared" si="66"/>
        <v>77.740346208128983</v>
      </c>
      <c r="I173" s="46">
        <f t="shared" si="66"/>
        <v>92.422462767896107</v>
      </c>
      <c r="J173" s="46">
        <f t="shared" si="66"/>
        <v>82.741864731394529</v>
      </c>
      <c r="K173" s="46">
        <f t="shared" si="66"/>
        <v>88.758275931589012</v>
      </c>
      <c r="L173" s="46">
        <f t="shared" si="66"/>
        <v>82.567002503368144</v>
      </c>
      <c r="M173" s="46">
        <f t="shared" si="66"/>
        <v>76.053508081821292</v>
      </c>
      <c r="N173" s="46">
        <f t="shared" si="66"/>
        <v>75.829422316973549</v>
      </c>
      <c r="O173" s="46">
        <f t="shared" si="66"/>
        <v>76.814730054173609</v>
      </c>
      <c r="P173" s="46">
        <f t="shared" si="66"/>
        <v>98.666781169988155</v>
      </c>
      <c r="Q173" s="46">
        <f t="shared" si="66"/>
        <v>90.585785410277452</v>
      </c>
      <c r="R173" s="46">
        <f t="shared" si="66"/>
        <v>91.585464098950084</v>
      </c>
      <c r="S173" s="46">
        <f t="shared" si="66"/>
        <v>97.494543602186155</v>
      </c>
      <c r="T173" s="46">
        <f t="shared" si="66"/>
        <v>95.719919508910493</v>
      </c>
      <c r="U173" s="46">
        <f t="shared" si="66"/>
        <v>97.003269744020542</v>
      </c>
      <c r="V173" s="46">
        <f t="shared" si="66"/>
        <v>85.895680396572388</v>
      </c>
    </row>
    <row r="174" spans="2:22" x14ac:dyDescent="0.2">
      <c r="B174" s="32"/>
      <c r="C174" s="77" t="s">
        <v>60</v>
      </c>
      <c r="D174" s="47">
        <f t="shared" ref="D174:V174" si="67">+IFERROR(IF(D146&gt;0,+((D146/D21)*100)," "),"")</f>
        <v>96.19157938694471</v>
      </c>
      <c r="E174" s="47">
        <f t="shared" si="67"/>
        <v>96.730291822546747</v>
      </c>
      <c r="F174" s="47">
        <f t="shared" si="67"/>
        <v>97.074440552782761</v>
      </c>
      <c r="G174" s="47">
        <f t="shared" si="67"/>
        <v>95.38774995591244</v>
      </c>
      <c r="H174" s="47">
        <f t="shared" si="67"/>
        <v>83.847310253293756</v>
      </c>
      <c r="I174" s="47">
        <f t="shared" si="67"/>
        <v>95.588838091775614</v>
      </c>
      <c r="J174" s="47">
        <f t="shared" si="67"/>
        <v>87.034933659483173</v>
      </c>
      <c r="K174" s="47">
        <f t="shared" si="67"/>
        <v>89.778217858396317</v>
      </c>
      <c r="L174" s="47">
        <f t="shared" si="67"/>
        <v>81.6544642311502</v>
      </c>
      <c r="M174" s="47">
        <f t="shared" si="67"/>
        <v>80.791488557833858</v>
      </c>
      <c r="N174" s="47">
        <f t="shared" si="67"/>
        <v>84.50683065399059</v>
      </c>
      <c r="O174" s="47">
        <f t="shared" si="67"/>
        <v>72.392791754302294</v>
      </c>
      <c r="P174" s="47">
        <f t="shared" si="67"/>
        <v>99.972607949259185</v>
      </c>
      <c r="Q174" s="47">
        <f t="shared" si="67"/>
        <v>96.233632350553137</v>
      </c>
      <c r="R174" s="47">
        <f t="shared" si="67"/>
        <v>95.647656136918741</v>
      </c>
      <c r="S174" s="47">
        <f t="shared" si="67"/>
        <v>98.292365979621977</v>
      </c>
      <c r="T174" s="47">
        <f t="shared" si="67"/>
        <v>96.016320348965735</v>
      </c>
      <c r="U174" s="47">
        <f t="shared" si="67"/>
        <v>97.185664731607318</v>
      </c>
      <c r="V174" s="47">
        <f t="shared" si="67"/>
        <v>96.431337057915314</v>
      </c>
    </row>
    <row r="175" spans="2:22" x14ac:dyDescent="0.2">
      <c r="B175" s="32"/>
      <c r="C175" s="77" t="s">
        <v>61</v>
      </c>
      <c r="D175" s="47">
        <f t="shared" ref="D175:V175" si="68">+IFERROR(IF(D147&gt;0,+((D147/D22)*100)," "),"")</f>
        <v>96.206593740873586</v>
      </c>
      <c r="E175" s="47">
        <f t="shared" si="68"/>
        <v>96.148113348520326</v>
      </c>
      <c r="F175" s="47">
        <f t="shared" si="68"/>
        <v>95.789021336607078</v>
      </c>
      <c r="G175" s="47">
        <f t="shared" si="68"/>
        <v>83.59118128280484</v>
      </c>
      <c r="H175" s="47">
        <f t="shared" si="68"/>
        <v>72.208784412587946</v>
      </c>
      <c r="I175" s="47">
        <f t="shared" si="68"/>
        <v>86.436605115464133</v>
      </c>
      <c r="J175" s="47">
        <f t="shared" si="68"/>
        <v>78.265197707717604</v>
      </c>
      <c r="K175" s="47">
        <f t="shared" si="68"/>
        <v>87.808229427853945</v>
      </c>
      <c r="L175" s="47">
        <f t="shared" si="68"/>
        <v>83.495942830691064</v>
      </c>
      <c r="M175" s="47">
        <f t="shared" si="68"/>
        <v>72.737561631635472</v>
      </c>
      <c r="N175" s="47">
        <f t="shared" si="68"/>
        <v>68.730004685953361</v>
      </c>
      <c r="O175" s="47">
        <f t="shared" si="68"/>
        <v>80.151529236555191</v>
      </c>
      <c r="P175" s="47">
        <f t="shared" si="68"/>
        <v>97.267509218108913</v>
      </c>
      <c r="Q175" s="47">
        <f t="shared" si="68"/>
        <v>86.500648773277035</v>
      </c>
      <c r="R175" s="47">
        <f t="shared" si="68"/>
        <v>86.558979126753727</v>
      </c>
      <c r="S175" s="47">
        <f t="shared" si="68"/>
        <v>96.535674168378478</v>
      </c>
      <c r="T175" s="47">
        <f t="shared" si="68"/>
        <v>95.547664192381006</v>
      </c>
      <c r="U175" s="47">
        <f t="shared" si="68"/>
        <v>96.78275665260982</v>
      </c>
      <c r="V175" s="47">
        <f t="shared" si="68"/>
        <v>81.896618647176766</v>
      </c>
    </row>
    <row r="176" spans="2:22" x14ac:dyDescent="0.2">
      <c r="B176" s="34"/>
      <c r="C176" s="76" t="s">
        <v>44</v>
      </c>
      <c r="D176" s="46">
        <f t="shared" ref="D176:V176" si="69">+IFERROR(IF(D148&gt;0,+((D148/D23)*100)," "),"")</f>
        <v>92.694343859089159</v>
      </c>
      <c r="E176" s="46">
        <f t="shared" si="69"/>
        <v>94.868776188129459</v>
      </c>
      <c r="F176" s="46">
        <f t="shared" si="69"/>
        <v>93.035589016434812</v>
      </c>
      <c r="G176" s="46">
        <f t="shared" si="69"/>
        <v>95.7872217661522</v>
      </c>
      <c r="H176" s="46">
        <f t="shared" si="69"/>
        <v>94.754946292863679</v>
      </c>
      <c r="I176" s="46">
        <f t="shared" si="69"/>
        <v>96.989851767550462</v>
      </c>
      <c r="J176" s="46">
        <f t="shared" si="69"/>
        <v>95.856434706379218</v>
      </c>
      <c r="K176" s="46">
        <f t="shared" si="69"/>
        <v>93.749664464033714</v>
      </c>
      <c r="L176" s="46">
        <f t="shared" si="69"/>
        <v>90.370643577939376</v>
      </c>
      <c r="M176" s="46">
        <f t="shared" si="69"/>
        <v>88.369589594037762</v>
      </c>
      <c r="N176" s="46">
        <f t="shared" si="69"/>
        <v>79.799115475464092</v>
      </c>
      <c r="O176" s="46">
        <f t="shared" si="69"/>
        <v>97.260848634677231</v>
      </c>
      <c r="P176" s="46">
        <f t="shared" si="69"/>
        <v>99.416846635365232</v>
      </c>
      <c r="Q176" s="46">
        <f t="shared" si="69"/>
        <v>82.309922915353411</v>
      </c>
      <c r="R176" s="46">
        <f t="shared" si="69"/>
        <v>97.200336065691118</v>
      </c>
      <c r="S176" s="46">
        <f t="shared" si="69"/>
        <v>97.486409671854034</v>
      </c>
      <c r="T176" s="46">
        <f t="shared" si="69"/>
        <v>81.826980109359468</v>
      </c>
      <c r="U176" s="46">
        <f t="shared" si="69"/>
        <v>98.099679084406858</v>
      </c>
      <c r="V176" s="46">
        <f t="shared" si="69"/>
        <v>72.86268390119811</v>
      </c>
    </row>
    <row r="177" spans="2:22" x14ac:dyDescent="0.2">
      <c r="B177" s="32"/>
      <c r="C177" s="77" t="s">
        <v>60</v>
      </c>
      <c r="D177" s="47">
        <f t="shared" ref="D177:V177" si="70">+IFERROR(IF(D149&gt;0,+((D149/D24)*100)," "),"")</f>
        <v>93.942796411380172</v>
      </c>
      <c r="E177" s="47">
        <f t="shared" si="70"/>
        <v>93.186872567463141</v>
      </c>
      <c r="F177" s="47">
        <f t="shared" si="70"/>
        <v>89.841658119520403</v>
      </c>
      <c r="G177" s="47">
        <f t="shared" si="70"/>
        <v>98.168759683514267</v>
      </c>
      <c r="H177" s="47">
        <f t="shared" si="70"/>
        <v>96.825972395658894</v>
      </c>
      <c r="I177" s="47">
        <f t="shared" si="70"/>
        <v>98.411048795199221</v>
      </c>
      <c r="J177" s="47">
        <f t="shared" si="70"/>
        <v>96.681153494385683</v>
      </c>
      <c r="K177" s="47">
        <f t="shared" si="70"/>
        <v>92.691548780812681</v>
      </c>
      <c r="L177" s="47">
        <f t="shared" si="70"/>
        <v>86.739612993999941</v>
      </c>
      <c r="M177" s="47">
        <f t="shared" si="70"/>
        <v>84.002422191508757</v>
      </c>
      <c r="N177" s="47">
        <f t="shared" si="70"/>
        <v>75.15627415025935</v>
      </c>
      <c r="O177" s="47">
        <f t="shared" si="70"/>
        <v>96.203523666727321</v>
      </c>
      <c r="P177" s="47">
        <f t="shared" si="70"/>
        <v>99.15851026280707</v>
      </c>
      <c r="Q177" s="47">
        <f t="shared" si="70"/>
        <v>78.083374762535001</v>
      </c>
      <c r="R177" s="47">
        <f t="shared" si="70"/>
        <v>96.987061443767146</v>
      </c>
      <c r="S177" s="47">
        <f t="shared" si="70"/>
        <v>99.357688562808406</v>
      </c>
      <c r="T177" s="47">
        <f t="shared" si="70"/>
        <v>69.59247954407229</v>
      </c>
      <c r="U177" s="47">
        <f t="shared" si="70"/>
        <v>99.756125829008369</v>
      </c>
      <c r="V177" s="47">
        <f t="shared" si="70"/>
        <v>50.126506666459662</v>
      </c>
    </row>
    <row r="178" spans="2:22" x14ac:dyDescent="0.2">
      <c r="B178" s="32"/>
      <c r="C178" s="77" t="s">
        <v>61</v>
      </c>
      <c r="D178" s="47">
        <f t="shared" ref="D178:V178" si="71">+IFERROR(IF(D150&gt;0,+((D150/D25)*100)," "),"")</f>
        <v>91.102366925648539</v>
      </c>
      <c r="E178" s="47">
        <f t="shared" si="71"/>
        <v>97.666186675538356</v>
      </c>
      <c r="F178" s="47">
        <f t="shared" si="71"/>
        <v>97.976535886517141</v>
      </c>
      <c r="G178" s="47">
        <f t="shared" si="71"/>
        <v>93.300677322914254</v>
      </c>
      <c r="H178" s="47">
        <f t="shared" si="71"/>
        <v>92.17827159641125</v>
      </c>
      <c r="I178" s="47">
        <f t="shared" si="71"/>
        <v>95.440733389813332</v>
      </c>
      <c r="J178" s="47">
        <f t="shared" si="71"/>
        <v>94.594246252874811</v>
      </c>
      <c r="K178" s="47">
        <f t="shared" si="71"/>
        <v>95.371861823073445</v>
      </c>
      <c r="L178" s="47">
        <f t="shared" si="71"/>
        <v>95.936528259526781</v>
      </c>
      <c r="M178" s="47">
        <f t="shared" si="71"/>
        <v>93.881856277093746</v>
      </c>
      <c r="N178" s="47">
        <f t="shared" si="71"/>
        <v>86.231241970274596</v>
      </c>
      <c r="O178" s="47">
        <f t="shared" si="71"/>
        <v>98.431515785492351</v>
      </c>
      <c r="P178" s="47">
        <f t="shared" si="71"/>
        <v>99.743714906886666</v>
      </c>
      <c r="Q178" s="47">
        <f t="shared" si="71"/>
        <v>88.88062684744763</v>
      </c>
      <c r="R178" s="47">
        <f t="shared" si="71"/>
        <v>97.468255830619782</v>
      </c>
      <c r="S178" s="47">
        <f t="shared" si="71"/>
        <v>95.014147923672553</v>
      </c>
      <c r="T178" s="47">
        <f t="shared" si="71"/>
        <v>96.071361489449629</v>
      </c>
      <c r="U178" s="47">
        <f t="shared" si="71"/>
        <v>96.56773715329976</v>
      </c>
      <c r="V178" s="47">
        <f t="shared" si="71"/>
        <v>90.612033527115145</v>
      </c>
    </row>
    <row r="179" spans="2:22" x14ac:dyDescent="0.2">
      <c r="B179" s="34" t="s">
        <v>45</v>
      </c>
      <c r="C179" s="76" t="s">
        <v>46</v>
      </c>
      <c r="D179" s="46">
        <f t="shared" ref="D179:V179" si="72">+IFERROR(IF(D151&gt;0,+((D151/D26)*100)," "),"")</f>
        <v>49.518796976516306</v>
      </c>
      <c r="E179" s="46">
        <f t="shared" si="72"/>
        <v>59.611200935830155</v>
      </c>
      <c r="F179" s="46">
        <f t="shared" si="72"/>
        <v>46.970355820624242</v>
      </c>
      <c r="G179" s="46">
        <f t="shared" si="72"/>
        <v>60.898613511666909</v>
      </c>
      <c r="H179" s="46">
        <f t="shared" si="72"/>
        <v>58.614949680972352</v>
      </c>
      <c r="I179" s="46">
        <f t="shared" si="72"/>
        <v>63.86622807786847</v>
      </c>
      <c r="J179" s="46">
        <f t="shared" si="72"/>
        <v>58.201276219852168</v>
      </c>
      <c r="K179" s="46">
        <f t="shared" si="72"/>
        <v>68.800021416312717</v>
      </c>
      <c r="L179" s="46">
        <f t="shared" si="72"/>
        <v>73.238123681284733</v>
      </c>
      <c r="M179" s="46">
        <f t="shared" si="72"/>
        <v>71.808440762541807</v>
      </c>
      <c r="N179" s="46">
        <f t="shared" si="72"/>
        <v>68.787668702205465</v>
      </c>
      <c r="O179" s="46">
        <f t="shared" si="72"/>
        <v>66.636864632228651</v>
      </c>
      <c r="P179" s="46">
        <f t="shared" si="72"/>
        <v>66.140001945763331</v>
      </c>
      <c r="Q179" s="46">
        <f t="shared" si="72"/>
        <v>68.237607228302991</v>
      </c>
      <c r="R179" s="46">
        <f t="shared" si="72"/>
        <v>72.142620167932236</v>
      </c>
      <c r="S179" s="46">
        <f t="shared" si="72"/>
        <v>72.450871376606258</v>
      </c>
      <c r="T179" s="46">
        <f t="shared" si="72"/>
        <v>71.538721199321969</v>
      </c>
      <c r="U179" s="46">
        <f t="shared" si="72"/>
        <v>70.439284678588749</v>
      </c>
      <c r="V179" s="46">
        <f t="shared" si="72"/>
        <v>75.046546211201274</v>
      </c>
    </row>
    <row r="180" spans="2:22" x14ac:dyDescent="0.2">
      <c r="B180" s="36" t="s">
        <v>47</v>
      </c>
      <c r="C180" s="78" t="s">
        <v>48</v>
      </c>
      <c r="D180" s="48">
        <f t="shared" ref="D180:V180" si="73">+IFERROR(IF(D152&gt;0,+((D152/D27)*100)," "),"")</f>
        <v>77.995110435880846</v>
      </c>
      <c r="E180" s="48">
        <f t="shared" si="73"/>
        <v>84.474791100733867</v>
      </c>
      <c r="F180" s="48">
        <f t="shared" si="73"/>
        <v>82.225392565613419</v>
      </c>
      <c r="G180" s="48">
        <f t="shared" si="73"/>
        <v>87.205439255281533</v>
      </c>
      <c r="H180" s="48">
        <f t="shared" si="73"/>
        <v>85.370834641796094</v>
      </c>
      <c r="I180" s="48">
        <f t="shared" si="73"/>
        <v>88.296629143305182</v>
      </c>
      <c r="J180" s="48">
        <f t="shared" si="73"/>
        <v>86.956651265553859</v>
      </c>
      <c r="K180" s="48">
        <f t="shared" si="73"/>
        <v>88.344826002156722</v>
      </c>
      <c r="L180" s="48">
        <f t="shared" si="73"/>
        <v>89.75783878620706</v>
      </c>
      <c r="M180" s="48">
        <f t="shared" si="73"/>
        <v>85.350469958784231</v>
      </c>
      <c r="N180" s="48">
        <f t="shared" si="73"/>
        <v>81.859426622289746</v>
      </c>
      <c r="O180" s="48">
        <f t="shared" si="73"/>
        <v>84.712836099916942</v>
      </c>
      <c r="P180" s="48">
        <f t="shared" si="73"/>
        <v>83.117239791750535</v>
      </c>
      <c r="Q180" s="48">
        <f t="shared" si="73"/>
        <v>84.305606343775523</v>
      </c>
      <c r="R180" s="48">
        <f t="shared" si="73"/>
        <v>84.477121977110059</v>
      </c>
      <c r="S180" s="48">
        <f t="shared" si="73"/>
        <v>86.999691175328579</v>
      </c>
      <c r="T180" s="48">
        <f t="shared" si="73"/>
        <v>88.327764031890638</v>
      </c>
      <c r="U180" s="48">
        <f t="shared" si="73"/>
        <v>89.48397544716633</v>
      </c>
      <c r="V180" s="48">
        <f t="shared" si="73"/>
        <v>90.670007384790935</v>
      </c>
    </row>
    <row r="181" spans="2:22" x14ac:dyDescent="0.2">
      <c r="B181" s="38" t="s">
        <v>49</v>
      </c>
      <c r="C181" s="66" t="s">
        <v>63</v>
      </c>
      <c r="D181" s="45">
        <f t="shared" ref="D181:V181" si="74">+IFERROR(IF(D153&gt;0,+((D153/D28)*100)," "),"")</f>
        <v>83.609578313762682</v>
      </c>
      <c r="E181" s="45">
        <f t="shared" si="74"/>
        <v>88.53044221778805</v>
      </c>
      <c r="F181" s="45">
        <f t="shared" si="74"/>
        <v>86.794920125618546</v>
      </c>
      <c r="G181" s="45">
        <f t="shared" si="74"/>
        <v>89.675659053647777</v>
      </c>
      <c r="H181" s="45">
        <f t="shared" si="74"/>
        <v>86.618124851174855</v>
      </c>
      <c r="I181" s="45">
        <f t="shared" si="74"/>
        <v>90.798936264634335</v>
      </c>
      <c r="J181" s="45">
        <f t="shared" si="74"/>
        <v>89.050550459458989</v>
      </c>
      <c r="K181" s="45">
        <f t="shared" si="74"/>
        <v>89.933275221928952</v>
      </c>
      <c r="L181" s="45">
        <f t="shared" si="74"/>
        <v>89.413615803986133</v>
      </c>
      <c r="M181" s="45">
        <f t="shared" si="74"/>
        <v>85.426622725854031</v>
      </c>
      <c r="N181" s="45">
        <f t="shared" si="74"/>
        <v>81.010694961041878</v>
      </c>
      <c r="O181" s="45">
        <f t="shared" si="74"/>
        <v>86.864030915740969</v>
      </c>
      <c r="P181" s="45">
        <f t="shared" si="74"/>
        <v>86.979787080972088</v>
      </c>
      <c r="Q181" s="45">
        <f t="shared" si="74"/>
        <v>84.131078618275794</v>
      </c>
      <c r="R181" s="45">
        <f t="shared" si="74"/>
        <v>87.01248097736179</v>
      </c>
      <c r="S181" s="45">
        <f t="shared" si="74"/>
        <v>89.522055350808884</v>
      </c>
      <c r="T181" s="45">
        <f t="shared" si="74"/>
        <v>87.469327878080506</v>
      </c>
      <c r="U181" s="45">
        <f t="shared" si="74"/>
        <v>91.417085350407731</v>
      </c>
      <c r="V181" s="45">
        <f t="shared" si="74"/>
        <v>87.44542495937057</v>
      </c>
    </row>
    <row r="182" spans="2:22" x14ac:dyDescent="0.2">
      <c r="B182" s="1" t="s">
        <v>52</v>
      </c>
      <c r="C182" s="15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81">
    <mergeCell ref="J165:J166"/>
    <mergeCell ref="B12:B13"/>
    <mergeCell ref="C137:C138"/>
    <mergeCell ref="B11:V11"/>
    <mergeCell ref="B165:B166"/>
    <mergeCell ref="T165:T166"/>
    <mergeCell ref="L12:L13"/>
    <mergeCell ref="Q64:Q65"/>
    <mergeCell ref="V165:V166"/>
    <mergeCell ref="N12:N13"/>
    <mergeCell ref="T87:T88"/>
    <mergeCell ref="M165:M166"/>
    <mergeCell ref="D38:D39"/>
    <mergeCell ref="O165:O166"/>
    <mergeCell ref="G12:G13"/>
    <mergeCell ref="D163:V163"/>
    <mergeCell ref="G165:G166"/>
    <mergeCell ref="E64:E65"/>
    <mergeCell ref="E38:E39"/>
    <mergeCell ref="P165:P166"/>
    <mergeCell ref="R165:R166"/>
    <mergeCell ref="D111:V111"/>
    <mergeCell ref="E165:E166"/>
    <mergeCell ref="V87:V88"/>
    <mergeCell ref="P6:P7"/>
    <mergeCell ref="R6:R7"/>
    <mergeCell ref="E137:E138"/>
    <mergeCell ref="G137:G138"/>
    <mergeCell ref="E87:E88"/>
    <mergeCell ref="R12:R13"/>
    <mergeCell ref="G87:G88"/>
    <mergeCell ref="Q38:Q39"/>
    <mergeCell ref="T12:T13"/>
    <mergeCell ref="S38:S39"/>
    <mergeCell ref="S137:S138"/>
    <mergeCell ref="B37:V37"/>
    <mergeCell ref="T64:T65"/>
    <mergeCell ref="D87:D88"/>
    <mergeCell ref="J137:J138"/>
    <mergeCell ref="V137:V138"/>
    <mergeCell ref="E113:E114"/>
    <mergeCell ref="L38:L39"/>
    <mergeCell ref="G113:G114"/>
    <mergeCell ref="N38:N39"/>
    <mergeCell ref="B64:B65"/>
    <mergeCell ref="D64:D65"/>
    <mergeCell ref="F64:F65"/>
    <mergeCell ref="E12:E13"/>
    <mergeCell ref="M137:M138"/>
    <mergeCell ref="O137:O138"/>
    <mergeCell ref="D85:V85"/>
    <mergeCell ref="J113:J114"/>
    <mergeCell ref="L113:L114"/>
    <mergeCell ref="G64:G65"/>
    <mergeCell ref="D12:D13"/>
    <mergeCell ref="S87:S88"/>
    <mergeCell ref="H12:H13"/>
    <mergeCell ref="D62:V63"/>
    <mergeCell ref="J12:J13"/>
    <mergeCell ref="I38:I39"/>
    <mergeCell ref="P87:P88"/>
    <mergeCell ref="D165:D166"/>
    <mergeCell ref="C38:C39"/>
    <mergeCell ref="C64:C65"/>
    <mergeCell ref="F12:F13"/>
    <mergeCell ref="K113:K114"/>
    <mergeCell ref="Q165:Q166"/>
    <mergeCell ref="I165:I166"/>
    <mergeCell ref="K165:K166"/>
    <mergeCell ref="Q137:Q138"/>
    <mergeCell ref="C165:C166"/>
    <mergeCell ref="C87:C88"/>
    <mergeCell ref="P64:P65"/>
    <mergeCell ref="J64:J65"/>
    <mergeCell ref="F137:F138"/>
    <mergeCell ref="H137:H138"/>
    <mergeCell ref="P38:P39"/>
    <mergeCell ref="H38:H39"/>
    <mergeCell ref="C113:C114"/>
    <mergeCell ref="J38:J39"/>
    <mergeCell ref="B136:V136"/>
    <mergeCell ref="R87:R88"/>
    <mergeCell ref="G38:G39"/>
    <mergeCell ref="J87:J88"/>
    <mergeCell ref="L87:L88"/>
    <mergeCell ref="U165:U166"/>
    <mergeCell ref="M12:M13"/>
    <mergeCell ref="R113:R114"/>
    <mergeCell ref="G6:G7"/>
    <mergeCell ref="O12:O13"/>
    <mergeCell ref="U87:U88"/>
    <mergeCell ref="T113:T114"/>
    <mergeCell ref="Q6:Q7"/>
    <mergeCell ref="O64:O65"/>
    <mergeCell ref="S6:S7"/>
    <mergeCell ref="N6:N7"/>
    <mergeCell ref="S113:S114"/>
    <mergeCell ref="U113:U114"/>
    <mergeCell ref="R64:R65"/>
    <mergeCell ref="U137:U138"/>
    <mergeCell ref="R137:R138"/>
    <mergeCell ref="R38:R39"/>
    <mergeCell ref="T137:T138"/>
    <mergeCell ref="I6:I7"/>
    <mergeCell ref="K6:K7"/>
    <mergeCell ref="Q12:Q13"/>
    <mergeCell ref="S12:S13"/>
    <mergeCell ref="U6:U7"/>
    <mergeCell ref="L137:L138"/>
    <mergeCell ref="F165:F166"/>
    <mergeCell ref="S64:S65"/>
    <mergeCell ref="D36:V36"/>
    <mergeCell ref="P12:P13"/>
    <mergeCell ref="U64:U65"/>
    <mergeCell ref="T6:T7"/>
    <mergeCell ref="I137:I138"/>
    <mergeCell ref="K137:K138"/>
    <mergeCell ref="U38:U39"/>
    <mergeCell ref="M38:M39"/>
    <mergeCell ref="H113:H114"/>
    <mergeCell ref="O38:O39"/>
    <mergeCell ref="H165:H166"/>
    <mergeCell ref="D135:V135"/>
    <mergeCell ref="F87:F88"/>
    <mergeCell ref="D6:D7"/>
    <mergeCell ref="F6:F7"/>
    <mergeCell ref="O87:O88"/>
    <mergeCell ref="Q87:Q88"/>
    <mergeCell ref="B86:V86"/>
    <mergeCell ref="L165:L166"/>
    <mergeCell ref="I113:I114"/>
    <mergeCell ref="N165:N166"/>
    <mergeCell ref="F113:F114"/>
    <mergeCell ref="H6:H7"/>
    <mergeCell ref="M113:M114"/>
    <mergeCell ref="J6:J7"/>
    <mergeCell ref="H64:H65"/>
    <mergeCell ref="B38:B39"/>
    <mergeCell ref="V6:V7"/>
    <mergeCell ref="O113:O114"/>
    <mergeCell ref="Q113:Q114"/>
    <mergeCell ref="L64:L65"/>
    <mergeCell ref="I12:I13"/>
    <mergeCell ref="N64:N65"/>
    <mergeCell ref="K12:K13"/>
    <mergeCell ref="M6:M7"/>
    <mergeCell ref="E6:E7"/>
    <mergeCell ref="U12:U13"/>
    <mergeCell ref="V113:V114"/>
    <mergeCell ref="C12:C13"/>
    <mergeCell ref="V12:V13"/>
    <mergeCell ref="A7:C7"/>
    <mergeCell ref="V64:V65"/>
    <mergeCell ref="T38:T39"/>
    <mergeCell ref="V38:V39"/>
    <mergeCell ref="I87:I88"/>
    <mergeCell ref="L6:L7"/>
    <mergeCell ref="D2:V2"/>
    <mergeCell ref="B113:B114"/>
    <mergeCell ref="D113:D114"/>
    <mergeCell ref="A5:C6"/>
    <mergeCell ref="N113:N114"/>
    <mergeCell ref="S165:S166"/>
    <mergeCell ref="P113:P114"/>
    <mergeCell ref="K64:K65"/>
    <mergeCell ref="O6:O7"/>
    <mergeCell ref="M64:M65"/>
    <mergeCell ref="B137:B138"/>
    <mergeCell ref="D137:D138"/>
    <mergeCell ref="D10:V10"/>
    <mergeCell ref="B87:B88"/>
    <mergeCell ref="N137:N138"/>
    <mergeCell ref="P137:P138"/>
    <mergeCell ref="F38:F39"/>
    <mergeCell ref="N87:N88"/>
    <mergeCell ref="I64:I65"/>
    <mergeCell ref="K38:K39"/>
    <mergeCell ref="K87:K88"/>
    <mergeCell ref="M87:M88"/>
    <mergeCell ref="H87:H88"/>
    <mergeCell ref="D4:V4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X182"/>
  <sheetViews>
    <sheetView showGridLines="0" zoomScaleNormal="100" workbookViewId="0">
      <pane xSplit="3" ySplit="7" topLeftCell="F8" activePane="bottomRight" state="frozen"/>
      <selection activeCell="O5" sqref="O5:O6"/>
      <selection pane="topRight" activeCell="O5" sqref="O5:O6"/>
      <selection pane="bottomLeft" activeCell="O5" sqref="O5:O6"/>
      <selection pane="bottomRight" activeCell="A5" sqref="A5:C7"/>
    </sheetView>
  </sheetViews>
  <sheetFormatPr baseColWidth="10" defaultColWidth="11.42578125" defaultRowHeight="11.25" x14ac:dyDescent="0.2"/>
  <cols>
    <col min="1" max="1" width="2.7109375" style="3" customWidth="1"/>
    <col min="2" max="2" width="3.85546875" style="3" customWidth="1"/>
    <col min="3" max="3" width="54.140625" style="3" customWidth="1"/>
    <col min="4" max="4" width="12" style="3" customWidth="1"/>
    <col min="5" max="5" width="11.5703125" style="3" customWidth="1"/>
    <col min="6" max="6" width="11.28515625" style="3" customWidth="1"/>
    <col min="7" max="7" width="11" style="3" customWidth="1"/>
    <col min="8" max="8" width="11.42578125" style="3" customWidth="1"/>
    <col min="9" max="9" width="12.28515625" style="3" customWidth="1"/>
    <col min="10" max="10" width="11.7109375" style="3" customWidth="1"/>
    <col min="11" max="17" width="11.28515625" style="3" customWidth="1"/>
    <col min="18" max="20" width="10.7109375" style="3" customWidth="1"/>
    <col min="21" max="22" width="11.28515625" style="3" bestFit="1" customWidth="1"/>
    <col min="23" max="33" width="10.7109375" style="3" customWidth="1"/>
    <col min="34" max="34" width="11.42578125" style="3" customWidth="1"/>
    <col min="35" max="16384" width="11.42578125" style="3"/>
  </cols>
  <sheetData>
    <row r="1" spans="1:24" ht="16.5" customHeight="1" x14ac:dyDescent="0.2"/>
    <row r="2" spans="1:24" s="98" customFormat="1" ht="16.5" customHeight="1" x14ac:dyDescent="0.25">
      <c r="A2" s="120"/>
      <c r="D2" s="16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34"/>
      <c r="X2" s="134"/>
    </row>
    <row r="3" spans="1:24" s="98" customFormat="1" ht="16.5" customHeight="1" x14ac:dyDescent="0.25">
      <c r="A3" s="99"/>
    </row>
    <row r="4" spans="1:24" s="98" customFormat="1" ht="15" customHeight="1" x14ac:dyDescent="0.25">
      <c r="A4" s="99"/>
      <c r="D4" s="165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4" s="98" customFormat="1" ht="15" customHeight="1" x14ac:dyDescent="0.25">
      <c r="A5" s="169" t="s">
        <v>4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4" s="98" customFormat="1" ht="15" customHeight="1" x14ac:dyDescent="0.25">
      <c r="A6" s="158"/>
      <c r="B6" s="158"/>
      <c r="C6" s="158"/>
      <c r="D6" s="157" t="s">
        <v>27</v>
      </c>
      <c r="E6" s="157" t="s">
        <v>28</v>
      </c>
      <c r="F6" s="157" t="s">
        <v>29</v>
      </c>
      <c r="G6" s="157" t="s">
        <v>30</v>
      </c>
      <c r="H6" s="157">
        <v>2004</v>
      </c>
      <c r="I6" s="157" t="s">
        <v>31</v>
      </c>
      <c r="J6" s="157" t="s">
        <v>32</v>
      </c>
      <c r="K6" s="157" t="s">
        <v>33</v>
      </c>
      <c r="L6" s="157" t="s">
        <v>34</v>
      </c>
      <c r="M6" s="157" t="s">
        <v>35</v>
      </c>
      <c r="N6" s="157">
        <v>2010</v>
      </c>
      <c r="O6" s="157">
        <v>2011</v>
      </c>
      <c r="P6" s="157">
        <v>2012</v>
      </c>
      <c r="Q6" s="157">
        <v>2013</v>
      </c>
      <c r="R6" s="157">
        <v>2014</v>
      </c>
      <c r="S6" s="157">
        <v>2015</v>
      </c>
      <c r="T6" s="157">
        <v>2016</v>
      </c>
      <c r="U6" s="157">
        <v>2017</v>
      </c>
      <c r="V6" s="157">
        <v>2018</v>
      </c>
    </row>
    <row r="7" spans="1:24" s="98" customFormat="1" ht="15" customHeight="1" x14ac:dyDescent="0.25">
      <c r="A7" s="166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4" s="98" customFormat="1" ht="15" customHeight="1" x14ac:dyDescent="0.25">
      <c r="A8" s="99"/>
    </row>
    <row r="10" spans="1:24" ht="16.5" customHeight="1" x14ac:dyDescent="0.2">
      <c r="C10" s="131"/>
      <c r="D10" s="164" t="s">
        <v>83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spans="1:24" ht="15.75" customHeight="1" x14ac:dyDescent="0.2">
      <c r="B11" s="159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</row>
    <row r="12" spans="1:24" x14ac:dyDescent="0.2">
      <c r="B12" s="167"/>
      <c r="C12" s="161" t="s">
        <v>38</v>
      </c>
      <c r="D12" s="155" t="s">
        <v>27</v>
      </c>
      <c r="E12" s="155" t="s">
        <v>28</v>
      </c>
      <c r="F12" s="155" t="s">
        <v>29</v>
      </c>
      <c r="G12" s="155" t="s">
        <v>30</v>
      </c>
      <c r="H12" s="155">
        <v>2004</v>
      </c>
      <c r="I12" s="155" t="s">
        <v>31</v>
      </c>
      <c r="J12" s="155" t="s">
        <v>32</v>
      </c>
      <c r="K12" s="155" t="s">
        <v>33</v>
      </c>
      <c r="L12" s="155" t="s">
        <v>34</v>
      </c>
      <c r="M12" s="155" t="s">
        <v>35</v>
      </c>
      <c r="N12" s="155">
        <v>2010</v>
      </c>
      <c r="O12" s="155">
        <v>2011</v>
      </c>
      <c r="P12" s="155">
        <v>2012</v>
      </c>
      <c r="Q12" s="155">
        <v>2013</v>
      </c>
      <c r="R12" s="155">
        <v>2014</v>
      </c>
      <c r="S12" s="155">
        <v>2015</v>
      </c>
      <c r="T12" s="155">
        <v>2016</v>
      </c>
      <c r="U12" s="155">
        <v>2017</v>
      </c>
      <c r="V12" s="155">
        <v>2018</v>
      </c>
    </row>
    <row r="13" spans="1:24" ht="12" customHeight="1" thickBot="1" x14ac:dyDescent="0.25">
      <c r="B13" s="156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</row>
    <row r="14" spans="1:24" x14ac:dyDescent="0.2">
      <c r="B14" s="34" t="s">
        <v>39</v>
      </c>
      <c r="C14" s="76" t="s">
        <v>40</v>
      </c>
      <c r="D14" s="41">
        <f t="shared" ref="D14:V14" si="0">+D15+D16+D17+D18</f>
        <v>6726.6084965745977</v>
      </c>
      <c r="E14" s="41">
        <f t="shared" si="0"/>
        <v>6861.2467814303218</v>
      </c>
      <c r="F14" s="41">
        <f t="shared" si="0"/>
        <v>6834.6150736301124</v>
      </c>
      <c r="G14" s="41">
        <f t="shared" si="0"/>
        <v>6692.3216346368554</v>
      </c>
      <c r="H14" s="41">
        <f t="shared" si="0"/>
        <v>12994.80959151937</v>
      </c>
      <c r="I14" s="41">
        <f t="shared" si="0"/>
        <v>11900.764810176846</v>
      </c>
      <c r="J14" s="41">
        <f t="shared" si="0"/>
        <v>7206.3032941874353</v>
      </c>
      <c r="K14" s="41">
        <f t="shared" si="0"/>
        <v>6907.4581127445799</v>
      </c>
      <c r="L14" s="41">
        <f t="shared" si="0"/>
        <v>6794.4387558898397</v>
      </c>
      <c r="M14" s="41">
        <f t="shared" si="0"/>
        <v>8439.900437261409</v>
      </c>
      <c r="N14" s="41">
        <f t="shared" si="0"/>
        <v>11264.306565416377</v>
      </c>
      <c r="O14" s="41">
        <f t="shared" si="0"/>
        <v>10741.389633546587</v>
      </c>
      <c r="P14" s="41">
        <f t="shared" si="0"/>
        <v>10372.673764272604</v>
      </c>
      <c r="Q14" s="41">
        <f t="shared" si="0"/>
        <v>11126.014629701891</v>
      </c>
      <c r="R14" s="41">
        <f t="shared" si="0"/>
        <v>10782.356549476595</v>
      </c>
      <c r="S14" s="41">
        <f t="shared" si="0"/>
        <v>10813.574691771541</v>
      </c>
      <c r="T14" s="41">
        <f t="shared" si="0"/>
        <v>9750.4525580073969</v>
      </c>
      <c r="U14" s="41">
        <f t="shared" si="0"/>
        <v>9826.4076700444421</v>
      </c>
      <c r="V14" s="41">
        <f t="shared" si="0"/>
        <v>9803.9087983451827</v>
      </c>
    </row>
    <row r="15" spans="1:24" x14ac:dyDescent="0.2">
      <c r="B15" s="40"/>
      <c r="C15" s="77" t="s">
        <v>56</v>
      </c>
      <c r="D15" s="42">
        <f>457.39211624942*Deflactores!$A$5</f>
        <v>1706.9487615245503</v>
      </c>
      <c r="E15" s="42">
        <f>487.46464800409*Deflactores!$B$5</f>
        <v>1689.9262165147825</v>
      </c>
      <c r="F15" s="42">
        <f>508.088639466469*Deflactores!$C$5</f>
        <v>1646.3169312300345</v>
      </c>
      <c r="G15" s="42">
        <f>533.13004096*Deflactores!$D$5</f>
        <v>1622.1564373904846</v>
      </c>
      <c r="H15" s="42">
        <f>549.90061784487*Deflactores!$E$5</f>
        <v>1586.0020629355208</v>
      </c>
      <c r="I15" s="42">
        <f>556.41631552393*Deflactores!$F$5</f>
        <v>1530.4867236972102</v>
      </c>
      <c r="J15" s="42">
        <f>601.143216179*Deflactores!$G$5</f>
        <v>1582.6432335613968</v>
      </c>
      <c r="K15" s="42">
        <f>638.777217872999*Deflactores!$H$5</f>
        <v>1591.1175427009405</v>
      </c>
      <c r="L15" s="42">
        <f>747.13995296342*Deflactores!$I$5</f>
        <v>1728.3928507938765</v>
      </c>
      <c r="M15" s="42">
        <f>842.244122891*Deflactores!$J$5</f>
        <v>1910.1638420716172</v>
      </c>
      <c r="N15" s="42">
        <f>839.71032166405*Deflactores!$K$5</f>
        <v>1845.8803509182983</v>
      </c>
      <c r="O15" s="42">
        <f>883.667815514*Deflactores!$L$5</f>
        <v>1872.7189006007452</v>
      </c>
      <c r="P15" s="42">
        <f>1006.00150877*Deflactores!$M$5</f>
        <v>2081.1942545962256</v>
      </c>
      <c r="Q15" s="42">
        <f>1301.94520772074*Deflactores!$N$5</f>
        <v>2642.1779528165025</v>
      </c>
      <c r="R15" s="42">
        <f>1457.214984863*Deflactores!$O$5</f>
        <v>2852.8686790293209</v>
      </c>
      <c r="S15" s="42">
        <f>1464.37295195764*Deflactores!$P$5</f>
        <v>2685.100888629499</v>
      </c>
      <c r="T15" s="42">
        <f>1530.764305732*Deflactores!$Q$5</f>
        <v>2654.2196528464915</v>
      </c>
      <c r="U15" s="42">
        <f>1661.431910594*Deflactores!$R$5</f>
        <v>2767.5920393733963</v>
      </c>
      <c r="V15" s="42">
        <f>1936.51496238158*Deflactores!$S$5</f>
        <v>3126.4022783342707</v>
      </c>
    </row>
    <row r="16" spans="1:24" x14ac:dyDescent="0.2">
      <c r="B16" s="40"/>
      <c r="C16" s="77" t="s">
        <v>57</v>
      </c>
      <c r="D16" s="42">
        <f>282.93993638758*Deflactores!$A$5</f>
        <v>1055.9079547826097</v>
      </c>
      <c r="E16" s="42">
        <f>263.318144886*Deflactores!$B$5</f>
        <v>912.86258018685237</v>
      </c>
      <c r="F16" s="42">
        <f>274.86106533421*Deflactores!$C$5</f>
        <v>890.60921746017061</v>
      </c>
      <c r="G16" s="42">
        <f>238.93056758924*Deflactores!$D$5</f>
        <v>726.99478274818841</v>
      </c>
      <c r="H16" s="42">
        <f>269.94858740706*Deflactores!$E$5</f>
        <v>778.57526000253984</v>
      </c>
      <c r="I16" s="42">
        <f>265.26232504202*Deflactores!$F$5</f>
        <v>729.63436809286998</v>
      </c>
      <c r="J16" s="42">
        <f>302.92279216805*Deflactores!$G$5</f>
        <v>797.51163185967835</v>
      </c>
      <c r="K16" s="42">
        <f>308.77206124621*Deflactores!$H$5</f>
        <v>769.11422260906659</v>
      </c>
      <c r="L16" s="42">
        <f>328.45491964231*Deflactores!$I$5</f>
        <v>759.82971151007428</v>
      </c>
      <c r="M16" s="42">
        <f>365.247319675999*Deflactores!$J$5</f>
        <v>828.3610469894104</v>
      </c>
      <c r="N16" s="42">
        <f>389.021029284*Deflactores!$K$5</f>
        <v>855.15951813753975</v>
      </c>
      <c r="O16" s="42">
        <f>424.56217133749*Deflactores!$L$5</f>
        <v>899.75620791545373</v>
      </c>
      <c r="P16" s="42">
        <f>561.470673479*Deflactores!$M$5</f>
        <v>1161.5584366244987</v>
      </c>
      <c r="Q16" s="42">
        <f>613.32508626791*Deflactores!$N$5</f>
        <v>1244.6868049718591</v>
      </c>
      <c r="R16" s="42">
        <f>658.994226151*Deflactores!$O$5</f>
        <v>1290.1486787991707</v>
      </c>
      <c r="S16" s="42">
        <f>615.41266441708*Deflactores!$P$5</f>
        <v>1128.431858763224</v>
      </c>
      <c r="T16" s="42">
        <f>708.641188398*Deflactores!$Q$5</f>
        <v>1228.7256516365121</v>
      </c>
      <c r="U16" s="42">
        <f>695.86291176*Deflactores!$R$5</f>
        <v>1159.1595435250954</v>
      </c>
      <c r="V16" s="42">
        <f>750.19319794951*Deflactores!$S$5</f>
        <v>1211.1477415985339</v>
      </c>
    </row>
    <row r="17" spans="2:22" x14ac:dyDescent="0.2">
      <c r="B17" s="40"/>
      <c r="C17" s="77" t="s">
        <v>58</v>
      </c>
      <c r="D17" s="42">
        <f>675.215913043*Deflactores!$A$5</f>
        <v>2519.8487809132166</v>
      </c>
      <c r="E17" s="42">
        <f>814.3243959464*Deflactores!$B$5</f>
        <v>2823.0727112047707</v>
      </c>
      <c r="F17" s="42">
        <f>799.70189238463*Deflactores!$C$5</f>
        <v>2591.2068546779647</v>
      </c>
      <c r="G17" s="42">
        <f>827.17534747576*Deflactores!$D$5</f>
        <v>2516.8490080625356</v>
      </c>
      <c r="H17" s="42">
        <f>3108.88496424937*Deflactores!$E$5</f>
        <v>8966.5255988486642</v>
      </c>
      <c r="I17" s="42">
        <f>2715.42278569513*Deflactores!$F$5</f>
        <v>7469.0809862719716</v>
      </c>
      <c r="J17" s="42">
        <f>906.43745449158*Deflactores!$G$5</f>
        <v>2386.3982248957964</v>
      </c>
      <c r="K17" s="42">
        <f>992.28356104128*Deflactores!$H$5</f>
        <v>2471.6595037057873</v>
      </c>
      <c r="L17" s="42">
        <f>962.55053975127*Deflactores!$I$5</f>
        <v>2226.711963180659</v>
      </c>
      <c r="M17" s="42">
        <f>1377.36675980122*Deflactores!$J$5</f>
        <v>3123.7928652001128</v>
      </c>
      <c r="N17" s="42">
        <f>2491.06361743995*Deflactores!$K$5</f>
        <v>5475.9424359672257</v>
      </c>
      <c r="O17" s="42">
        <f>2242.29434277551*Deflactores!$L$5</f>
        <v>4751.997212870423</v>
      </c>
      <c r="P17" s="42">
        <f>1846.407300416*Deflactores!$M$5</f>
        <v>3819.8076561223747</v>
      </c>
      <c r="Q17" s="42">
        <f>1982.78376126517*Deflactores!$N$5</f>
        <v>4023.8771248975013</v>
      </c>
      <c r="R17" s="42">
        <f>1837.96197806258*Deflactores!$O$5</f>
        <v>3598.2776837519787</v>
      </c>
      <c r="S17" s="42">
        <f>2093.1558443634*Deflactores!$P$5</f>
        <v>3838.0486407009062</v>
      </c>
      <c r="T17" s="42">
        <f>1673.35882245547*Deflactores!$Q$5</f>
        <v>2901.4668399270636</v>
      </c>
      <c r="U17" s="42">
        <f>1983.304982392*Deflactores!$R$5</f>
        <v>3303.764088024081</v>
      </c>
      <c r="V17" s="42">
        <f>1846.4291634429*Deflactores!$S$5</f>
        <v>2980.9634603965678</v>
      </c>
    </row>
    <row r="18" spans="2:22" x14ac:dyDescent="0.2">
      <c r="B18" s="40"/>
      <c r="C18" s="77" t="s">
        <v>59</v>
      </c>
      <c r="D18" s="42">
        <f>386.90666258995*Deflactores!$A$5</f>
        <v>1443.9029993542213</v>
      </c>
      <c r="E18" s="42">
        <f>414.041494990009*Deflactores!$B$5</f>
        <v>1435.3852735239161</v>
      </c>
      <c r="F18" s="42">
        <f>526.65688902653*Deflactores!$C$5</f>
        <v>1706.4820702619427</v>
      </c>
      <c r="G18" s="42">
        <f>600.22990617691*Deflactores!$D$5</f>
        <v>1826.3214064356468</v>
      </c>
      <c r="H18" s="42">
        <f>576.84245624831*Deflactores!$E$5</f>
        <v>1663.706669732645</v>
      </c>
      <c r="I18" s="42">
        <f>789.48279369161*Deflactores!$F$5</f>
        <v>2171.562732114794</v>
      </c>
      <c r="J18" s="42">
        <f>926.70240084859*Deflactores!$G$5</f>
        <v>2439.7502038705647</v>
      </c>
      <c r="K18" s="42">
        <f>833.26641707181*Deflactores!$H$5</f>
        <v>2075.5668437287854</v>
      </c>
      <c r="L18" s="42">
        <f>898.91640790956*Deflactores!$I$5</f>
        <v>2079.504230405229</v>
      </c>
      <c r="M18" s="42">
        <f>1136.52756805832*Deflactores!$J$5</f>
        <v>2577.5826830002688</v>
      </c>
      <c r="N18" s="42">
        <f>1404.45616991718*Deflactores!$K$5</f>
        <v>3087.3242603933122</v>
      </c>
      <c r="O18" s="42">
        <f>1517.94606922249*Deflactores!$L$5</f>
        <v>3216.9173121599642</v>
      </c>
      <c r="P18" s="42">
        <f>1600.032810141*Deflactores!$M$5</f>
        <v>3310.1134169295055</v>
      </c>
      <c r="Q18" s="42">
        <f>1584.34027504859*Deflactores!$N$5</f>
        <v>3215.2727470160289</v>
      </c>
      <c r="R18" s="42">
        <f>1553.34188067293*Deflactores!$O$5</f>
        <v>3041.0615078961246</v>
      </c>
      <c r="S18" s="42">
        <f>1724.45567605487*Deflactores!$P$5</f>
        <v>3161.9933036779121</v>
      </c>
      <c r="T18" s="42">
        <f>1710.60024727952*Deflactores!$Q$5</f>
        <v>2966.0404135973295</v>
      </c>
      <c r="U18" s="42">
        <f>1558.3574972174*Deflactores!$R$5</f>
        <v>2595.891999121869</v>
      </c>
      <c r="V18" s="42">
        <f>1539.47086532162*Deflactores!$S$5</f>
        <v>2485.3953180158114</v>
      </c>
    </row>
    <row r="19" spans="2:22" x14ac:dyDescent="0.2">
      <c r="B19" s="34" t="s">
        <v>41</v>
      </c>
      <c r="C19" s="76" t="s">
        <v>42</v>
      </c>
      <c r="D19" s="41">
        <f t="shared" ref="D19:V19" si="1">+D20+D23</f>
        <v>146.30819449979754</v>
      </c>
      <c r="E19" s="41">
        <f t="shared" si="1"/>
        <v>13.653185308675351</v>
      </c>
      <c r="F19" s="41">
        <f t="shared" si="1"/>
        <v>15.106546142487836</v>
      </c>
      <c r="G19" s="41">
        <f t="shared" si="1"/>
        <v>14.37307879696295</v>
      </c>
      <c r="H19" s="41">
        <f t="shared" si="1"/>
        <v>11.578753824308581</v>
      </c>
      <c r="I19" s="41">
        <f t="shared" si="1"/>
        <v>11.539543923977632</v>
      </c>
      <c r="J19" s="41">
        <f t="shared" si="1"/>
        <v>7.8950080464531265</v>
      </c>
      <c r="K19" s="41">
        <f t="shared" si="1"/>
        <v>7.111791849830853</v>
      </c>
      <c r="L19" s="41">
        <f t="shared" si="1"/>
        <v>5.4079077839097529</v>
      </c>
      <c r="M19" s="41">
        <f t="shared" si="1"/>
        <v>9.0597622382115492</v>
      </c>
      <c r="N19" s="41">
        <f t="shared" si="1"/>
        <v>4.9888936081044086</v>
      </c>
      <c r="O19" s="41">
        <f t="shared" si="1"/>
        <v>4.006666635715753</v>
      </c>
      <c r="P19" s="41">
        <f t="shared" si="1"/>
        <v>2.5243234799550476</v>
      </c>
      <c r="Q19" s="41">
        <f t="shared" si="1"/>
        <v>2.7965241527753273</v>
      </c>
      <c r="R19" s="41">
        <f t="shared" si="1"/>
        <v>2.0622982179750378</v>
      </c>
      <c r="S19" s="41">
        <f t="shared" si="1"/>
        <v>2.880676233613634</v>
      </c>
      <c r="T19" s="41">
        <f t="shared" si="1"/>
        <v>2.2329414411700093</v>
      </c>
      <c r="U19" s="41">
        <f t="shared" si="1"/>
        <v>2.5738078297214071</v>
      </c>
      <c r="V19" s="41">
        <f t="shared" si="1"/>
        <v>2.0774606825800999</v>
      </c>
    </row>
    <row r="20" spans="2:22" x14ac:dyDescent="0.2">
      <c r="B20" s="34"/>
      <c r="C20" s="76" t="s">
        <v>43</v>
      </c>
      <c r="D20" s="41">
        <f t="shared" ref="D20:V20" si="2">+D21+D22</f>
        <v>24.119718669324051</v>
      </c>
      <c r="E20" s="41">
        <f t="shared" si="2"/>
        <v>12.249473511324727</v>
      </c>
      <c r="F20" s="41">
        <f t="shared" si="2"/>
        <v>11.469068499348724</v>
      </c>
      <c r="G20" s="41">
        <f t="shared" si="2"/>
        <v>10.594016864551476</v>
      </c>
      <c r="H20" s="41">
        <f t="shared" si="2"/>
        <v>8.1287201161837572</v>
      </c>
      <c r="I20" s="41">
        <f t="shared" si="2"/>
        <v>6.164868730228835</v>
      </c>
      <c r="J20" s="41">
        <f t="shared" si="2"/>
        <v>3.5589141914083426</v>
      </c>
      <c r="K20" s="41">
        <f t="shared" si="2"/>
        <v>3.1647430390431315</v>
      </c>
      <c r="L20" s="41">
        <f t="shared" si="2"/>
        <v>2.6830181151467389</v>
      </c>
      <c r="M20" s="41">
        <f t="shared" si="2"/>
        <v>2.2747494242186357</v>
      </c>
      <c r="N20" s="41">
        <f t="shared" si="2"/>
        <v>2.5346841885295506</v>
      </c>
      <c r="O20" s="41">
        <f t="shared" si="2"/>
        <v>1.9787499406367293</v>
      </c>
      <c r="P20" s="41">
        <f t="shared" si="2"/>
        <v>0.35210609431925011</v>
      </c>
      <c r="Q20" s="41">
        <f t="shared" si="2"/>
        <v>1.0534656659692834</v>
      </c>
      <c r="R20" s="41">
        <f t="shared" si="2"/>
        <v>0.33027312452286772</v>
      </c>
      <c r="S20" s="41">
        <f t="shared" si="2"/>
        <v>0.34945462279447376</v>
      </c>
      <c r="T20" s="41">
        <f t="shared" si="2"/>
        <v>0.40150609300817147</v>
      </c>
      <c r="U20" s="41">
        <f t="shared" si="2"/>
        <v>0.49473880359022582</v>
      </c>
      <c r="V20" s="41">
        <f t="shared" si="2"/>
        <v>0.22763713671646313</v>
      </c>
    </row>
    <row r="21" spans="2:22" x14ac:dyDescent="0.2">
      <c r="B21" s="32"/>
      <c r="C21" s="77" t="s">
        <v>60</v>
      </c>
      <c r="D21" s="42">
        <f>5.484993336*Deflactores!$A$5</f>
        <v>20.469532047531182</v>
      </c>
      <c r="E21" s="42">
        <f>2.9314*Deflactores!$B$5</f>
        <v>10.16247994880209</v>
      </c>
      <c r="F21" s="42">
        <f>2.9769*Deflactores!$C$5</f>
        <v>9.6457989647731992</v>
      </c>
      <c r="G21" s="42">
        <f>3.101606026*Deflactores!$D$5</f>
        <v>9.4372663229879947</v>
      </c>
      <c r="H21" s="42">
        <f>2.4795*Deflactores!$E$5</f>
        <v>7.1512778626446298</v>
      </c>
      <c r="I21" s="42">
        <f>1.98950431*Deflactores!$F$5</f>
        <v>5.4723591818587236</v>
      </c>
      <c r="J21" s="42">
        <f>1.1729*Deflactores!$G$5</f>
        <v>3.087920147287206</v>
      </c>
      <c r="K21" s="42">
        <f>1.12667958094*Deflactores!$H$5</f>
        <v>2.8064238925205327</v>
      </c>
      <c r="L21" s="42">
        <f>1.0417*Deflactores!$I$5</f>
        <v>2.4098120111643024</v>
      </c>
      <c r="M21" s="42">
        <f>0.9164*Deflactores!$J$5</f>
        <v>2.0783453363449231</v>
      </c>
      <c r="N21" s="42">
        <f>1.060855608*Deflactores!$K$5</f>
        <v>2.3320095888402372</v>
      </c>
      <c r="O21" s="42">
        <f>0.8797*Deflactores!$L$5</f>
        <v>1.8643100811589706</v>
      </c>
      <c r="P21" s="42">
        <f>0.1402*Deflactores!$M$5</f>
        <v>0.29004274044394163</v>
      </c>
      <c r="Q21" s="42">
        <f>0.4837*Deflactores!$N$5</f>
        <v>0.9816246245990029</v>
      </c>
      <c r="R21" s="42">
        <f>0.14793561*Deflactores!$O$5</f>
        <v>0.28962155389980082</v>
      </c>
      <c r="S21" s="42">
        <f>0.170141165*Deflactores!$P$5</f>
        <v>0.31197393582230915</v>
      </c>
      <c r="T21" s="42">
        <f>0.213840013*Deflactores!$Q$5</f>
        <v>0.37078102941402041</v>
      </c>
      <c r="U21" s="42">
        <f>0.285*Deflactores!$R$5</f>
        <v>0.47474935698051973</v>
      </c>
      <c r="V21" s="42">
        <f>0.138*Deflactores!$S$5</f>
        <v>0.22279379338207031</v>
      </c>
    </row>
    <row r="22" spans="2:22" x14ac:dyDescent="0.2">
      <c r="B22" s="32"/>
      <c r="C22" s="77" t="s">
        <v>61</v>
      </c>
      <c r="D22" s="42">
        <f>0.9781*Deflactores!$A$5</f>
        <v>3.6501866217928711</v>
      </c>
      <c r="E22" s="42">
        <f>0.602*Deflactores!$B$5</f>
        <v>2.086993562522637</v>
      </c>
      <c r="F22" s="42">
        <f>0.5627*Deflactores!$C$5</f>
        <v>1.8232695345755245</v>
      </c>
      <c r="G22" s="42">
        <f>0.380172004*Deflactores!$D$5</f>
        <v>1.1567505415634816</v>
      </c>
      <c r="H22" s="42">
        <f>0.3389*Deflactores!$E$5</f>
        <v>0.97744225353912695</v>
      </c>
      <c r="I22" s="42">
        <f>0.251765406*Deflactores!$F$5</f>
        <v>0.69250954837011103</v>
      </c>
      <c r="J22" s="42">
        <f>0.1789*Deflactores!$G$5</f>
        <v>0.4709940441211366</v>
      </c>
      <c r="K22" s="42">
        <f>0.14385241906*Deflactores!$H$5</f>
        <v>0.35831914652259877</v>
      </c>
      <c r="L22" s="42">
        <f>0.1181*Deflactores!$I$5</f>
        <v>0.27320610398243644</v>
      </c>
      <c r="M22" s="42">
        <f>0.0866*Deflactores!$J$5</f>
        <v>0.19640408787371269</v>
      </c>
      <c r="N22" s="42">
        <f>0.0921988*Deflactores!$K$5</f>
        <v>0.20267459968931348</v>
      </c>
      <c r="O22" s="42">
        <f>0.054*Deflactores!$L$5</f>
        <v>0.11443985947775878</v>
      </c>
      <c r="P22" s="42">
        <f>0.03*Deflactores!$M$5</f>
        <v>6.2063353875308487E-2</v>
      </c>
      <c r="Q22" s="42">
        <f>0.0354*Deflactores!$N$5</f>
        <v>7.1841041370280551E-2</v>
      </c>
      <c r="R22" s="42">
        <f>0.02076439*Deflactores!$O$5</f>
        <v>4.0651570623066922E-2</v>
      </c>
      <c r="S22" s="42">
        <f>0.020440835*Deflactores!$P$5</f>
        <v>3.7480686972164619E-2</v>
      </c>
      <c r="T22" s="42">
        <f>0.017720022*Deflactores!$Q$5</f>
        <v>3.0725063594151055E-2</v>
      </c>
      <c r="U22" s="42">
        <f>0.012*Deflactores!$R$5</f>
        <v>1.9989446609706096E-2</v>
      </c>
      <c r="V22" s="42">
        <f>0.003*Deflactores!$S$5</f>
        <v>4.843343334392832E-3</v>
      </c>
    </row>
    <row r="23" spans="2:22" x14ac:dyDescent="0.2">
      <c r="B23" s="34"/>
      <c r="C23" s="76" t="s">
        <v>44</v>
      </c>
      <c r="D23" s="41">
        <f t="shared" ref="D23:V23" si="3">+D24+D25</f>
        <v>122.18847583047349</v>
      </c>
      <c r="E23" s="41">
        <f t="shared" si="3"/>
        <v>1.4037117973506248</v>
      </c>
      <c r="F23" s="41">
        <f t="shared" si="3"/>
        <v>3.6374776431391123</v>
      </c>
      <c r="G23" s="41">
        <f t="shared" si="3"/>
        <v>3.7790619324114756</v>
      </c>
      <c r="H23" s="41">
        <f t="shared" si="3"/>
        <v>3.4500337081248236</v>
      </c>
      <c r="I23" s="41">
        <f t="shared" si="3"/>
        <v>5.3746751937487973</v>
      </c>
      <c r="J23" s="41">
        <f t="shared" si="3"/>
        <v>4.3360938550447843</v>
      </c>
      <c r="K23" s="41">
        <f t="shared" si="3"/>
        <v>3.947048810787722</v>
      </c>
      <c r="L23" s="41">
        <f t="shared" si="3"/>
        <v>2.724889668763014</v>
      </c>
      <c r="M23" s="41">
        <f t="shared" si="3"/>
        <v>6.7850128139929131</v>
      </c>
      <c r="N23" s="41">
        <f t="shared" si="3"/>
        <v>2.4542094195748581</v>
      </c>
      <c r="O23" s="41">
        <f t="shared" si="3"/>
        <v>2.0279166950790235</v>
      </c>
      <c r="P23" s="41">
        <f t="shared" si="3"/>
        <v>2.1722173856357974</v>
      </c>
      <c r="Q23" s="41">
        <f t="shared" si="3"/>
        <v>1.7430584868060441</v>
      </c>
      <c r="R23" s="41">
        <f t="shared" si="3"/>
        <v>1.7320250934521699</v>
      </c>
      <c r="S23" s="41">
        <f t="shared" si="3"/>
        <v>2.5312216108191601</v>
      </c>
      <c r="T23" s="41">
        <f t="shared" si="3"/>
        <v>1.831435348161838</v>
      </c>
      <c r="U23" s="41">
        <f t="shared" si="3"/>
        <v>2.0790690261311813</v>
      </c>
      <c r="V23" s="41">
        <f t="shared" si="3"/>
        <v>1.8498235458636367</v>
      </c>
    </row>
    <row r="24" spans="2:22" x14ac:dyDescent="0.2">
      <c r="B24" s="32"/>
      <c r="C24" s="77" t="s">
        <v>60</v>
      </c>
      <c r="D24" s="42">
        <f>23.447102206*Deflactores!$A$5</f>
        <v>87.502605860496189</v>
      </c>
      <c r="E24" s="42">
        <f>0.068363728*Deflactores!$B$5</f>
        <v>0.23700109675423348</v>
      </c>
      <c r="F24" s="42">
        <f>0.63210963*Deflactores!$C$5</f>
        <v>2.0481717271917668</v>
      </c>
      <c r="G24" s="42">
        <f>0.877207567*Deflactores!$D$5</f>
        <v>2.6690821983589141</v>
      </c>
      <c r="H24" s="42">
        <f>0.870299999999999*Deflactores!$E$5</f>
        <v>2.5100855510625588</v>
      </c>
      <c r="I24" s="42">
        <f>1.442057823*Deflactores!$F$5</f>
        <v>3.9665449975653746</v>
      </c>
      <c r="J24" s="42">
        <f>1.2344*Deflactores!$G$5</f>
        <v>3.2498325772114645</v>
      </c>
      <c r="K24" s="42">
        <f>1.205*Deflactores!$H$5</f>
        <v>3.0015106758798469</v>
      </c>
      <c r="L24" s="42">
        <f>0.9096*Deflactores!$I$5</f>
        <v>2.1042190701306032</v>
      </c>
      <c r="M24" s="42">
        <f>0.8124*Deflactores!$J$5</f>
        <v>1.8424789952494711</v>
      </c>
      <c r="N24" s="42">
        <f>0.892344391999999*Deflactores!$K$5</f>
        <v>1.9615823897231162</v>
      </c>
      <c r="O24" s="42">
        <f>0.774799999999999*Deflactores!$L$5</f>
        <v>1.642000057840137</v>
      </c>
      <c r="P24" s="42">
        <f>0.9249*Deflactores!$M$5</f>
        <v>1.9134131999757609</v>
      </c>
      <c r="Q24" s="42">
        <f>0.7187*Deflactores!$N$5</f>
        <v>1.4585354924525602</v>
      </c>
      <c r="R24" s="42">
        <f>0.7403*Deflactores!$O$5</f>
        <v>1.4493253946904503</v>
      </c>
      <c r="S24" s="42">
        <f>1.250644803*Deflactores!$P$5</f>
        <v>2.2932050659675829</v>
      </c>
      <c r="T24" s="42">
        <f>0.934381204*Deflactores!$Q$5</f>
        <v>1.620140308746763</v>
      </c>
      <c r="U24" s="42">
        <f>1.1215*Deflactores!$R$5</f>
        <v>1.868180364398782</v>
      </c>
      <c r="V24" s="42">
        <f>1.022551069*Deflactores!$S$5</f>
        <v>1.6508553013724716</v>
      </c>
    </row>
    <row r="25" spans="2:22" x14ac:dyDescent="0.2">
      <c r="B25" s="32"/>
      <c r="C25" s="77" t="s">
        <v>61</v>
      </c>
      <c r="D25" s="42">
        <f>9.29438763899999*Deflactores!$A$5</f>
        <v>34.685869969977297</v>
      </c>
      <c r="E25" s="42">
        <f>0.336541451*Deflactores!$B$5</f>
        <v>1.1667107005963913</v>
      </c>
      <c r="F25" s="42">
        <f>0.49049382*Deflactores!$C$5</f>
        <v>1.5893059159473453</v>
      </c>
      <c r="G25" s="42">
        <f>0.364800538*Deflactores!$D$5</f>
        <v>1.1099797340525617</v>
      </c>
      <c r="H25" s="42">
        <f>0.3259*Deflactores!$E$5</f>
        <v>0.93994815706226464</v>
      </c>
      <c r="I25" s="42">
        <f>0.511932971*Deflactores!$F$5</f>
        <v>1.4081301961834229</v>
      </c>
      <c r="J25" s="42">
        <f>0.4126*Deflactores!$G$5</f>
        <v>1.08626127783332</v>
      </c>
      <c r="K25" s="42">
        <f>0.3796*Deflactores!$H$5</f>
        <v>0.94553813490787531</v>
      </c>
      <c r="L25" s="42">
        <f>0.2683*Deflactores!$I$5</f>
        <v>0.6206705986324107</v>
      </c>
      <c r="M25" s="42">
        <f>2.1793*Deflactores!$J$5</f>
        <v>4.942533818743442</v>
      </c>
      <c r="N25" s="42">
        <f>0.2241012*Deflactores!$K$5</f>
        <v>0.49262702985174189</v>
      </c>
      <c r="O25" s="42">
        <f>0.1821*Deflactores!$L$5</f>
        <v>0.38591663723888658</v>
      </c>
      <c r="P25" s="42">
        <f>0.1251*Deflactores!$M$5</f>
        <v>0.25880418566003638</v>
      </c>
      <c r="Q25" s="42">
        <f>0.1402*Deflactores!$N$5</f>
        <v>0.28452299435348394</v>
      </c>
      <c r="R25" s="42">
        <f>0.1444*Deflactores!$O$5</f>
        <v>0.28269969876171963</v>
      </c>
      <c r="S25" s="42">
        <f>0.129807037*Deflactores!$P$5</f>
        <v>0.23801654485157725</v>
      </c>
      <c r="T25" s="42">
        <f>0.121859886*Deflactores!$Q$5</f>
        <v>0.2112950394150751</v>
      </c>
      <c r="U25" s="42">
        <f>0.1266*Deflactores!$R$5</f>
        <v>0.21088866173239929</v>
      </c>
      <c r="V25" s="42">
        <f>0.123242292*Deflactores!$S$5</f>
        <v>0.19896824449116504</v>
      </c>
    </row>
    <row r="26" spans="2:22" x14ac:dyDescent="0.2">
      <c r="B26" s="34" t="s">
        <v>45</v>
      </c>
      <c r="C26" s="76" t="s">
        <v>46</v>
      </c>
      <c r="D26" s="41">
        <f>2338.370875789*Deflactores!$A$5</f>
        <v>8726.6026864278574</v>
      </c>
      <c r="E26" s="41">
        <f>2783.69515994516*Deflactores!$B$5</f>
        <v>9650.4217256328429</v>
      </c>
      <c r="F26" s="41">
        <f>2941.322953059*Deflactores!$C$5</f>
        <v>9530.521648587508</v>
      </c>
      <c r="G26" s="41">
        <f>2691.98146157578*Deflactores!$D$5</f>
        <v>8190.9003840183768</v>
      </c>
      <c r="H26" s="41">
        <f>3211.59896679605*Deflactores!$E$5</f>
        <v>9262.7693466186574</v>
      </c>
      <c r="I26" s="41">
        <f>3434.71174400036*Deflactores!$F$5</f>
        <v>9447.5675447611156</v>
      </c>
      <c r="J26" s="41">
        <f>4232.65884881217*Deflactores!$G$5</f>
        <v>11143.415922790153</v>
      </c>
      <c r="K26" s="41">
        <f>4866.383832294*Deflactores!$H$5</f>
        <v>12121.579274323256</v>
      </c>
      <c r="L26" s="41">
        <f>5871.13275141252*Deflactores!$I$5</f>
        <v>13581.958551880585</v>
      </c>
      <c r="M26" s="41">
        <f>7491.189982078*Deflactores!$J$5</f>
        <v>16989.61126465039</v>
      </c>
      <c r="N26" s="41">
        <f>7481.620269971*Deflactores!$K$5</f>
        <v>16446.357146121489</v>
      </c>
      <c r="O26" s="41">
        <f>7823.13384257*Deflactores!$L$5</f>
        <v>16579.228474433516</v>
      </c>
      <c r="P26" s="41">
        <f>8232.081412312*Deflactores!$M$5</f>
        <v>17030.352727422298</v>
      </c>
      <c r="Q26" s="41">
        <f>8921.74412575093*Deflactores!$N$5</f>
        <v>18105.858441613844</v>
      </c>
      <c r="R26" s="41">
        <f>5905.84866196*Deflactores!$O$5</f>
        <v>11562.199706844855</v>
      </c>
      <c r="S26" s="41">
        <f>6359.92069832*Deflactores!$P$5</f>
        <v>11661.666309694419</v>
      </c>
      <c r="T26" s="41">
        <f>7733.01603822476*Deflactores!$Q$5</f>
        <v>13408.415043110321</v>
      </c>
      <c r="U26" s="41">
        <f>8716.370073791*Deflactores!$R$5</f>
        <v>14519.617851707098</v>
      </c>
      <c r="V26" s="41">
        <f>7670.596868813*Deflactores!$S$5</f>
        <v>12383.778071793324</v>
      </c>
    </row>
    <row r="27" spans="2:22" x14ac:dyDescent="0.2">
      <c r="B27" s="36" t="s">
        <v>47</v>
      </c>
      <c r="C27" s="78" t="s">
        <v>48</v>
      </c>
      <c r="D27" s="43">
        <f t="shared" ref="D27:V27" si="4">+D14+D26</f>
        <v>15453.211183002455</v>
      </c>
      <c r="E27" s="43">
        <f t="shared" si="4"/>
        <v>16511.668507063165</v>
      </c>
      <c r="F27" s="43">
        <f t="shared" si="4"/>
        <v>16365.13672221762</v>
      </c>
      <c r="G27" s="43">
        <f t="shared" si="4"/>
        <v>14883.222018655233</v>
      </c>
      <c r="H27" s="43">
        <f t="shared" si="4"/>
        <v>22257.578938138027</v>
      </c>
      <c r="I27" s="43">
        <f t="shared" si="4"/>
        <v>21348.332354937964</v>
      </c>
      <c r="J27" s="43">
        <f t="shared" si="4"/>
        <v>18349.719216977588</v>
      </c>
      <c r="K27" s="43">
        <f t="shared" si="4"/>
        <v>19029.037387067838</v>
      </c>
      <c r="L27" s="43">
        <f t="shared" si="4"/>
        <v>20376.397307770425</v>
      </c>
      <c r="M27" s="43">
        <f t="shared" si="4"/>
        <v>25429.511701911797</v>
      </c>
      <c r="N27" s="43">
        <f t="shared" si="4"/>
        <v>27710.663711537865</v>
      </c>
      <c r="O27" s="43">
        <f t="shared" si="4"/>
        <v>27320.618107980103</v>
      </c>
      <c r="P27" s="43">
        <f t="shared" si="4"/>
        <v>27403.026491694902</v>
      </c>
      <c r="Q27" s="43">
        <f t="shared" si="4"/>
        <v>29231.873071315735</v>
      </c>
      <c r="R27" s="43">
        <f t="shared" si="4"/>
        <v>22344.556256321448</v>
      </c>
      <c r="S27" s="43">
        <f t="shared" si="4"/>
        <v>22475.241001465962</v>
      </c>
      <c r="T27" s="43">
        <f t="shared" si="4"/>
        <v>23158.867601117716</v>
      </c>
      <c r="U27" s="43">
        <f t="shared" si="4"/>
        <v>24346.025521751541</v>
      </c>
      <c r="V27" s="43">
        <f t="shared" si="4"/>
        <v>22187.686870138506</v>
      </c>
    </row>
    <row r="28" spans="2:22" ht="15.75" customHeight="1" x14ac:dyDescent="0.2">
      <c r="B28" s="38" t="s">
        <v>49</v>
      </c>
      <c r="C28" s="79" t="s">
        <v>50</v>
      </c>
      <c r="D28" s="44">
        <f t="shared" ref="D28:V28" si="5">+D14+D19+D26</f>
        <v>15599.519377502253</v>
      </c>
      <c r="E28" s="44">
        <f t="shared" si="5"/>
        <v>16525.321692371839</v>
      </c>
      <c r="F28" s="44">
        <f t="shared" si="5"/>
        <v>16380.243268360107</v>
      </c>
      <c r="G28" s="44">
        <f t="shared" si="5"/>
        <v>14897.595097452195</v>
      </c>
      <c r="H28" s="44">
        <f t="shared" si="5"/>
        <v>22269.157691962337</v>
      </c>
      <c r="I28" s="44">
        <f t="shared" si="5"/>
        <v>21359.87189886194</v>
      </c>
      <c r="J28" s="44">
        <f t="shared" si="5"/>
        <v>18357.614225024041</v>
      </c>
      <c r="K28" s="44">
        <f t="shared" si="5"/>
        <v>19036.149178917665</v>
      </c>
      <c r="L28" s="44">
        <f t="shared" si="5"/>
        <v>20381.805215554334</v>
      </c>
      <c r="M28" s="44">
        <f t="shared" si="5"/>
        <v>25438.571464150009</v>
      </c>
      <c r="N28" s="44">
        <f t="shared" si="5"/>
        <v>27715.65260514597</v>
      </c>
      <c r="O28" s="44">
        <f t="shared" si="5"/>
        <v>27324.624774615819</v>
      </c>
      <c r="P28" s="44">
        <f t="shared" si="5"/>
        <v>27405.550815174858</v>
      </c>
      <c r="Q28" s="44">
        <f t="shared" si="5"/>
        <v>29234.669595468509</v>
      </c>
      <c r="R28" s="44">
        <f t="shared" si="5"/>
        <v>22346.618554539426</v>
      </c>
      <c r="S28" s="44">
        <f t="shared" si="5"/>
        <v>22478.121677699572</v>
      </c>
      <c r="T28" s="44">
        <f t="shared" si="5"/>
        <v>23161.100542558888</v>
      </c>
      <c r="U28" s="44">
        <f t="shared" si="5"/>
        <v>24348.599329581262</v>
      </c>
      <c r="V28" s="44">
        <f t="shared" si="5"/>
        <v>22189.764330821086</v>
      </c>
    </row>
    <row r="29" spans="2:22" x14ac:dyDescent="0.2">
      <c r="B29" s="1" t="s">
        <v>52</v>
      </c>
    </row>
    <row r="35" spans="1:2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" customHeight="1" x14ac:dyDescent="0.2">
      <c r="A36" s="5"/>
      <c r="C36" s="131"/>
      <c r="D36" s="164" t="s">
        <v>84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ht="15.75" customHeight="1" x14ac:dyDescent="0.2">
      <c r="A37" s="5"/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</row>
    <row r="38" spans="1:22" x14ac:dyDescent="0.2">
      <c r="A38" s="5"/>
      <c r="B38" s="167"/>
      <c r="C38" s="161" t="s">
        <v>38</v>
      </c>
      <c r="D38" s="155">
        <v>2000</v>
      </c>
      <c r="E38" s="155">
        <v>2001</v>
      </c>
      <c r="F38" s="155">
        <v>2002</v>
      </c>
      <c r="G38" s="155">
        <v>2003</v>
      </c>
      <c r="H38" s="155">
        <v>2004</v>
      </c>
      <c r="I38" s="155">
        <v>2005</v>
      </c>
      <c r="J38" s="155">
        <v>2006</v>
      </c>
      <c r="K38" s="155">
        <v>2007</v>
      </c>
      <c r="L38" s="155">
        <v>2008</v>
      </c>
      <c r="M38" s="155">
        <v>2009</v>
      </c>
      <c r="N38" s="155">
        <v>2010</v>
      </c>
      <c r="O38" s="155">
        <v>2011</v>
      </c>
      <c r="P38" s="155">
        <v>2012</v>
      </c>
      <c r="Q38" s="155">
        <v>2013</v>
      </c>
      <c r="R38" s="155">
        <v>2014</v>
      </c>
      <c r="S38" s="155">
        <v>2015</v>
      </c>
      <c r="T38" s="155">
        <v>2016</v>
      </c>
      <c r="U38" s="155">
        <v>2017</v>
      </c>
      <c r="V38" s="155">
        <v>2018</v>
      </c>
    </row>
    <row r="39" spans="1:22" ht="12" customHeight="1" thickBot="1" x14ac:dyDescent="0.25">
      <c r="A39" s="5"/>
      <c r="B39" s="156"/>
      <c r="C39" s="162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</row>
    <row r="40" spans="1:22" x14ac:dyDescent="0.2">
      <c r="A40" s="5"/>
      <c r="B40" s="34" t="s">
        <v>39</v>
      </c>
      <c r="C40" s="76" t="s">
        <v>40</v>
      </c>
      <c r="D40" s="41">
        <f t="shared" ref="D40:V40" si="6">+D41+D42+D43+D44</f>
        <v>5541.4195095456662</v>
      </c>
      <c r="E40" s="41">
        <f t="shared" si="6"/>
        <v>5941.0027454614246</v>
      </c>
      <c r="F40" s="41">
        <f t="shared" si="6"/>
        <v>5889.5815837681494</v>
      </c>
      <c r="G40" s="41">
        <f t="shared" si="6"/>
        <v>5886.9882134722448</v>
      </c>
      <c r="H40" s="41">
        <f t="shared" si="6"/>
        <v>12255.381014739458</v>
      </c>
      <c r="I40" s="41">
        <f t="shared" si="6"/>
        <v>11218.75319049586</v>
      </c>
      <c r="J40" s="41">
        <f t="shared" si="6"/>
        <v>6301.1563408395941</v>
      </c>
      <c r="K40" s="41">
        <f t="shared" si="6"/>
        <v>5754.0853545965756</v>
      </c>
      <c r="L40" s="41">
        <f t="shared" si="6"/>
        <v>5795.1542802051263</v>
      </c>
      <c r="M40" s="41">
        <f t="shared" si="6"/>
        <v>7189.0944922238241</v>
      </c>
      <c r="N40" s="41">
        <f t="shared" si="6"/>
        <v>10098.576541990155</v>
      </c>
      <c r="O40" s="41">
        <f t="shared" si="6"/>
        <v>9305.7185520804414</v>
      </c>
      <c r="P40" s="41">
        <f t="shared" si="6"/>
        <v>9115.1457157579262</v>
      </c>
      <c r="Q40" s="41">
        <f t="shared" si="6"/>
        <v>9221.6779762277656</v>
      </c>
      <c r="R40" s="41">
        <f t="shared" si="6"/>
        <v>9407.4987541937317</v>
      </c>
      <c r="S40" s="41">
        <f t="shared" si="6"/>
        <v>9587.8498025941772</v>
      </c>
      <c r="T40" s="41">
        <f t="shared" si="6"/>
        <v>9077.1504442609566</v>
      </c>
      <c r="U40" s="41">
        <f t="shared" si="6"/>
        <v>9318.9102546998765</v>
      </c>
      <c r="V40" s="41">
        <f t="shared" si="6"/>
        <v>8994.920683600405</v>
      </c>
    </row>
    <row r="41" spans="1:22" x14ac:dyDescent="0.2">
      <c r="A41" s="5"/>
      <c r="B41" s="40"/>
      <c r="C41" s="77" t="s">
        <v>56</v>
      </c>
      <c r="D41" s="42">
        <f>434.569263028639*Deflactores!$A$5</f>
        <v>1621.7758001733212</v>
      </c>
      <c r="E41" s="42">
        <f>462.07347314219*Deflactores!$B$5</f>
        <v>1601.9009366448956</v>
      </c>
      <c r="F41" s="42">
        <f>491.842695283009*Deflactores!$C$5</f>
        <v>1593.6765632006814</v>
      </c>
      <c r="G41" s="42">
        <f>508.53503526843*Deflactores!$D$5</f>
        <v>1547.3211369103353</v>
      </c>
      <c r="H41" s="42">
        <f>519.03184188987*Deflactores!$E$5</f>
        <v>1496.9715349524884</v>
      </c>
      <c r="I41" s="42">
        <f>537.78496093108*Deflactores!$F$5</f>
        <v>1479.2390516694736</v>
      </c>
      <c r="J41" s="42">
        <f>569.52066911331*Deflactores!$G$5</f>
        <v>1499.389844361395</v>
      </c>
      <c r="K41" s="42">
        <f>600.011112569499*Deflactores!$H$5</f>
        <v>1494.5558174472164</v>
      </c>
      <c r="L41" s="42">
        <f>714.006121764569*Deflactores!$I$5</f>
        <v>1651.7428513709317</v>
      </c>
      <c r="M41" s="42">
        <f>784.45454828535*Deflactores!$J$5</f>
        <v>1779.1002313437587</v>
      </c>
      <c r="N41" s="42">
        <f>793.888327805699*Deflactores!$K$5</f>
        <v>1745.1528548748847</v>
      </c>
      <c r="O41" s="42">
        <f>831.39335502828*Deflactores!$L$5</f>
        <v>1761.935902225533</v>
      </c>
      <c r="P41" s="42">
        <f>937.192858249097*Deflactores!$M$5</f>
        <v>1938.8444003641844</v>
      </c>
      <c r="Q41" s="42">
        <f>1091.97526146894*Deflactores!$N$5</f>
        <v>2216.0632749862443</v>
      </c>
      <c r="R41" s="42">
        <f>1273.57369292303*Deflactores!$O$5</f>
        <v>2493.3441782561731</v>
      </c>
      <c r="S41" s="42">
        <f>1326.20300545046*Deflactores!$P$5</f>
        <v>2431.7499607443933</v>
      </c>
      <c r="T41" s="42">
        <f>1426.26511408405*Deflactores!$Q$5</f>
        <v>2473.0266323795508</v>
      </c>
      <c r="U41" s="42">
        <f>1547.4665631477*Deflactores!$R$5</f>
        <v>2577.7500203621948</v>
      </c>
      <c r="V41" s="42">
        <f>1809.86422450421*Deflactores!$S$5</f>
        <v>2921.9312759695058</v>
      </c>
    </row>
    <row r="42" spans="1:22" x14ac:dyDescent="0.2">
      <c r="A42" s="5"/>
      <c r="B42" s="40"/>
      <c r="C42" s="77" t="s">
        <v>57</v>
      </c>
      <c r="D42" s="42">
        <f>242.2271596887*Deflactores!$A$5</f>
        <v>903.97130940658235</v>
      </c>
      <c r="E42" s="42">
        <f>251.02699244185*Deflactores!$B$5</f>
        <v>870.25202200259082</v>
      </c>
      <c r="F42" s="42">
        <f>262.793666146579*Deflactores!$C$5</f>
        <v>851.50823771897808</v>
      </c>
      <c r="G42" s="42">
        <f>227.7433330699*Deflactores!$D$5</f>
        <v>692.95534940568416</v>
      </c>
      <c r="H42" s="42">
        <f>249.29071860401*Deflactores!$E$5</f>
        <v>718.99463493269968</v>
      </c>
      <c r="I42" s="42">
        <f>250.34431546311*Deflactores!$F$5</f>
        <v>688.60067629141588</v>
      </c>
      <c r="J42" s="42">
        <f>274.1008536891*Deflactores!$G$5</f>
        <v>721.63146772546213</v>
      </c>
      <c r="K42" s="42">
        <f>271.485695263999*Deflactores!$H$5</f>
        <v>676.23835077473507</v>
      </c>
      <c r="L42" s="42">
        <f>295.69983782566*Deflactores!$I$5</f>
        <v>684.05589026745861</v>
      </c>
      <c r="M42" s="42">
        <f>342.193749986989*Deflactores!$J$5</f>
        <v>776.07680533810469</v>
      </c>
      <c r="N42" s="42">
        <f>358.02012536279*Deflactores!$K$5</f>
        <v>787.01225600139367</v>
      </c>
      <c r="O42" s="42">
        <f>380.145929409269*Deflactores!$L$5</f>
        <v>805.6267915303473</v>
      </c>
      <c r="P42" s="42">
        <f>508.27690454293*Deflactores!$M$5</f>
        <v>1051.5123131098087</v>
      </c>
      <c r="Q42" s="42">
        <f>562.750749762287*Deflactores!$N$5</f>
        <v>1142.0508444866909</v>
      </c>
      <c r="R42" s="42">
        <f>588.812518789808*Deflactores!$O$5</f>
        <v>1152.7501502008872</v>
      </c>
      <c r="S42" s="42">
        <f>581.806818446066*Deflactores!$P$5</f>
        <v>1066.8115681403431</v>
      </c>
      <c r="T42" s="42">
        <f>678.63936884993*Deflactores!$Q$5</f>
        <v>1176.7049592494091</v>
      </c>
      <c r="U42" s="42">
        <f>660.8345022621*Deflactores!$R$5</f>
        <v>1100.809666734996</v>
      </c>
      <c r="V42" s="42">
        <f>667.506875000535*Deflactores!$S$5</f>
        <v>1077.6549912317437</v>
      </c>
    </row>
    <row r="43" spans="1:22" x14ac:dyDescent="0.2">
      <c r="A43" s="5"/>
      <c r="B43" s="40"/>
      <c r="C43" s="77" t="s">
        <v>58</v>
      </c>
      <c r="D43" s="42">
        <f>446.70245230153*Deflactores!$A$5</f>
        <v>1667.0558381690144</v>
      </c>
      <c r="E43" s="42">
        <f>619.54559498521*Deflactores!$B$5</f>
        <v>2147.8200472149338</v>
      </c>
      <c r="F43" s="42">
        <f>590.15871040122*Deflactores!$C$5</f>
        <v>1912.2416869360657</v>
      </c>
      <c r="G43" s="42">
        <f>625.16338690624*Deflactores!$D$5</f>
        <v>1902.1865859682121</v>
      </c>
      <c r="H43" s="42">
        <f>2926.70814690073*Deflactores!$E$5</f>
        <v>8441.0982784242296</v>
      </c>
      <c r="I43" s="42">
        <f>2536.86536542491*Deflactores!$F$5</f>
        <v>6977.9383768323642</v>
      </c>
      <c r="J43" s="42">
        <f>682.82374729575*Deflactores!$G$5</f>
        <v>1797.6854005632995</v>
      </c>
      <c r="K43" s="42">
        <f>692.34615233723*Deflactores!$H$5</f>
        <v>1724.5513424435937</v>
      </c>
      <c r="L43" s="42">
        <f>668.60202703876*Deflactores!$I$5</f>
        <v>1546.7074929891555</v>
      </c>
      <c r="M43" s="42">
        <f>1007.43957823098*Deflactores!$J$5</f>
        <v>2284.8181460777537</v>
      </c>
      <c r="N43" s="42">
        <f>2103.32480113953*Deflactores!$K$5</f>
        <v>4623.6015228783799</v>
      </c>
      <c r="O43" s="42">
        <f>1870.15117088134*Deflactores!$L$5</f>
        <v>3963.3303184782708</v>
      </c>
      <c r="P43" s="42">
        <f>1605.89553657127*Deflactores!$M$5</f>
        <v>3322.2420991000376</v>
      </c>
      <c r="Q43" s="42">
        <f>1572.98460321365*Deflactores!$N$5</f>
        <v>3192.2274563357673</v>
      </c>
      <c r="R43" s="42">
        <f>1542.13749801662*Deflactores!$O$5</f>
        <v>3019.1260812912083</v>
      </c>
      <c r="S43" s="42">
        <f>1858.04590128999*Deflactores!$P$5</f>
        <v>3406.9467713116219</v>
      </c>
      <c r="T43" s="42">
        <f>1539.75343159271*Deflactores!$Q$5</f>
        <v>2669.8060592136026</v>
      </c>
      <c r="U43" s="42">
        <f>1879.00796580775*Deflactores!$R$5</f>
        <v>3130.0274509772062</v>
      </c>
      <c r="V43" s="42">
        <f>1589.51859688868*Deflactores!$S$5</f>
        <v>2566.1947670447448</v>
      </c>
    </row>
    <row r="44" spans="1:22" x14ac:dyDescent="0.2">
      <c r="A44" s="5"/>
      <c r="B44" s="40"/>
      <c r="C44" s="77" t="s">
        <v>59</v>
      </c>
      <c r="D44" s="42">
        <f>361.37381338752*Deflactores!$A$5</f>
        <v>1348.6165617967479</v>
      </c>
      <c r="E44" s="42">
        <f>381.05527372942*Deflactores!$B$5</f>
        <v>1321.0297395990046</v>
      </c>
      <c r="F44" s="42">
        <f>472.85585379489*Deflactores!$C$5</f>
        <v>1532.1550959124247</v>
      </c>
      <c r="G44" s="42">
        <f>573.34714367837*Deflactores!$D$5</f>
        <v>1744.5251411880126</v>
      </c>
      <c r="H44" s="42">
        <f>554.17031789025*Deflactores!$E$5</f>
        <v>1598.3165664300393</v>
      </c>
      <c r="I44" s="42">
        <f>753.64074807077*Deflactores!$F$5</f>
        <v>2072.9750857026065</v>
      </c>
      <c r="J44" s="42">
        <f>866.95414428228*Deflactores!$G$5</f>
        <v>2282.449628189438</v>
      </c>
      <c r="K44" s="42">
        <f>746.21807276442*Deflactores!$H$5</f>
        <v>1858.7398439310298</v>
      </c>
      <c r="L44" s="42">
        <f>826.78875358229*Deflactores!$I$5</f>
        <v>1912.64804557758</v>
      </c>
      <c r="M44" s="42">
        <f>1035.78292286058*Deflactores!$J$5</f>
        <v>2349.0993094642072</v>
      </c>
      <c r="N44" s="42">
        <f>1338.71507620266*Deflactores!$K$5</f>
        <v>2942.8099082354966</v>
      </c>
      <c r="O44" s="42">
        <f>1309.33906975673*Deflactores!$L$5</f>
        <v>2774.8255398462888</v>
      </c>
      <c r="P44" s="42">
        <f>1354.68681348473*Deflactores!$M$5</f>
        <v>2802.5469031838943</v>
      </c>
      <c r="Q44" s="42">
        <f>1316.31316544299*Deflactores!$N$5</f>
        <v>2671.3364004190621</v>
      </c>
      <c r="R44" s="42">
        <f>1400.72661793563*Deflactores!$O$5</f>
        <v>2742.2783444454635</v>
      </c>
      <c r="S44" s="42">
        <f>1462.86806602252*Deflactores!$P$5</f>
        <v>2682.3415023978187</v>
      </c>
      <c r="T44" s="42">
        <f>1590.39408387612*Deflactores!$Q$5</f>
        <v>2757.6127934183942</v>
      </c>
      <c r="U44" s="42">
        <f>1506.98906216237*Deflactores!$R$5</f>
        <v>2510.3231166254795</v>
      </c>
      <c r="V44" s="42">
        <f>1504.6257192454*Deflactores!$S$5</f>
        <v>2429.1396493544098</v>
      </c>
    </row>
    <row r="45" spans="1:22" x14ac:dyDescent="0.2">
      <c r="A45" s="5"/>
      <c r="B45" s="34" t="s">
        <v>41</v>
      </c>
      <c r="C45" s="76" t="s">
        <v>42</v>
      </c>
      <c r="D45" s="41">
        <f t="shared" ref="D45:V45" si="7">+D46+D49</f>
        <v>134.88353840355265</v>
      </c>
      <c r="E45" s="41">
        <f t="shared" si="7"/>
        <v>13.572447607769201</v>
      </c>
      <c r="F45" s="41">
        <f t="shared" si="7"/>
        <v>14.18665081367252</v>
      </c>
      <c r="G45" s="41">
        <f t="shared" si="7"/>
        <v>14.251417528055271</v>
      </c>
      <c r="H45" s="41">
        <f t="shared" si="7"/>
        <v>11.286978537056802</v>
      </c>
      <c r="I45" s="41">
        <f t="shared" si="7"/>
        <v>10.650247265828977</v>
      </c>
      <c r="J45" s="41">
        <f t="shared" si="7"/>
        <v>7.8191565240194469</v>
      </c>
      <c r="K45" s="41">
        <f t="shared" si="7"/>
        <v>4.6209116208849226</v>
      </c>
      <c r="L45" s="41">
        <f t="shared" si="7"/>
        <v>5.3148852048444759</v>
      </c>
      <c r="M45" s="41">
        <f t="shared" si="7"/>
        <v>7.5253735532170776</v>
      </c>
      <c r="N45" s="41">
        <f t="shared" si="7"/>
        <v>4.8149820210607732</v>
      </c>
      <c r="O45" s="41">
        <f t="shared" si="7"/>
        <v>2.5011029736057542</v>
      </c>
      <c r="P45" s="41">
        <f t="shared" si="7"/>
        <v>2.2094039577845117</v>
      </c>
      <c r="Q45" s="41">
        <f t="shared" si="7"/>
        <v>2.0249109710638953</v>
      </c>
      <c r="R45" s="41">
        <f t="shared" si="7"/>
        <v>2.0468449671834521</v>
      </c>
      <c r="S45" s="41">
        <f t="shared" si="7"/>
        <v>2.8806761272637789</v>
      </c>
      <c r="T45" s="41">
        <f t="shared" si="7"/>
        <v>2.2310378068843546</v>
      </c>
      <c r="U45" s="41">
        <f t="shared" si="7"/>
        <v>2.4612011821200301</v>
      </c>
      <c r="V45" s="41">
        <f t="shared" si="7"/>
        <v>2.0409068481359198</v>
      </c>
    </row>
    <row r="46" spans="1:22" x14ac:dyDescent="0.2">
      <c r="A46" s="5"/>
      <c r="B46" s="34"/>
      <c r="C46" s="76" t="s">
        <v>43</v>
      </c>
      <c r="D46" s="41">
        <f t="shared" ref="D46:V46" si="8">+D47+D48</f>
        <v>17.150322779772523</v>
      </c>
      <c r="E46" s="41">
        <f t="shared" si="8"/>
        <v>12.174175645808459</v>
      </c>
      <c r="F46" s="41">
        <f t="shared" si="8"/>
        <v>11.462960680747216</v>
      </c>
      <c r="G46" s="41">
        <f t="shared" si="8"/>
        <v>10.534398176128741</v>
      </c>
      <c r="H46" s="41">
        <f t="shared" si="8"/>
        <v>7.8369448289319763</v>
      </c>
      <c r="I46" s="41">
        <f t="shared" si="8"/>
        <v>5.2755720720801795</v>
      </c>
      <c r="J46" s="41">
        <f t="shared" si="8"/>
        <v>3.4830626689746627</v>
      </c>
      <c r="K46" s="41">
        <f t="shared" si="8"/>
        <v>3.1647430390431315</v>
      </c>
      <c r="L46" s="41">
        <f t="shared" si="8"/>
        <v>2.5899955360814624</v>
      </c>
      <c r="M46" s="41">
        <f t="shared" si="8"/>
        <v>2.2747494210435115</v>
      </c>
      <c r="N46" s="41">
        <f t="shared" si="8"/>
        <v>2.3607933148358051</v>
      </c>
      <c r="O46" s="41">
        <f t="shared" si="8"/>
        <v>1.1902439421049511</v>
      </c>
      <c r="P46" s="41">
        <f t="shared" si="8"/>
        <v>0.3044565282131188</v>
      </c>
      <c r="Q46" s="41">
        <f t="shared" si="8"/>
        <v>0.30230971190476208</v>
      </c>
      <c r="R46" s="41">
        <f t="shared" si="8"/>
        <v>0.31481988156229873</v>
      </c>
      <c r="S46" s="41">
        <f t="shared" si="8"/>
        <v>0.34945462279447376</v>
      </c>
      <c r="T46" s="41">
        <f t="shared" si="8"/>
        <v>0.39961054876736585</v>
      </c>
      <c r="U46" s="41">
        <f t="shared" si="8"/>
        <v>0.40700922828587516</v>
      </c>
      <c r="V46" s="41">
        <f t="shared" si="8"/>
        <v>0.19174123010306576</v>
      </c>
    </row>
    <row r="47" spans="1:22" x14ac:dyDescent="0.2">
      <c r="A47" s="5"/>
      <c r="B47" s="32"/>
      <c r="C47" s="77" t="s">
        <v>60</v>
      </c>
      <c r="D47" s="42">
        <f>3.65824905912*Deflactores!$A$5</f>
        <v>13.652276633049977</v>
      </c>
      <c r="E47" s="42">
        <f>2.91486056692*Deflactores!$B$5</f>
        <v>10.10514159271283</v>
      </c>
      <c r="F47" s="42">
        <f>2.97582357547999*Deflactores!$C$5</f>
        <v>9.6423111168371687</v>
      </c>
      <c r="G47" s="42">
        <f>3.0890682435*Deflactores!$D$5</f>
        <v>9.3991175730950918</v>
      </c>
      <c r="H47" s="42">
        <f>2.40092111228*Deflactores!$E$5</f>
        <v>6.9246436782432292</v>
      </c>
      <c r="I47" s="42">
        <f>1.69820650503*Deflactores!$F$5</f>
        <v>4.6711112480541104</v>
      </c>
      <c r="J47" s="42">
        <f>1.15288949445999*Deflactores!$G$5</f>
        <v>3.0352380403604435</v>
      </c>
      <c r="K47" s="42">
        <f>1.12667958094*Deflactores!$H$5</f>
        <v>2.8064238925205327</v>
      </c>
      <c r="L47" s="42">
        <f>1.01209124926999*Deflactores!$I$5</f>
        <v>2.3413167407939963</v>
      </c>
      <c r="M47" s="42">
        <f>0.91639999937*Deflactores!$J$5</f>
        <v>2.0783453349161172</v>
      </c>
      <c r="N47" s="42">
        <f>1.0035663036*Deflactores!$K$5</f>
        <v>2.2060742530685222</v>
      </c>
      <c r="O47" s="42">
        <f>0.531089072*Deflactores!$L$5</f>
        <v>1.12551405129358</v>
      </c>
      <c r="P47" s="42">
        <f>0.121940248*Deflactores!$M$5</f>
        <v>0.25226735877556261</v>
      </c>
      <c r="Q47" s="42">
        <f>0.127142019*Deflactores!$N$5</f>
        <v>0.25802302392316373</v>
      </c>
      <c r="R47" s="42">
        <f>0.14275677018*Deflactores!$O$5</f>
        <v>0.27948265876788114</v>
      </c>
      <c r="S47" s="42">
        <f>0.170141165*Deflactores!$P$5</f>
        <v>0.31197393582230915</v>
      </c>
      <c r="T47" s="42">
        <f>0.213840013*Deflactores!$Q$5</f>
        <v>0.37078102941402041</v>
      </c>
      <c r="U47" s="42">
        <f>0.23542695539*Deflactores!$R$5</f>
        <v>0.39217121293783863</v>
      </c>
      <c r="V47" s="42">
        <f>0.11701085069*Deflactores!$S$5</f>
        <v>0.18890790791368214</v>
      </c>
    </row>
    <row r="48" spans="1:22" x14ac:dyDescent="0.2">
      <c r="A48" s="5"/>
      <c r="B48" s="32"/>
      <c r="C48" s="77" t="s">
        <v>61</v>
      </c>
      <c r="D48" s="42">
        <f>0.93733260532*Deflactores!$A$5</f>
        <v>3.4980461467225452</v>
      </c>
      <c r="E48" s="42">
        <f>0.59681952179*Deflactores!$B$5</f>
        <v>2.069034053095629</v>
      </c>
      <c r="F48" s="42">
        <f>0.561891420979999*Deflactores!$C$5</f>
        <v>1.8206495639100462</v>
      </c>
      <c r="G48" s="42">
        <f>0.37311579848*Deflactores!$D$5</f>
        <v>1.1352806030336489</v>
      </c>
      <c r="H48" s="42">
        <f>0.316314195389999*Deflactores!$E$5</f>
        <v>0.91230115068874695</v>
      </c>
      <c r="I48" s="42">
        <f>0.21975483967*Deflactores!$F$5</f>
        <v>0.60446082402606915</v>
      </c>
      <c r="J48" s="42">
        <f>0.17009944618*Deflactores!$G$5</f>
        <v>0.44782462861421923</v>
      </c>
      <c r="K48" s="42">
        <f>0.14385241906*Deflactores!$H$5</f>
        <v>0.35831914652259877</v>
      </c>
      <c r="L48" s="42">
        <f>0.10749747277*Deflactores!$I$5</f>
        <v>0.24867879528746617</v>
      </c>
      <c r="M48" s="42">
        <f>0.0865999992299999*Deflactores!$J$5</f>
        <v>0.19640408612739438</v>
      </c>
      <c r="N48" s="42">
        <f>0.07038332309*Deflactores!$K$5</f>
        <v>0.15471906176728295</v>
      </c>
      <c r="O48" s="42">
        <f>0.0305436769999999*Deflactores!$L$5</f>
        <v>6.4729890811371149E-2</v>
      </c>
      <c r="P48" s="42">
        <f>0.025227046*Deflactores!$M$5</f>
        <v>5.2189169437556186E-2</v>
      </c>
      <c r="Q48" s="42">
        <f>0.021822467*Deflactores!$N$5</f>
        <v>4.4286687981598363E-2</v>
      </c>
      <c r="R48" s="42">
        <f>0.01804987764*Deflactores!$O$5</f>
        <v>3.5337222794417582E-2</v>
      </c>
      <c r="S48" s="42">
        <f>0.020440835*Deflactores!$P$5</f>
        <v>3.7480686972164619E-2</v>
      </c>
      <c r="T48" s="42">
        <f>0.01662680748*Deflactores!$Q$5</f>
        <v>2.882951935334541E-2</v>
      </c>
      <c r="U48" s="42">
        <f>0.00890750943*Deflactores!$R$5</f>
        <v>1.4838015348036549E-2</v>
      </c>
      <c r="V48" s="42">
        <f>0.00175497914999999*Deflactores!$S$5</f>
        <v>2.8333221893836165E-3</v>
      </c>
    </row>
    <row r="49" spans="1:22" x14ac:dyDescent="0.2">
      <c r="A49" s="5"/>
      <c r="B49" s="34"/>
      <c r="C49" s="76" t="s">
        <v>44</v>
      </c>
      <c r="D49" s="41">
        <f t="shared" ref="D49:V49" si="9">+D50+D51</f>
        <v>117.73321562378013</v>
      </c>
      <c r="E49" s="41">
        <f t="shared" si="9"/>
        <v>1.3982719619607415</v>
      </c>
      <c r="F49" s="41">
        <f t="shared" si="9"/>
        <v>2.723690132925304</v>
      </c>
      <c r="G49" s="41">
        <f t="shared" si="9"/>
        <v>3.7170193519265289</v>
      </c>
      <c r="H49" s="41">
        <f t="shared" si="9"/>
        <v>3.4500337081248262</v>
      </c>
      <c r="I49" s="41">
        <f t="shared" si="9"/>
        <v>5.3746751937487973</v>
      </c>
      <c r="J49" s="41">
        <f t="shared" si="9"/>
        <v>4.3360938550447843</v>
      </c>
      <c r="K49" s="41">
        <f t="shared" si="9"/>
        <v>1.4561685818417911</v>
      </c>
      <c r="L49" s="41">
        <f t="shared" si="9"/>
        <v>2.724889668763014</v>
      </c>
      <c r="M49" s="41">
        <f t="shared" si="9"/>
        <v>5.2506241321735665</v>
      </c>
      <c r="N49" s="41">
        <f t="shared" si="9"/>
        <v>2.4541887062249685</v>
      </c>
      <c r="O49" s="41">
        <f t="shared" si="9"/>
        <v>1.3108590315008031</v>
      </c>
      <c r="P49" s="41">
        <f t="shared" si="9"/>
        <v>1.9049474295713931</v>
      </c>
      <c r="Q49" s="41">
        <f t="shared" si="9"/>
        <v>1.7226012591591333</v>
      </c>
      <c r="R49" s="41">
        <f t="shared" si="9"/>
        <v>1.7320250856211534</v>
      </c>
      <c r="S49" s="41">
        <f t="shared" si="9"/>
        <v>2.5312215044693049</v>
      </c>
      <c r="T49" s="41">
        <f t="shared" si="9"/>
        <v>1.8314272581169886</v>
      </c>
      <c r="U49" s="41">
        <f t="shared" si="9"/>
        <v>2.0541919538341551</v>
      </c>
      <c r="V49" s="41">
        <f t="shared" si="9"/>
        <v>1.849165618032854</v>
      </c>
    </row>
    <row r="50" spans="1:22" x14ac:dyDescent="0.2">
      <c r="A50" s="5"/>
      <c r="B50" s="32"/>
      <c r="C50" s="77" t="s">
        <v>60</v>
      </c>
      <c r="D50" s="42">
        <f>22.343096502*Deflactores!$A$5</f>
        <v>83.382549781236591</v>
      </c>
      <c r="E50" s="42">
        <f>0.067668509*Deflactores!$B$5</f>
        <v>0.23459093466529091</v>
      </c>
      <c r="F50" s="42">
        <f>0.51002678493*Deflactores!$C$5</f>
        <v>1.6525969411415893</v>
      </c>
      <c r="G50" s="42">
        <f>0.87329680818*Deflactores!$D$5</f>
        <v>2.6571829203075006</v>
      </c>
      <c r="H50" s="42">
        <f>0.8703*Deflactores!$E$5</f>
        <v>2.5100855510625615</v>
      </c>
      <c r="I50" s="42">
        <f>1.442057823*Deflactores!$F$5</f>
        <v>3.9665449975653746</v>
      </c>
      <c r="J50" s="42">
        <f>1.2344*Deflactores!$G$5</f>
        <v>3.2498325772114645</v>
      </c>
      <c r="K50" s="42">
        <f>0.205*Deflactores!$H$5</f>
        <v>0.51063044693391579</v>
      </c>
      <c r="L50" s="42">
        <f>0.9096*Deflactores!$I$5</f>
        <v>2.1042190701306032</v>
      </c>
      <c r="M50" s="42">
        <f>0.8124*Deflactores!$J$5</f>
        <v>1.8424789952494711</v>
      </c>
      <c r="N50" s="42">
        <f>0.89234439156*Deflactores!$K$5</f>
        <v>1.961582388755895</v>
      </c>
      <c r="O50" s="42">
        <f>0.549967381*Deflactores!$L$5</f>
        <v>1.1655220333146485</v>
      </c>
      <c r="P50" s="42">
        <f>0.795709454*Deflactores!$M$5</f>
        <v>1.6461465808510167</v>
      </c>
      <c r="Q50" s="42">
        <f>0.708641824*Deflactores!$N$5</f>
        <v>1.4381233501326289</v>
      </c>
      <c r="R50" s="42">
        <f>0.740299999*Deflactores!$O$5</f>
        <v>1.4493253927326963</v>
      </c>
      <c r="S50" s="42">
        <f>1.250644745*Deflactores!$P$5</f>
        <v>2.2932049596177277</v>
      </c>
      <c r="T50" s="42">
        <f>0.9343812038*Deflactores!$Q$5</f>
        <v>1.6201403083999795</v>
      </c>
      <c r="U50" s="42">
        <f>1.1078660112*Deflactores!$R$5</f>
        <v>1.845469040132538</v>
      </c>
      <c r="V50" s="42">
        <f>1.022488845*Deflactores!$S$5</f>
        <v>1.6507548439739252</v>
      </c>
    </row>
    <row r="51" spans="1:22" x14ac:dyDescent="0.2">
      <c r="A51" s="5"/>
      <c r="B51" s="32"/>
      <c r="C51" s="77" t="s">
        <v>61</v>
      </c>
      <c r="D51" s="42">
        <f>9.204566709*Deflactores!$A$5</f>
        <v>34.350665842543542</v>
      </c>
      <c r="E51" s="42">
        <f>0.335667532*Deflactores!$B$5</f>
        <v>1.1636810272954505</v>
      </c>
      <c r="F51" s="42">
        <f>0.33056228253*Deflactores!$C$5</f>
        <v>1.0710931917837145</v>
      </c>
      <c r="G51" s="42">
        <f>0.34832068423*Deflactores!$D$5</f>
        <v>1.0598364316190283</v>
      </c>
      <c r="H51" s="42">
        <f>0.3259*Deflactores!$E$5</f>
        <v>0.93994815706226464</v>
      </c>
      <c r="I51" s="42">
        <f>0.511932971*Deflactores!$F$5</f>
        <v>1.4081301961834229</v>
      </c>
      <c r="J51" s="42">
        <f>0.4126*Deflactores!$G$5</f>
        <v>1.08626127783332</v>
      </c>
      <c r="K51" s="42">
        <f>0.3796*Deflactores!$H$5</f>
        <v>0.94553813490787531</v>
      </c>
      <c r="L51" s="42">
        <f>0.2683*Deflactores!$I$5</f>
        <v>0.6206705986324107</v>
      </c>
      <c r="M51" s="42">
        <f>1.502745549*Deflactores!$J$5</f>
        <v>3.4081451369240949</v>
      </c>
      <c r="N51" s="42">
        <f>0.22409177772*Deflactores!$K$5</f>
        <v>0.49260631746907357</v>
      </c>
      <c r="O51" s="42">
        <f>0.068579234*Deflactores!$L$5</f>
        <v>0.14533699818615442</v>
      </c>
      <c r="P51" s="42">
        <f>0.125098387*Deflactores!$M$5</f>
        <v>0.2588008487203764</v>
      </c>
      <c r="Q51" s="42">
        <f>0.140177784*Deflactores!$N$5</f>
        <v>0.28447790902650427</v>
      </c>
      <c r="R51" s="42">
        <f>0.144399997*Deflactores!$O$5</f>
        <v>0.2826996928884572</v>
      </c>
      <c r="S51" s="42">
        <f>0.129807037*Deflactores!$P$5</f>
        <v>0.23801654485157725</v>
      </c>
      <c r="T51" s="42">
        <f>0.12185522044*Deflactores!$Q$5</f>
        <v>0.21128694971700915</v>
      </c>
      <c r="U51" s="42">
        <f>0.12529986514*Deflactores!$R$5</f>
        <v>0.208722913701617</v>
      </c>
      <c r="V51" s="42">
        <f>0.122896991*Deflactores!$S$5</f>
        <v>0.19841077405892862</v>
      </c>
    </row>
    <row r="52" spans="1:22" x14ac:dyDescent="0.2">
      <c r="A52" s="5"/>
      <c r="B52" s="34" t="s">
        <v>45</v>
      </c>
      <c r="C52" s="76" t="s">
        <v>46</v>
      </c>
      <c r="D52" s="41">
        <f>1816.90084432714*Deflactores!$A$5</f>
        <v>6780.5205552470079</v>
      </c>
      <c r="E52" s="41">
        <f>2444.42400977596*Deflactores!$B$5</f>
        <v>8474.247794814286</v>
      </c>
      <c r="F52" s="41">
        <f>2611.04680600357*Deflactores!$C$5</f>
        <v>8460.3555975422769</v>
      </c>
      <c r="G52" s="41">
        <f>2593.3764388676*Deflactores!$D$5</f>
        <v>7890.8745740732375</v>
      </c>
      <c r="H52" s="41">
        <f>3028.58485493613*Deflactores!$E$5</f>
        <v>8734.9271337953396</v>
      </c>
      <c r="I52" s="41">
        <f>3282.95946242233*Deflactores!$F$5</f>
        <v>9030.1555355046276</v>
      </c>
      <c r="J52" s="41">
        <f>3997.02975798642*Deflactores!$G$5</f>
        <v>10523.069928376477</v>
      </c>
      <c r="K52" s="41">
        <f>4579.31653701105*Deflactores!$H$5</f>
        <v>11406.529024125972</v>
      </c>
      <c r="L52" s="41">
        <f>5668.10436126272*Deflactores!$I$5</f>
        <v>13112.283738411892</v>
      </c>
      <c r="M52" s="41">
        <f>6985.85880736266*Deflactores!$J$5</f>
        <v>15843.547656750643</v>
      </c>
      <c r="N52" s="41">
        <f>6771.62051244038*Deflactores!$K$5</f>
        <v>14885.611055749076</v>
      </c>
      <c r="O52" s="41">
        <f>6770.34379832602*Deflactores!$L$5</f>
        <v>14348.096164750841</v>
      </c>
      <c r="P52" s="41">
        <f>7612.25867998777*Deflactores!$M$5</f>
        <v>15748.076808215656</v>
      </c>
      <c r="Q52" s="41">
        <f>8537.56862075744*Deflactores!$N$5</f>
        <v>17326.20961823289</v>
      </c>
      <c r="R52" s="41">
        <f>5662.63794292863*Deflactores!$O$5</f>
        <v>11086.052913175952</v>
      </c>
      <c r="S52" s="41">
        <f>6108.66604407169*Deflactores!$P$5</f>
        <v>11200.961204145631</v>
      </c>
      <c r="T52" s="41">
        <f>7604.45771518405*Deflactores!$Q$5</f>
        <v>13185.505463710067</v>
      </c>
      <c r="U52" s="41">
        <f>8576.41154759714*Deflactores!$R$5</f>
        <v>14286.476727796653</v>
      </c>
      <c r="V52" s="41">
        <f>7312.07314657487*Deflactores!$S$5</f>
        <v>11804.960245018741</v>
      </c>
    </row>
    <row r="53" spans="1:22" x14ac:dyDescent="0.2">
      <c r="A53" s="5"/>
      <c r="B53" s="36" t="s">
        <v>47</v>
      </c>
      <c r="C53" s="78" t="s">
        <v>48</v>
      </c>
      <c r="D53" s="43">
        <f t="shared" ref="D53:V53" si="10">+D40+D52</f>
        <v>12321.940064792674</v>
      </c>
      <c r="E53" s="43">
        <f t="shared" si="10"/>
        <v>14415.250540275711</v>
      </c>
      <c r="F53" s="43">
        <f t="shared" si="10"/>
        <v>14349.937181310426</v>
      </c>
      <c r="G53" s="43">
        <f t="shared" si="10"/>
        <v>13777.862787545482</v>
      </c>
      <c r="H53" s="43">
        <f t="shared" si="10"/>
        <v>20990.308148534798</v>
      </c>
      <c r="I53" s="43">
        <f t="shared" si="10"/>
        <v>20248.908726000489</v>
      </c>
      <c r="J53" s="43">
        <f t="shared" si="10"/>
        <v>16824.226269216073</v>
      </c>
      <c r="K53" s="43">
        <f t="shared" si="10"/>
        <v>17160.614378722548</v>
      </c>
      <c r="L53" s="43">
        <f t="shared" si="10"/>
        <v>18907.438018617016</v>
      </c>
      <c r="M53" s="43">
        <f t="shared" si="10"/>
        <v>23032.642148974468</v>
      </c>
      <c r="N53" s="43">
        <f t="shared" si="10"/>
        <v>24984.18759773923</v>
      </c>
      <c r="O53" s="43">
        <f t="shared" si="10"/>
        <v>23653.814716831283</v>
      </c>
      <c r="P53" s="43">
        <f t="shared" si="10"/>
        <v>24863.222523973582</v>
      </c>
      <c r="Q53" s="43">
        <f t="shared" si="10"/>
        <v>26547.887594460655</v>
      </c>
      <c r="R53" s="43">
        <f t="shared" si="10"/>
        <v>20493.551667369684</v>
      </c>
      <c r="S53" s="43">
        <f t="shared" si="10"/>
        <v>20788.811006739808</v>
      </c>
      <c r="T53" s="43">
        <f t="shared" si="10"/>
        <v>22262.655907971024</v>
      </c>
      <c r="U53" s="43">
        <f t="shared" si="10"/>
        <v>23605.38698249653</v>
      </c>
      <c r="V53" s="43">
        <f t="shared" si="10"/>
        <v>20799.880928619146</v>
      </c>
    </row>
    <row r="54" spans="1:22" x14ac:dyDescent="0.2">
      <c r="A54" s="5"/>
      <c r="B54" s="38" t="s">
        <v>49</v>
      </c>
      <c r="C54" s="79" t="s">
        <v>63</v>
      </c>
      <c r="D54" s="44">
        <f t="shared" ref="D54:V54" si="11">+D40+D45+D52</f>
        <v>12456.823603196226</v>
      </c>
      <c r="E54" s="44">
        <f t="shared" si="11"/>
        <v>14428.822987883479</v>
      </c>
      <c r="F54" s="44">
        <f t="shared" si="11"/>
        <v>14364.1238321241</v>
      </c>
      <c r="G54" s="44">
        <f t="shared" si="11"/>
        <v>13792.114205073536</v>
      </c>
      <c r="H54" s="44">
        <f t="shared" si="11"/>
        <v>21001.595127071854</v>
      </c>
      <c r="I54" s="44">
        <f t="shared" si="11"/>
        <v>20259.558973266314</v>
      </c>
      <c r="J54" s="44">
        <f t="shared" si="11"/>
        <v>16832.045425740092</v>
      </c>
      <c r="K54" s="44">
        <f t="shared" si="11"/>
        <v>17165.235290343433</v>
      </c>
      <c r="L54" s="44">
        <f t="shared" si="11"/>
        <v>18912.752903821864</v>
      </c>
      <c r="M54" s="44">
        <f t="shared" si="11"/>
        <v>23040.167522527685</v>
      </c>
      <c r="N54" s="44">
        <f t="shared" si="11"/>
        <v>24989.00257976029</v>
      </c>
      <c r="O54" s="44">
        <f t="shared" si="11"/>
        <v>23656.315819804888</v>
      </c>
      <c r="P54" s="44">
        <f t="shared" si="11"/>
        <v>24865.431927931364</v>
      </c>
      <c r="Q54" s="44">
        <f t="shared" si="11"/>
        <v>26549.912505431719</v>
      </c>
      <c r="R54" s="44">
        <f t="shared" si="11"/>
        <v>20495.598512336866</v>
      </c>
      <c r="S54" s="44">
        <f t="shared" si="11"/>
        <v>20791.691682867073</v>
      </c>
      <c r="T54" s="44">
        <f t="shared" si="11"/>
        <v>22264.886945777907</v>
      </c>
      <c r="U54" s="44">
        <f t="shared" si="11"/>
        <v>23607.848183678652</v>
      </c>
      <c r="V54" s="44">
        <f t="shared" si="11"/>
        <v>20801.921835467285</v>
      </c>
    </row>
    <row r="55" spans="1:22" x14ac:dyDescent="0.2">
      <c r="A55" s="5"/>
      <c r="B55" s="36" t="s">
        <v>64</v>
      </c>
      <c r="C55" s="78" t="s">
        <v>65</v>
      </c>
      <c r="D55" s="43">
        <f t="shared" ref="D55:V55" si="12">+D27</f>
        <v>15453.211183002455</v>
      </c>
      <c r="E55" s="43">
        <f t="shared" si="12"/>
        <v>16511.668507063165</v>
      </c>
      <c r="F55" s="43">
        <f t="shared" si="12"/>
        <v>16365.13672221762</v>
      </c>
      <c r="G55" s="43">
        <f t="shared" si="12"/>
        <v>14883.222018655233</v>
      </c>
      <c r="H55" s="43">
        <f t="shared" si="12"/>
        <v>22257.578938138027</v>
      </c>
      <c r="I55" s="43">
        <f t="shared" si="12"/>
        <v>21348.332354937964</v>
      </c>
      <c r="J55" s="43">
        <f t="shared" si="12"/>
        <v>18349.719216977588</v>
      </c>
      <c r="K55" s="43">
        <f t="shared" si="12"/>
        <v>19029.037387067838</v>
      </c>
      <c r="L55" s="43">
        <f t="shared" si="12"/>
        <v>20376.397307770425</v>
      </c>
      <c r="M55" s="43">
        <f t="shared" si="12"/>
        <v>25429.511701911797</v>
      </c>
      <c r="N55" s="43">
        <f t="shared" si="12"/>
        <v>27710.663711537865</v>
      </c>
      <c r="O55" s="43">
        <f t="shared" si="12"/>
        <v>27320.618107980103</v>
      </c>
      <c r="P55" s="43">
        <f t="shared" si="12"/>
        <v>27403.026491694902</v>
      </c>
      <c r="Q55" s="43">
        <f t="shared" si="12"/>
        <v>29231.873071315735</v>
      </c>
      <c r="R55" s="43">
        <f t="shared" si="12"/>
        <v>22344.556256321448</v>
      </c>
      <c r="S55" s="43">
        <f t="shared" si="12"/>
        <v>22475.241001465962</v>
      </c>
      <c r="T55" s="43">
        <f t="shared" si="12"/>
        <v>23158.867601117716</v>
      </c>
      <c r="U55" s="43">
        <f t="shared" si="12"/>
        <v>24346.025521751541</v>
      </c>
      <c r="V55" s="43">
        <f t="shared" si="12"/>
        <v>22187.686870138506</v>
      </c>
    </row>
    <row r="56" spans="1:22" x14ac:dyDescent="0.2">
      <c r="A56" s="5"/>
      <c r="B56" s="38" t="s">
        <v>66</v>
      </c>
      <c r="C56" s="66" t="s">
        <v>77</v>
      </c>
      <c r="D56" s="45">
        <f t="shared" ref="D56:V56" si="13">+D53/D$27*100</f>
        <v>79.737084537782152</v>
      </c>
      <c r="E56" s="45">
        <f t="shared" si="13"/>
        <v>87.303415364167023</v>
      </c>
      <c r="F56" s="45">
        <f t="shared" si="13"/>
        <v>87.686020745727589</v>
      </c>
      <c r="G56" s="45">
        <f t="shared" si="13"/>
        <v>92.573118712304037</v>
      </c>
      <c r="H56" s="45">
        <f t="shared" si="13"/>
        <v>94.306340356579483</v>
      </c>
      <c r="I56" s="45">
        <f t="shared" si="13"/>
        <v>94.850072545909313</v>
      </c>
      <c r="J56" s="45">
        <f t="shared" si="13"/>
        <v>91.686559724848024</v>
      </c>
      <c r="K56" s="45">
        <f t="shared" si="13"/>
        <v>90.181200602322249</v>
      </c>
      <c r="L56" s="45">
        <f t="shared" si="13"/>
        <v>92.790878255042514</v>
      </c>
      <c r="M56" s="45">
        <f t="shared" si="13"/>
        <v>90.574457028378049</v>
      </c>
      <c r="N56" s="45">
        <f t="shared" si="13"/>
        <v>90.160913711123371</v>
      </c>
      <c r="O56" s="45">
        <f t="shared" si="13"/>
        <v>86.578622135647137</v>
      </c>
      <c r="P56" s="45">
        <f t="shared" si="13"/>
        <v>90.731666195735485</v>
      </c>
      <c r="Q56" s="45">
        <f t="shared" si="13"/>
        <v>90.818291149844981</v>
      </c>
      <c r="R56" s="45">
        <f t="shared" si="13"/>
        <v>91.716082576363092</v>
      </c>
      <c r="S56" s="45">
        <f t="shared" si="13"/>
        <v>92.496498726682603</v>
      </c>
      <c r="T56" s="45">
        <f t="shared" si="13"/>
        <v>96.130157533680801</v>
      </c>
      <c r="U56" s="45">
        <f t="shared" si="13"/>
        <v>96.957866742588848</v>
      </c>
      <c r="V56" s="45">
        <f t="shared" si="13"/>
        <v>93.745152662186015</v>
      </c>
    </row>
    <row r="57" spans="1:22" x14ac:dyDescent="0.2">
      <c r="B57" s="1" t="s">
        <v>52</v>
      </c>
      <c r="C57" s="15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62" spans="1:22" ht="18" customHeight="1" x14ac:dyDescent="0.2">
      <c r="A62" s="5"/>
      <c r="C62" s="131"/>
      <c r="D62" s="164" t="s">
        <v>85</v>
      </c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</row>
    <row r="63" spans="1:22" x14ac:dyDescent="0.2">
      <c r="A63" s="5"/>
      <c r="T63" s="29"/>
      <c r="U63" s="29"/>
      <c r="V63" s="29"/>
    </row>
    <row r="64" spans="1:22" x14ac:dyDescent="0.2">
      <c r="A64" s="5"/>
      <c r="B64" s="167"/>
      <c r="C64" s="161" t="s">
        <v>38</v>
      </c>
      <c r="D64" s="155">
        <v>2000</v>
      </c>
      <c r="E64" s="155">
        <v>2001</v>
      </c>
      <c r="F64" s="155">
        <v>2002</v>
      </c>
      <c r="G64" s="155">
        <v>2003</v>
      </c>
      <c r="H64" s="155">
        <v>2004</v>
      </c>
      <c r="I64" s="155">
        <v>2005</v>
      </c>
      <c r="J64" s="155">
        <v>2006</v>
      </c>
      <c r="K64" s="155">
        <v>2007</v>
      </c>
      <c r="L64" s="155">
        <v>2008</v>
      </c>
      <c r="M64" s="155">
        <v>2009</v>
      </c>
      <c r="N64" s="155">
        <v>2010</v>
      </c>
      <c r="O64" s="155">
        <v>2011</v>
      </c>
      <c r="P64" s="155">
        <v>2012</v>
      </c>
      <c r="Q64" s="155">
        <v>2013</v>
      </c>
      <c r="R64" s="155">
        <v>2014</v>
      </c>
      <c r="S64" s="155">
        <v>2015</v>
      </c>
      <c r="T64" s="155">
        <v>2016</v>
      </c>
      <c r="U64" s="155">
        <v>2017</v>
      </c>
      <c r="V64" s="155">
        <v>2018</v>
      </c>
    </row>
    <row r="65" spans="1:22" ht="12" customHeight="1" thickBot="1" x14ac:dyDescent="0.25">
      <c r="A65" s="5"/>
      <c r="B65" s="156"/>
      <c r="C65" s="162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</row>
    <row r="66" spans="1:22" x14ac:dyDescent="0.2">
      <c r="A66" s="5"/>
      <c r="B66" s="34" t="s">
        <v>39</v>
      </c>
      <c r="C66" s="76" t="s">
        <v>40</v>
      </c>
      <c r="D66" s="46">
        <f t="shared" ref="D66:V66" si="14">+IFERROR(IF(D40&gt;0,+((D40/D14)*100)," "),"")</f>
        <v>82.380586180502888</v>
      </c>
      <c r="E66" s="46">
        <f t="shared" si="14"/>
        <v>86.587801528149384</v>
      </c>
      <c r="F66" s="46">
        <f t="shared" si="14"/>
        <v>86.172835197286076</v>
      </c>
      <c r="G66" s="46">
        <f t="shared" si="14"/>
        <v>87.966307282714595</v>
      </c>
      <c r="H66" s="46">
        <f t="shared" si="14"/>
        <v>94.30981599559199</v>
      </c>
      <c r="I66" s="46">
        <f t="shared" si="14"/>
        <v>94.269178237202283</v>
      </c>
      <c r="J66" s="46">
        <f t="shared" si="14"/>
        <v>87.439510711713623</v>
      </c>
      <c r="K66" s="46">
        <f t="shared" si="14"/>
        <v>83.302500871920188</v>
      </c>
      <c r="L66" s="46">
        <f t="shared" si="14"/>
        <v>85.292611920028392</v>
      </c>
      <c r="M66" s="46">
        <f t="shared" si="14"/>
        <v>85.179849521501609</v>
      </c>
      <c r="N66" s="46">
        <f t="shared" si="14"/>
        <v>89.651115968334523</v>
      </c>
      <c r="O66" s="46">
        <f t="shared" si="14"/>
        <v>86.634214655221314</v>
      </c>
      <c r="P66" s="46">
        <f t="shared" si="14"/>
        <v>87.876529455249255</v>
      </c>
      <c r="Q66" s="46">
        <f t="shared" si="14"/>
        <v>82.883928191229145</v>
      </c>
      <c r="R66" s="46">
        <f t="shared" si="14"/>
        <v>87.2490045290739</v>
      </c>
      <c r="S66" s="46">
        <f t="shared" si="14"/>
        <v>88.664942684401453</v>
      </c>
      <c r="T66" s="46">
        <f t="shared" si="14"/>
        <v>93.094657814692894</v>
      </c>
      <c r="U66" s="46">
        <f t="shared" si="14"/>
        <v>94.835371863395622</v>
      </c>
      <c r="V66" s="46">
        <f t="shared" si="14"/>
        <v>91.748310481210027</v>
      </c>
    </row>
    <row r="67" spans="1:22" x14ac:dyDescent="0.2">
      <c r="A67" s="5"/>
      <c r="B67" s="40"/>
      <c r="C67" s="77" t="s">
        <v>56</v>
      </c>
      <c r="D67" s="47">
        <f t="shared" ref="D67:V67" si="15">+IFERROR(IF(D41&gt;0,+((D41/D15)*100)," "),"")</f>
        <v>95.010221556084815</v>
      </c>
      <c r="E67" s="47">
        <f t="shared" si="15"/>
        <v>94.791176146647061</v>
      </c>
      <c r="F67" s="47">
        <f t="shared" si="15"/>
        <v>96.802537407543809</v>
      </c>
      <c r="G67" s="47">
        <f t="shared" si="15"/>
        <v>95.386677958105281</v>
      </c>
      <c r="H67" s="47">
        <f t="shared" si="15"/>
        <v>94.386480947052092</v>
      </c>
      <c r="I67" s="47">
        <f t="shared" si="15"/>
        <v>96.651544163419004</v>
      </c>
      <c r="J67" s="47">
        <f t="shared" si="15"/>
        <v>94.739598449319629</v>
      </c>
      <c r="K67" s="47">
        <f t="shared" si="15"/>
        <v>93.931201016751444</v>
      </c>
      <c r="L67" s="47">
        <f t="shared" si="15"/>
        <v>95.565244360520325</v>
      </c>
      <c r="M67" s="47">
        <f t="shared" si="15"/>
        <v>93.138619429330376</v>
      </c>
      <c r="N67" s="47">
        <f t="shared" si="15"/>
        <v>94.543118897532935</v>
      </c>
      <c r="O67" s="47">
        <f t="shared" si="15"/>
        <v>94.084376553273728</v>
      </c>
      <c r="P67" s="47">
        <f t="shared" si="15"/>
        <v>93.160184162642778</v>
      </c>
      <c r="Q67" s="47">
        <f t="shared" si="15"/>
        <v>83.872597325398559</v>
      </c>
      <c r="R67" s="47">
        <f t="shared" si="15"/>
        <v>87.397790041444352</v>
      </c>
      <c r="S67" s="47">
        <f t="shared" si="15"/>
        <v>90.564565787529176</v>
      </c>
      <c r="T67" s="47">
        <f t="shared" si="15"/>
        <v>93.173397677444598</v>
      </c>
      <c r="U67" s="47">
        <f t="shared" si="15"/>
        <v>93.140534576252676</v>
      </c>
      <c r="V67" s="47">
        <f t="shared" si="15"/>
        <v>93.459862674047628</v>
      </c>
    </row>
    <row r="68" spans="1:22" x14ac:dyDescent="0.2">
      <c r="A68" s="5"/>
      <c r="B68" s="40"/>
      <c r="C68" s="77" t="s">
        <v>57</v>
      </c>
      <c r="D68" s="47">
        <f t="shared" ref="D68:V68" si="16">+IFERROR(IF(D42&gt;0,+((D42/D16)*100)," "),"")</f>
        <v>85.610805876795567</v>
      </c>
      <c r="E68" s="47">
        <f t="shared" si="16"/>
        <v>95.332204527921434</v>
      </c>
      <c r="F68" s="47">
        <f t="shared" si="16"/>
        <v>95.609636754860873</v>
      </c>
      <c r="G68" s="47">
        <f t="shared" si="16"/>
        <v>95.317788497212007</v>
      </c>
      <c r="H68" s="47">
        <f t="shared" si="16"/>
        <v>92.347480310426789</v>
      </c>
      <c r="I68" s="47">
        <f t="shared" si="16"/>
        <v>94.376129525160863</v>
      </c>
      <c r="J68" s="47">
        <f t="shared" si="16"/>
        <v>90.485384651095941</v>
      </c>
      <c r="K68" s="47">
        <f t="shared" si="16"/>
        <v>87.924307065955858</v>
      </c>
      <c r="L68" s="47">
        <f t="shared" si="16"/>
        <v>90.027525892344499</v>
      </c>
      <c r="M68" s="47">
        <f t="shared" si="16"/>
        <v>93.688230290242728</v>
      </c>
      <c r="N68" s="47">
        <f t="shared" si="16"/>
        <v>92.031046759022843</v>
      </c>
      <c r="O68" s="47">
        <f t="shared" si="16"/>
        <v>89.538342102336316</v>
      </c>
      <c r="P68" s="47">
        <f t="shared" si="16"/>
        <v>90.525993351269946</v>
      </c>
      <c r="Q68" s="47">
        <f t="shared" si="16"/>
        <v>91.754073388165409</v>
      </c>
      <c r="R68" s="47">
        <f t="shared" si="16"/>
        <v>89.350178715357856</v>
      </c>
      <c r="S68" s="47">
        <f t="shared" si="16"/>
        <v>94.539298926705456</v>
      </c>
      <c r="T68" s="47">
        <f t="shared" si="16"/>
        <v>95.766289055834562</v>
      </c>
      <c r="U68" s="47">
        <f t="shared" si="16"/>
        <v>94.966191054886821</v>
      </c>
      <c r="V68" s="47">
        <f t="shared" si="16"/>
        <v>88.977996178187169</v>
      </c>
    </row>
    <row r="69" spans="1:22" x14ac:dyDescent="0.2">
      <c r="A69" s="5"/>
      <c r="B69" s="40"/>
      <c r="C69" s="77" t="s">
        <v>58</v>
      </c>
      <c r="D69" s="47">
        <f t="shared" ref="D69:V69" si="17">+IFERROR(IF(D43&gt;0,+((D43/D17)*100)," "),"")</f>
        <v>66.156979370994549</v>
      </c>
      <c r="E69" s="47">
        <f t="shared" si="17"/>
        <v>76.080932619632492</v>
      </c>
      <c r="F69" s="47">
        <f t="shared" si="17"/>
        <v>73.797338235805157</v>
      </c>
      <c r="G69" s="47">
        <f t="shared" si="17"/>
        <v>75.578097052095742</v>
      </c>
      <c r="H69" s="47">
        <f t="shared" si="17"/>
        <v>94.140123567015735</v>
      </c>
      <c r="I69" s="47">
        <f t="shared" si="17"/>
        <v>93.424323416196472</v>
      </c>
      <c r="J69" s="47">
        <f t="shared" si="17"/>
        <v>75.330486831961863</v>
      </c>
      <c r="K69" s="47">
        <f t="shared" si="17"/>
        <v>69.773014440619932</v>
      </c>
      <c r="L69" s="47">
        <f t="shared" si="17"/>
        <v>69.461498324184774</v>
      </c>
      <c r="M69" s="47">
        <f t="shared" si="17"/>
        <v>73.142434363406053</v>
      </c>
      <c r="N69" s="47">
        <f t="shared" si="17"/>
        <v>84.434808746518613</v>
      </c>
      <c r="O69" s="47">
        <f t="shared" si="17"/>
        <v>83.403464710456731</v>
      </c>
      <c r="P69" s="47">
        <f t="shared" si="17"/>
        <v>86.974067759018155</v>
      </c>
      <c r="Q69" s="47">
        <f t="shared" si="17"/>
        <v>79.332130610650339</v>
      </c>
      <c r="R69" s="47">
        <f t="shared" si="17"/>
        <v>83.904755181182125</v>
      </c>
      <c r="S69" s="47">
        <f t="shared" si="17"/>
        <v>88.767680929896812</v>
      </c>
      <c r="T69" s="47">
        <f t="shared" si="17"/>
        <v>92.0157357125169</v>
      </c>
      <c r="U69" s="47">
        <f t="shared" si="17"/>
        <v>94.741251723249292</v>
      </c>
      <c r="V69" s="47">
        <f t="shared" si="17"/>
        <v>86.086085963071653</v>
      </c>
    </row>
    <row r="70" spans="1:22" x14ac:dyDescent="0.2">
      <c r="A70" s="5"/>
      <c r="B70" s="40"/>
      <c r="C70" s="77" t="s">
        <v>59</v>
      </c>
      <c r="D70" s="47">
        <f t="shared" ref="D70:V70" si="18">+IFERROR(IF(D44&gt;0,+((D44/D18)*100)," "),"")</f>
        <v>93.400772932801587</v>
      </c>
      <c r="E70" s="47">
        <f t="shared" si="18"/>
        <v>92.033112221907857</v>
      </c>
      <c r="F70" s="47">
        <f t="shared" si="18"/>
        <v>89.784423910017466</v>
      </c>
      <c r="G70" s="47">
        <f t="shared" si="18"/>
        <v>95.521255735195453</v>
      </c>
      <c r="H70" s="47">
        <f t="shared" si="18"/>
        <v>96.069613442547904</v>
      </c>
      <c r="I70" s="47">
        <f t="shared" si="18"/>
        <v>95.46005993959119</v>
      </c>
      <c r="J70" s="47">
        <f t="shared" si="18"/>
        <v>93.552595038968505</v>
      </c>
      <c r="K70" s="47">
        <f t="shared" si="18"/>
        <v>89.553359822985854</v>
      </c>
      <c r="L70" s="47">
        <f t="shared" si="18"/>
        <v>91.976155547655026</v>
      </c>
      <c r="M70" s="47">
        <f t="shared" si="18"/>
        <v>91.135749978343654</v>
      </c>
      <c r="N70" s="47">
        <f t="shared" si="18"/>
        <v>95.319106774375385</v>
      </c>
      <c r="O70" s="47">
        <f t="shared" si="18"/>
        <v>86.25728517663272</v>
      </c>
      <c r="P70" s="47">
        <f t="shared" si="18"/>
        <v>84.666189649282913</v>
      </c>
      <c r="Q70" s="47">
        <f t="shared" si="18"/>
        <v>83.082730785381329</v>
      </c>
      <c r="R70" s="47">
        <f t="shared" si="18"/>
        <v>90.175037148217172</v>
      </c>
      <c r="S70" s="47">
        <f t="shared" si="18"/>
        <v>84.830714197839058</v>
      </c>
      <c r="T70" s="47">
        <f t="shared" si="18"/>
        <v>92.972866478034732</v>
      </c>
      <c r="U70" s="47">
        <f t="shared" si="18"/>
        <v>96.703680949541209</v>
      </c>
      <c r="V70" s="47">
        <f t="shared" si="18"/>
        <v>97.736550469310743</v>
      </c>
    </row>
    <row r="71" spans="1:22" x14ac:dyDescent="0.2">
      <c r="A71" s="5"/>
      <c r="B71" s="34" t="s">
        <v>41</v>
      </c>
      <c r="C71" s="76" t="s">
        <v>42</v>
      </c>
      <c r="D71" s="46">
        <f t="shared" ref="D71:V71" si="19">+IFERROR(IF(D45&gt;0,+((D45/D19)*100)," "),"")</f>
        <v>92.191376473953625</v>
      </c>
      <c r="E71" s="46">
        <f t="shared" si="19"/>
        <v>99.408653006014291</v>
      </c>
      <c r="F71" s="46">
        <f t="shared" si="19"/>
        <v>93.910617819992154</v>
      </c>
      <c r="G71" s="46">
        <f t="shared" si="19"/>
        <v>99.153547610596931</v>
      </c>
      <c r="H71" s="46">
        <f t="shared" si="19"/>
        <v>97.480080398296209</v>
      </c>
      <c r="I71" s="46">
        <f t="shared" si="19"/>
        <v>92.293485219109783</v>
      </c>
      <c r="J71" s="46">
        <f t="shared" si="19"/>
        <v>99.039247053487728</v>
      </c>
      <c r="K71" s="46">
        <f t="shared" si="19"/>
        <v>64.975349651084429</v>
      </c>
      <c r="L71" s="46">
        <f t="shared" si="19"/>
        <v>98.27987860033322</v>
      </c>
      <c r="M71" s="46">
        <f t="shared" si="19"/>
        <v>83.063698089969193</v>
      </c>
      <c r="N71" s="46">
        <f t="shared" si="19"/>
        <v>96.514024938092135</v>
      </c>
      <c r="O71" s="46">
        <f t="shared" si="19"/>
        <v>62.42353559716495</v>
      </c>
      <c r="P71" s="46">
        <f t="shared" si="19"/>
        <v>87.524597197180782</v>
      </c>
      <c r="Q71" s="46">
        <f t="shared" si="19"/>
        <v>72.408134542815688</v>
      </c>
      <c r="R71" s="46">
        <f t="shared" si="19"/>
        <v>99.250678167837464</v>
      </c>
      <c r="S71" s="46">
        <f t="shared" si="19"/>
        <v>99.999996308163546</v>
      </c>
      <c r="T71" s="46">
        <f t="shared" si="19"/>
        <v>99.914747684352307</v>
      </c>
      <c r="U71" s="46">
        <f t="shared" si="19"/>
        <v>95.624900728755435</v>
      </c>
      <c r="V71" s="46">
        <f t="shared" si="19"/>
        <v>98.240456016776108</v>
      </c>
    </row>
    <row r="72" spans="1:22" x14ac:dyDescent="0.2">
      <c r="A72" s="5"/>
      <c r="B72" s="34"/>
      <c r="C72" s="76" t="s">
        <v>43</v>
      </c>
      <c r="D72" s="46">
        <f t="shared" ref="D72:V72" si="20">+IFERROR(IF(D46&gt;0,+((D46/D20)*100)," "),"")</f>
        <v>71.104986815557893</v>
      </c>
      <c r="E72" s="46">
        <f t="shared" si="20"/>
        <v>99.385297127695708</v>
      </c>
      <c r="F72" s="46">
        <f t="shared" si="20"/>
        <v>99.946745294948286</v>
      </c>
      <c r="G72" s="46">
        <f t="shared" si="20"/>
        <v>99.437241896204426</v>
      </c>
      <c r="H72" s="46">
        <f t="shared" si="20"/>
        <v>96.410563002767489</v>
      </c>
      <c r="I72" s="46">
        <f t="shared" si="20"/>
        <v>85.574767329787974</v>
      </c>
      <c r="J72" s="46">
        <f t="shared" si="20"/>
        <v>97.868689202544005</v>
      </c>
      <c r="K72" s="46">
        <f t="shared" si="20"/>
        <v>100</v>
      </c>
      <c r="L72" s="46">
        <f t="shared" si="20"/>
        <v>96.532912747024483</v>
      </c>
      <c r="M72" s="46">
        <f t="shared" si="20"/>
        <v>99.999999860418725</v>
      </c>
      <c r="N72" s="46">
        <f t="shared" si="20"/>
        <v>93.139544781134049</v>
      </c>
      <c r="O72" s="46">
        <f t="shared" si="20"/>
        <v>60.151306522437601</v>
      </c>
      <c r="P72" s="46">
        <f t="shared" si="20"/>
        <v>86.467270270270291</v>
      </c>
      <c r="Q72" s="46">
        <f t="shared" si="20"/>
        <v>28.696683875939126</v>
      </c>
      <c r="R72" s="46">
        <f t="shared" si="20"/>
        <v>95.321071618257264</v>
      </c>
      <c r="S72" s="46">
        <f t="shared" si="20"/>
        <v>100</v>
      </c>
      <c r="T72" s="46">
        <f t="shared" si="20"/>
        <v>99.527891537933129</v>
      </c>
      <c r="U72" s="46">
        <f t="shared" si="20"/>
        <v>82.26749657239057</v>
      </c>
      <c r="V72" s="46">
        <f t="shared" si="20"/>
        <v>84.231084992907796</v>
      </c>
    </row>
    <row r="73" spans="1:22" x14ac:dyDescent="0.2">
      <c r="A73" s="5"/>
      <c r="B73" s="32"/>
      <c r="C73" s="77" t="s">
        <v>60</v>
      </c>
      <c r="D73" s="47">
        <f t="shared" ref="D73:V73" si="21">+IFERROR(IF(D47&gt;0,+((D47/D21)*100)," "),"")</f>
        <v>66.695597150676292</v>
      </c>
      <c r="E73" s="47">
        <f t="shared" si="21"/>
        <v>99.435783820699982</v>
      </c>
      <c r="F73" s="47">
        <f t="shared" si="21"/>
        <v>99.963840756491322</v>
      </c>
      <c r="G73" s="47">
        <f t="shared" si="21"/>
        <v>99.595764826515733</v>
      </c>
      <c r="H73" s="47">
        <f t="shared" si="21"/>
        <v>96.830857522887683</v>
      </c>
      <c r="I73" s="47">
        <f t="shared" si="21"/>
        <v>85.358272233649984</v>
      </c>
      <c r="J73" s="47">
        <f t="shared" si="21"/>
        <v>98.293929103929557</v>
      </c>
      <c r="K73" s="47">
        <f t="shared" si="21"/>
        <v>100</v>
      </c>
      <c r="L73" s="47">
        <f t="shared" si="21"/>
        <v>97.157650885090717</v>
      </c>
      <c r="M73" s="47">
        <f t="shared" si="21"/>
        <v>99.999999931252717</v>
      </c>
      <c r="N73" s="47">
        <f t="shared" si="21"/>
        <v>94.599707635235518</v>
      </c>
      <c r="O73" s="47">
        <f t="shared" si="21"/>
        <v>60.371612140502442</v>
      </c>
      <c r="P73" s="47">
        <f t="shared" si="21"/>
        <v>86.975925820256791</v>
      </c>
      <c r="Q73" s="47">
        <f t="shared" si="21"/>
        <v>26.285304734339466</v>
      </c>
      <c r="R73" s="47">
        <f t="shared" si="21"/>
        <v>96.499260847337567</v>
      </c>
      <c r="S73" s="47">
        <f t="shared" si="21"/>
        <v>100</v>
      </c>
      <c r="T73" s="47">
        <f t="shared" si="21"/>
        <v>100</v>
      </c>
      <c r="U73" s="47">
        <f t="shared" si="21"/>
        <v>82.605949259649122</v>
      </c>
      <c r="V73" s="47">
        <f t="shared" si="21"/>
        <v>84.790471514492737</v>
      </c>
    </row>
    <row r="74" spans="1:22" x14ac:dyDescent="0.2">
      <c r="A74" s="5"/>
      <c r="B74" s="32"/>
      <c r="C74" s="77" t="s">
        <v>61</v>
      </c>
      <c r="D74" s="47">
        <f t="shared" ref="D74:V74" si="22">+IFERROR(IF(D48&gt;0,+((D48/D22)*100)," "),"")</f>
        <v>95.831980914016981</v>
      </c>
      <c r="E74" s="47">
        <f t="shared" si="22"/>
        <v>99.139455446843854</v>
      </c>
      <c r="F74" s="47">
        <f t="shared" si="22"/>
        <v>99.856303710680479</v>
      </c>
      <c r="G74" s="47">
        <f t="shared" si="22"/>
        <v>98.143943939648935</v>
      </c>
      <c r="H74" s="47">
        <f t="shared" si="22"/>
        <v>93.335554850988203</v>
      </c>
      <c r="I74" s="47">
        <f t="shared" si="22"/>
        <v>87.285558076235461</v>
      </c>
      <c r="J74" s="47">
        <f t="shared" si="22"/>
        <v>95.080741296813869</v>
      </c>
      <c r="K74" s="47">
        <f t="shared" si="22"/>
        <v>100</v>
      </c>
      <c r="L74" s="47">
        <f t="shared" si="22"/>
        <v>91.022415554614739</v>
      </c>
      <c r="M74" s="47">
        <f t="shared" si="22"/>
        <v>99.999999110854404</v>
      </c>
      <c r="N74" s="47">
        <f t="shared" si="22"/>
        <v>76.338654179880876</v>
      </c>
      <c r="O74" s="47">
        <f t="shared" si="22"/>
        <v>56.562364814814636</v>
      </c>
      <c r="P74" s="47">
        <f t="shared" si="22"/>
        <v>84.090153333333333</v>
      </c>
      <c r="Q74" s="47">
        <f t="shared" si="22"/>
        <v>61.645387005649724</v>
      </c>
      <c r="R74" s="47">
        <f t="shared" si="22"/>
        <v>86.927078715050143</v>
      </c>
      <c r="S74" s="47">
        <f t="shared" si="22"/>
        <v>100</v>
      </c>
      <c r="T74" s="47">
        <f t="shared" si="22"/>
        <v>93.830625492451418</v>
      </c>
      <c r="U74" s="47">
        <f t="shared" si="22"/>
        <v>74.229245250000005</v>
      </c>
      <c r="V74" s="47">
        <f t="shared" si="22"/>
        <v>58.499304999999666</v>
      </c>
    </row>
    <row r="75" spans="1:22" x14ac:dyDescent="0.2">
      <c r="A75" s="5"/>
      <c r="B75" s="34"/>
      <c r="C75" s="76" t="s">
        <v>44</v>
      </c>
      <c r="D75" s="46">
        <f t="shared" ref="D75:V75" si="23">+IFERROR(IF(D49&gt;0,+((D49/D23)*100)," "),"")</f>
        <v>96.353780357425308</v>
      </c>
      <c r="E75" s="46">
        <f t="shared" si="23"/>
        <v>99.612467787180364</v>
      </c>
      <c r="F75" s="46">
        <f t="shared" si="23"/>
        <v>74.878539475359702</v>
      </c>
      <c r="G75" s="46">
        <f t="shared" si="23"/>
        <v>98.358254466463407</v>
      </c>
      <c r="H75" s="46">
        <f t="shared" si="23"/>
        <v>100.00000000000007</v>
      </c>
      <c r="I75" s="46">
        <f t="shared" si="23"/>
        <v>100</v>
      </c>
      <c r="J75" s="46">
        <f t="shared" si="23"/>
        <v>100</v>
      </c>
      <c r="K75" s="46">
        <f t="shared" si="23"/>
        <v>36.892591190205728</v>
      </c>
      <c r="L75" s="46">
        <f t="shared" si="23"/>
        <v>100</v>
      </c>
      <c r="M75" s="46">
        <f t="shared" si="23"/>
        <v>77.385618511214361</v>
      </c>
      <c r="N75" s="46">
        <f t="shared" si="23"/>
        <v>99.999156007237019</v>
      </c>
      <c r="O75" s="46">
        <f t="shared" si="23"/>
        <v>64.640674574145748</v>
      </c>
      <c r="P75" s="46">
        <f t="shared" si="23"/>
        <v>87.695984857142847</v>
      </c>
      <c r="Q75" s="46">
        <f t="shared" si="23"/>
        <v>98.826360228198865</v>
      </c>
      <c r="R75" s="46">
        <f t="shared" si="23"/>
        <v>99.999999547869336</v>
      </c>
      <c r="S75" s="46">
        <f t="shared" si="23"/>
        <v>99.999995798477116</v>
      </c>
      <c r="T75" s="46">
        <f t="shared" si="23"/>
        <v>99.999558267516377</v>
      </c>
      <c r="U75" s="46">
        <f t="shared" si="23"/>
        <v>98.80345135325696</v>
      </c>
      <c r="V75" s="46">
        <f t="shared" si="23"/>
        <v>99.964432941063279</v>
      </c>
    </row>
    <row r="76" spans="1:22" x14ac:dyDescent="0.2">
      <c r="A76" s="5"/>
      <c r="B76" s="32"/>
      <c r="C76" s="77" t="s">
        <v>60</v>
      </c>
      <c r="D76" s="47">
        <f t="shared" ref="D76:V76" si="24">+IFERROR(IF(D50&gt;0,+((D50/D24)*100)," "),"")</f>
        <v>95.291504705781989</v>
      </c>
      <c r="E76" s="47">
        <f t="shared" si="24"/>
        <v>98.983058676963893</v>
      </c>
      <c r="F76" s="47">
        <f t="shared" si="24"/>
        <v>80.686444364089184</v>
      </c>
      <c r="G76" s="47">
        <f t="shared" si="24"/>
        <v>99.554180906877647</v>
      </c>
      <c r="H76" s="47">
        <f t="shared" si="24"/>
        <v>100.00000000000011</v>
      </c>
      <c r="I76" s="47">
        <f t="shared" si="24"/>
        <v>100</v>
      </c>
      <c r="J76" s="47">
        <f t="shared" si="24"/>
        <v>100</v>
      </c>
      <c r="K76" s="47">
        <f t="shared" si="24"/>
        <v>17.012448132780079</v>
      </c>
      <c r="L76" s="47">
        <f t="shared" si="24"/>
        <v>100</v>
      </c>
      <c r="M76" s="47">
        <f t="shared" si="24"/>
        <v>100</v>
      </c>
      <c r="N76" s="47">
        <f t="shared" si="24"/>
        <v>99.999999950691787</v>
      </c>
      <c r="O76" s="47">
        <f t="shared" si="24"/>
        <v>70.981850929272156</v>
      </c>
      <c r="P76" s="47">
        <f t="shared" si="24"/>
        <v>86.031944426424474</v>
      </c>
      <c r="Q76" s="47">
        <f t="shared" si="24"/>
        <v>98.600504243773472</v>
      </c>
      <c r="R76" s="47">
        <f t="shared" si="24"/>
        <v>99.999999864919644</v>
      </c>
      <c r="S76" s="47">
        <f t="shared" si="24"/>
        <v>99.999995362392283</v>
      </c>
      <c r="T76" s="47">
        <f t="shared" si="24"/>
        <v>99.999999978595469</v>
      </c>
      <c r="U76" s="47">
        <f t="shared" si="24"/>
        <v>98.784307730717799</v>
      </c>
      <c r="V76" s="47">
        <f t="shared" si="24"/>
        <v>99.993914827152764</v>
      </c>
    </row>
    <row r="77" spans="1:22" x14ac:dyDescent="0.2">
      <c r="A77" s="5"/>
      <c r="B77" s="32"/>
      <c r="C77" s="77" t="s">
        <v>61</v>
      </c>
      <c r="D77" s="47">
        <f t="shared" ref="D77:V77" si="25">+IFERROR(IF(D51&gt;0,+((D51/D25)*100)," "),"")</f>
        <v>99.033600345835666</v>
      </c>
      <c r="E77" s="47">
        <f t="shared" si="25"/>
        <v>99.740323518127326</v>
      </c>
      <c r="F77" s="47">
        <f t="shared" si="25"/>
        <v>67.393771144761814</v>
      </c>
      <c r="G77" s="47">
        <f t="shared" si="25"/>
        <v>95.482502887646518</v>
      </c>
      <c r="H77" s="47">
        <f t="shared" si="25"/>
        <v>100</v>
      </c>
      <c r="I77" s="47">
        <f t="shared" si="25"/>
        <v>100</v>
      </c>
      <c r="J77" s="47">
        <f t="shared" si="25"/>
        <v>100</v>
      </c>
      <c r="K77" s="47">
        <f t="shared" si="25"/>
        <v>100</v>
      </c>
      <c r="L77" s="47">
        <f t="shared" si="25"/>
        <v>100</v>
      </c>
      <c r="M77" s="47">
        <f t="shared" si="25"/>
        <v>68.955423714036613</v>
      </c>
      <c r="N77" s="47">
        <f t="shared" si="25"/>
        <v>99.995795524521952</v>
      </c>
      <c r="O77" s="47">
        <f t="shared" si="25"/>
        <v>37.660205381658436</v>
      </c>
      <c r="P77" s="47">
        <f t="shared" si="25"/>
        <v>99.998710631494831</v>
      </c>
      <c r="Q77" s="47">
        <f t="shared" si="25"/>
        <v>99.984154065620558</v>
      </c>
      <c r="R77" s="47">
        <f t="shared" si="25"/>
        <v>99.999997922437672</v>
      </c>
      <c r="S77" s="47">
        <f t="shared" si="25"/>
        <v>100</v>
      </c>
      <c r="T77" s="47">
        <f t="shared" si="25"/>
        <v>99.996171373408316</v>
      </c>
      <c r="U77" s="47">
        <f t="shared" si="25"/>
        <v>98.973037235387054</v>
      </c>
      <c r="V77" s="47">
        <f t="shared" si="25"/>
        <v>99.719819394465645</v>
      </c>
    </row>
    <row r="78" spans="1:22" x14ac:dyDescent="0.2">
      <c r="A78" s="5"/>
      <c r="B78" s="34" t="s">
        <v>45</v>
      </c>
      <c r="C78" s="76" t="s">
        <v>46</v>
      </c>
      <c r="D78" s="46">
        <f t="shared" ref="D78:V78" si="26">+IFERROR(IF(D52&gt;0,+((D52/D26)*100)," "),"")</f>
        <v>77.699430109181961</v>
      </c>
      <c r="E78" s="46">
        <f t="shared" si="26"/>
        <v>87.81220174353129</v>
      </c>
      <c r="F78" s="46">
        <f t="shared" si="26"/>
        <v>88.771170241202512</v>
      </c>
      <c r="G78" s="46">
        <f t="shared" si="26"/>
        <v>96.337083887254536</v>
      </c>
      <c r="H78" s="46">
        <f t="shared" si="26"/>
        <v>94.301464356164672</v>
      </c>
      <c r="I78" s="46">
        <f t="shared" si="26"/>
        <v>95.581804445653816</v>
      </c>
      <c r="J78" s="46">
        <f t="shared" si="26"/>
        <v>94.433071522126681</v>
      </c>
      <c r="K78" s="46">
        <f t="shared" si="26"/>
        <v>94.101014116931509</v>
      </c>
      <c r="L78" s="46">
        <f t="shared" si="26"/>
        <v>96.541921316615557</v>
      </c>
      <c r="M78" s="46">
        <f t="shared" si="26"/>
        <v>93.254327070541549</v>
      </c>
      <c r="N78" s="46">
        <f t="shared" si="26"/>
        <v>90.51008027792659</v>
      </c>
      <c r="O78" s="46">
        <f t="shared" si="26"/>
        <v>86.54260472299265</v>
      </c>
      <c r="P78" s="46">
        <f t="shared" si="26"/>
        <v>92.470643798575466</v>
      </c>
      <c r="Q78" s="46">
        <f t="shared" si="26"/>
        <v>95.693941682494128</v>
      </c>
      <c r="R78" s="46">
        <f t="shared" si="26"/>
        <v>95.881866723102689</v>
      </c>
      <c r="S78" s="46">
        <f t="shared" si="26"/>
        <v>96.049405862644164</v>
      </c>
      <c r="T78" s="46">
        <f t="shared" si="26"/>
        <v>98.337539681732991</v>
      </c>
      <c r="U78" s="46">
        <f t="shared" si="26"/>
        <v>98.394302616697075</v>
      </c>
      <c r="V78" s="46">
        <f t="shared" si="26"/>
        <v>95.325999679427696</v>
      </c>
    </row>
    <row r="79" spans="1:22" x14ac:dyDescent="0.2">
      <c r="A79" s="5"/>
      <c r="B79" s="36" t="s">
        <v>47</v>
      </c>
      <c r="C79" s="78" t="s">
        <v>48</v>
      </c>
      <c r="D79" s="48">
        <f t="shared" ref="D79:V79" si="27">+IFERROR(IF(D53&gt;0,+((D53/D27)*100)," "),"")</f>
        <v>79.737084537782152</v>
      </c>
      <c r="E79" s="48">
        <f t="shared" si="27"/>
        <v>87.303415364167023</v>
      </c>
      <c r="F79" s="48">
        <f t="shared" si="27"/>
        <v>87.686020745727589</v>
      </c>
      <c r="G79" s="48">
        <f t="shared" si="27"/>
        <v>92.573118712304037</v>
      </c>
      <c r="H79" s="48">
        <f t="shared" si="27"/>
        <v>94.306340356579483</v>
      </c>
      <c r="I79" s="48">
        <f t="shared" si="27"/>
        <v>94.850072545909313</v>
      </c>
      <c r="J79" s="48">
        <f t="shared" si="27"/>
        <v>91.686559724848024</v>
      </c>
      <c r="K79" s="48">
        <f t="shared" si="27"/>
        <v>90.181200602322249</v>
      </c>
      <c r="L79" s="48">
        <f t="shared" si="27"/>
        <v>92.790878255042514</v>
      </c>
      <c r="M79" s="48">
        <f t="shared" si="27"/>
        <v>90.574457028378049</v>
      </c>
      <c r="N79" s="48">
        <f t="shared" si="27"/>
        <v>90.160913711123371</v>
      </c>
      <c r="O79" s="48">
        <f t="shared" si="27"/>
        <v>86.578622135647137</v>
      </c>
      <c r="P79" s="48">
        <f t="shared" si="27"/>
        <v>90.731666195735485</v>
      </c>
      <c r="Q79" s="48">
        <f t="shared" si="27"/>
        <v>90.818291149844981</v>
      </c>
      <c r="R79" s="48">
        <f t="shared" si="27"/>
        <v>91.716082576363092</v>
      </c>
      <c r="S79" s="48">
        <f t="shared" si="27"/>
        <v>92.496498726682603</v>
      </c>
      <c r="T79" s="48">
        <f t="shared" si="27"/>
        <v>96.130157533680801</v>
      </c>
      <c r="U79" s="48">
        <f t="shared" si="27"/>
        <v>96.957866742588848</v>
      </c>
      <c r="V79" s="48">
        <f t="shared" si="27"/>
        <v>93.745152662186015</v>
      </c>
    </row>
    <row r="80" spans="1:22" x14ac:dyDescent="0.2">
      <c r="A80" s="5"/>
      <c r="B80" s="38" t="s">
        <v>49</v>
      </c>
      <c r="C80" s="79" t="s">
        <v>63</v>
      </c>
      <c r="D80" s="45">
        <f t="shared" ref="D80:V80" si="28">+IFERROR(IF(D54&gt;0,+((D54/D28)*100)," "),"")</f>
        <v>79.853893583167405</v>
      </c>
      <c r="E80" s="45">
        <f t="shared" si="28"/>
        <v>87.313416685521389</v>
      </c>
      <c r="F80" s="45">
        <f t="shared" si="28"/>
        <v>87.691761329758023</v>
      </c>
      <c r="G80" s="45">
        <f t="shared" si="28"/>
        <v>92.579467456678827</v>
      </c>
      <c r="H80" s="45">
        <f t="shared" si="28"/>
        <v>94.307990529215274</v>
      </c>
      <c r="I80" s="45">
        <f t="shared" si="28"/>
        <v>94.848691364791136</v>
      </c>
      <c r="J80" s="45">
        <f t="shared" si="28"/>
        <v>91.689721874619295</v>
      </c>
      <c r="K80" s="45">
        <f t="shared" si="28"/>
        <v>90.171783846670778</v>
      </c>
      <c r="L80" s="45">
        <f t="shared" si="28"/>
        <v>92.792334652421431</v>
      </c>
      <c r="M80" s="45">
        <f t="shared" si="28"/>
        <v>90.571782126200205</v>
      </c>
      <c r="N80" s="45">
        <f t="shared" si="28"/>
        <v>90.162057288597197</v>
      </c>
      <c r="O80" s="45">
        <f t="shared" si="28"/>
        <v>86.575080225003717</v>
      </c>
      <c r="P80" s="45">
        <f t="shared" si="28"/>
        <v>90.731370792821309</v>
      </c>
      <c r="Q80" s="45">
        <f t="shared" si="28"/>
        <v>90.816530074781696</v>
      </c>
      <c r="R80" s="45">
        <f t="shared" si="28"/>
        <v>91.716777920180917</v>
      </c>
      <c r="S80" s="45">
        <f t="shared" si="28"/>
        <v>92.497460334928263</v>
      </c>
      <c r="T80" s="45">
        <f t="shared" si="28"/>
        <v>96.130522402706319</v>
      </c>
      <c r="U80" s="45">
        <f t="shared" si="28"/>
        <v>96.957725839273778</v>
      </c>
      <c r="V80" s="45">
        <f t="shared" si="28"/>
        <v>93.745573523617281</v>
      </c>
    </row>
    <row r="81" spans="2:22" x14ac:dyDescent="0.2">
      <c r="B81" s="1" t="s">
        <v>52</v>
      </c>
      <c r="C81" s="82"/>
      <c r="D81" s="12"/>
      <c r="E81" s="12"/>
      <c r="F81" s="12"/>
      <c r="G81" s="12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2:22" x14ac:dyDescent="0.2">
      <c r="B82" s="1"/>
      <c r="C82" s="15"/>
      <c r="D82" s="12"/>
      <c r="E82" s="12"/>
      <c r="F82" s="12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2:22" x14ac:dyDescent="0.2">
      <c r="B83" s="1"/>
      <c r="C83" s="15"/>
      <c r="D83" s="12"/>
      <c r="E83" s="12"/>
      <c r="F83" s="12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2:22" x14ac:dyDescent="0.2">
      <c r="B84" s="1"/>
      <c r="C84" s="15"/>
      <c r="D84" s="12"/>
      <c r="E84" s="12"/>
      <c r="F84" s="12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2:22" ht="18" customHeight="1" x14ac:dyDescent="0.2">
      <c r="C85" s="131"/>
      <c r="D85" s="164" t="s">
        <v>86</v>
      </c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</row>
    <row r="86" spans="2:22" ht="15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13.5" customHeight="1" x14ac:dyDescent="0.2">
      <c r="B87" s="167"/>
      <c r="C87" s="161" t="s">
        <v>38</v>
      </c>
      <c r="D87" s="155">
        <v>2000</v>
      </c>
      <c r="E87" s="155">
        <v>2001</v>
      </c>
      <c r="F87" s="155">
        <v>2002</v>
      </c>
      <c r="G87" s="155">
        <v>2003</v>
      </c>
      <c r="H87" s="155">
        <v>2004</v>
      </c>
      <c r="I87" s="155">
        <v>2005</v>
      </c>
      <c r="J87" s="155">
        <v>2006</v>
      </c>
      <c r="K87" s="155">
        <v>2007</v>
      </c>
      <c r="L87" s="155">
        <v>2008</v>
      </c>
      <c r="M87" s="155">
        <v>2009</v>
      </c>
      <c r="N87" s="155">
        <v>2010</v>
      </c>
      <c r="O87" s="155">
        <v>2011</v>
      </c>
      <c r="P87" s="155">
        <v>2012</v>
      </c>
      <c r="Q87" s="155">
        <v>2013</v>
      </c>
      <c r="R87" s="155">
        <v>2014</v>
      </c>
      <c r="S87" s="155">
        <v>2015</v>
      </c>
      <c r="T87" s="155">
        <v>2016</v>
      </c>
      <c r="U87" s="155">
        <v>2017</v>
      </c>
      <c r="V87" s="155">
        <v>2018</v>
      </c>
    </row>
    <row r="88" spans="2:22" ht="12" customHeight="1" thickBot="1" x14ac:dyDescent="0.25">
      <c r="B88" s="156"/>
      <c r="C88" s="162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</row>
    <row r="89" spans="2:22" x14ac:dyDescent="0.2">
      <c r="B89" s="34" t="s">
        <v>39</v>
      </c>
      <c r="C89" s="76" t="s">
        <v>40</v>
      </c>
      <c r="D89" s="41">
        <f t="shared" ref="D89:V89" si="29">+D90+D91+D92+D93</f>
        <v>5344.2635295463524</v>
      </c>
      <c r="E89" s="41">
        <f t="shared" si="29"/>
        <v>5254.4056654454453</v>
      </c>
      <c r="F89" s="41">
        <f t="shared" si="29"/>
        <v>5381.8386012768106</v>
      </c>
      <c r="G89" s="41">
        <f t="shared" si="29"/>
        <v>5331.9018042922289</v>
      </c>
      <c r="H89" s="41">
        <f t="shared" si="29"/>
        <v>11130.802928883333</v>
      </c>
      <c r="I89" s="41">
        <f t="shared" si="29"/>
        <v>10642.8330357001</v>
      </c>
      <c r="J89" s="41">
        <f t="shared" si="29"/>
        <v>5217.4970289323574</v>
      </c>
      <c r="K89" s="41">
        <f t="shared" si="29"/>
        <v>5615.0912239167437</v>
      </c>
      <c r="L89" s="41">
        <f t="shared" si="29"/>
        <v>5656.0918443817927</v>
      </c>
      <c r="M89" s="41">
        <f t="shared" si="29"/>
        <v>6770.8558874032051</v>
      </c>
      <c r="N89" s="41">
        <f t="shared" si="29"/>
        <v>9717.9958732541199</v>
      </c>
      <c r="O89" s="41">
        <f t="shared" si="29"/>
        <v>9037.4906679216092</v>
      </c>
      <c r="P89" s="41">
        <f t="shared" si="29"/>
        <v>8758.6901077319544</v>
      </c>
      <c r="Q89" s="41">
        <f t="shared" si="29"/>
        <v>9065.179960611209</v>
      </c>
      <c r="R89" s="41">
        <f t="shared" si="29"/>
        <v>9294.7411222514384</v>
      </c>
      <c r="S89" s="41">
        <f t="shared" si="29"/>
        <v>9488.626349577562</v>
      </c>
      <c r="T89" s="41">
        <f t="shared" si="29"/>
        <v>8888.2349217793308</v>
      </c>
      <c r="U89" s="41">
        <f t="shared" si="29"/>
        <v>9166.1626638891521</v>
      </c>
      <c r="V89" s="41">
        <f t="shared" si="29"/>
        <v>8717.2986818192294</v>
      </c>
    </row>
    <row r="90" spans="2:22" x14ac:dyDescent="0.2">
      <c r="B90" s="40"/>
      <c r="C90" s="77" t="s">
        <v>56</v>
      </c>
      <c r="D90" s="42">
        <f>433.96766905537*Deflactores!$A$5</f>
        <v>1619.530702255953</v>
      </c>
      <c r="E90" s="42">
        <f>459.283604562239*Deflactores!$B$5</f>
        <v>1592.2291131122679</v>
      </c>
      <c r="F90" s="42">
        <f>488.794805216009*Deflactores!$C$5</f>
        <v>1583.8007410860619</v>
      </c>
      <c r="G90" s="42">
        <f>500.39854287778*Deflactores!$D$5</f>
        <v>1522.5642061519318</v>
      </c>
      <c r="H90" s="42">
        <f>509.28505017275*Deflactores!$E$5</f>
        <v>1468.8602158000592</v>
      </c>
      <c r="I90" s="42">
        <f>525.692785298729*Deflactores!$F$5</f>
        <v>1445.9781393820583</v>
      </c>
      <c r="J90" s="42">
        <f>559.74931893874*Deflactores!$G$5</f>
        <v>1473.6645915092738</v>
      </c>
      <c r="K90" s="42">
        <f>597.38463209396*Deflactores!$H$5</f>
        <v>1488.0135691589837</v>
      </c>
      <c r="L90" s="42">
        <f>710.74803921303*Deflactores!$I$5</f>
        <v>1644.2057807497706</v>
      </c>
      <c r="M90" s="42">
        <f>780.896416399429*Deflactores!$J$5</f>
        <v>1771.0305818334964</v>
      </c>
      <c r="N90" s="42">
        <f>789.97492716727*Deflactores!$K$5</f>
        <v>1736.5502818715759</v>
      </c>
      <c r="O90" s="42">
        <f>819.97249421755*Deflactores!$L$5</f>
        <v>1737.732166923774</v>
      </c>
      <c r="P90" s="42">
        <f>933.727024113175*Deflactores!$M$5</f>
        <v>1931.6743573491563</v>
      </c>
      <c r="Q90" s="42">
        <f>1089.60832926814*Deflactores!$N$5</f>
        <v>2211.2598039648228</v>
      </c>
      <c r="R90" s="42">
        <f>1268.40219245967*Deflactores!$O$5</f>
        <v>2483.2196517801485</v>
      </c>
      <c r="S90" s="42">
        <f>1324.54134989647*Deflactores!$P$5</f>
        <v>2428.7031188871665</v>
      </c>
      <c r="T90" s="42">
        <f>1421.94660448868*Deflactores!$Q$5</f>
        <v>2465.538691227463</v>
      </c>
      <c r="U90" s="42">
        <f>1544.75339714988*Deflactores!$R$5</f>
        <v>2573.2304631241368</v>
      </c>
      <c r="V90" s="42">
        <f>1807.79176101968*Deflactores!$S$5</f>
        <v>2918.585391901649</v>
      </c>
    </row>
    <row r="91" spans="2:22" x14ac:dyDescent="0.2">
      <c r="B91" s="40"/>
      <c r="C91" s="77" t="s">
        <v>57</v>
      </c>
      <c r="D91" s="42">
        <f>236.355671004419*Deflactores!$A$5</f>
        <v>882.05940934997193</v>
      </c>
      <c r="E91" s="42">
        <f>230.96088382827*Deflactores!$B$5</f>
        <v>800.68750455836891</v>
      </c>
      <c r="F91" s="42">
        <f>240.026269781699*Deflactores!$C$5</f>
        <v>777.73695608810669</v>
      </c>
      <c r="G91" s="42">
        <f>196.976361807919*Deflactores!$D$5</f>
        <v>599.34059004648475</v>
      </c>
      <c r="H91" s="42">
        <f>213.181473757749*Deflactores!$E$5</f>
        <v>614.84974955021073</v>
      </c>
      <c r="I91" s="42">
        <f>217.60645184336*Deflactores!$F$5</f>
        <v>598.55143755718188</v>
      </c>
      <c r="J91" s="42">
        <f>233.37345239094*Deflactores!$G$5</f>
        <v>614.40752449480362</v>
      </c>
      <c r="K91" s="42">
        <f>253.689939956259*Deflactores!$H$5</f>
        <v>631.91125571952591</v>
      </c>
      <c r="L91" s="42">
        <f>280.22998457557*Deflactores!$I$5</f>
        <v>648.26877480905796</v>
      </c>
      <c r="M91" s="42">
        <f>320.37525767258*Deflactores!$J$5</f>
        <v>726.59365196869237</v>
      </c>
      <c r="N91" s="42">
        <f>324.04938118221*Deflactores!$K$5</f>
        <v>712.33658801062677</v>
      </c>
      <c r="O91" s="42">
        <f>357.285478904851*Deflactores!$L$5</f>
        <v>757.17962961694263</v>
      </c>
      <c r="P91" s="42">
        <f>481.681820749882*Deflactores!$M$5</f>
        <v>996.49297655009457</v>
      </c>
      <c r="Q91" s="42">
        <f>551.018955501277*Deflactores!$N$5</f>
        <v>1118.2422479654242</v>
      </c>
      <c r="R91" s="42">
        <f>573.796294129764*Deflactores!$O$5</f>
        <v>1123.35207410717</v>
      </c>
      <c r="S91" s="42">
        <f>571.505857859425*Deflactores!$P$5</f>
        <v>1047.9235393851334</v>
      </c>
      <c r="T91" s="42">
        <f>657.483547864119*Deflactores!$Q$5</f>
        <v>1140.0225022425548</v>
      </c>
      <c r="U91" s="42">
        <f>634.642439657189*Deflactores!$R$5</f>
        <v>1057.179263648417</v>
      </c>
      <c r="V91" s="42">
        <f>635.481594863429*Deflactores!$S$5</f>
        <v>1025.9518488703718</v>
      </c>
    </row>
    <row r="92" spans="2:22" x14ac:dyDescent="0.2">
      <c r="B92" s="40"/>
      <c r="C92" s="77" t="s">
        <v>58</v>
      </c>
      <c r="D92" s="42">
        <f>427.4261685441*Deflactores!$A$5</f>
        <v>1595.1183746282168</v>
      </c>
      <c r="E92" s="42">
        <f>521.77291948396*Deflactores!$B$5</f>
        <v>1808.8649901356589</v>
      </c>
      <c r="F92" s="42">
        <f>508.941710756099*Deflactores!$C$5</f>
        <v>1649.0810664587593</v>
      </c>
      <c r="G92" s="42">
        <f>566.168537850119*Deflactores!$D$5</f>
        <v>1722.6827748587443</v>
      </c>
      <c r="H92" s="42">
        <f>2667.24320864953*Deflactores!$E$5</f>
        <v>7692.7595532585674</v>
      </c>
      <c r="I92" s="42">
        <f>2505.78869852561*Deflactores!$F$5</f>
        <v>6892.4584497001879</v>
      </c>
      <c r="J92" s="42">
        <f>579.91803954924*Deflactores!$G$5</f>
        <v>1526.7632348021118</v>
      </c>
      <c r="K92" s="42">
        <f>671.83248908061*Deflactores!$H$5</f>
        <v>1673.4542642144245</v>
      </c>
      <c r="L92" s="42">
        <f>653.99088777579*Deflactores!$I$5</f>
        <v>1512.9068796717904</v>
      </c>
      <c r="M92" s="42">
        <f>911.607270599529*Deflactores!$J$5</f>
        <v>2067.4756868492527</v>
      </c>
      <c r="N92" s="42">
        <f>2079.85684881446*Deflactores!$K$5</f>
        <v>4572.0134561897521</v>
      </c>
      <c r="O92" s="42">
        <f>1843.4948350306*Deflactores!$L$5</f>
        <v>3906.8387012754811</v>
      </c>
      <c r="P92" s="42">
        <f>1577.70751918863*Deflactores!$M$5</f>
        <v>3263.9273358379664</v>
      </c>
      <c r="Q92" s="42">
        <f>1549.24128520961*Deflactores!$N$5</f>
        <v>3144.0425780590449</v>
      </c>
      <c r="R92" s="42">
        <f>1529.6207800669*Deflactores!$O$5</f>
        <v>2994.6214248239557</v>
      </c>
      <c r="S92" s="42">
        <f>1842.59135108352*Deflactores!$P$5</f>
        <v>3378.6090268611479</v>
      </c>
      <c r="T92" s="42">
        <f>1528.35982315874*Deflactores!$Q$5</f>
        <v>2650.0504774372034</v>
      </c>
      <c r="U92" s="42">
        <f>1870.47763073715*Deflactores!$R$5</f>
        <v>3115.8177278558178</v>
      </c>
      <c r="V92" s="42">
        <f>1563.65829937535*Deflactores!$S$5</f>
        <v>2524.4446671825444</v>
      </c>
    </row>
    <row r="93" spans="2:22" x14ac:dyDescent="0.2">
      <c r="B93" s="40"/>
      <c r="C93" s="77" t="s">
        <v>59</v>
      </c>
      <c r="D93" s="42">
        <f>334.293479839759*Deflactores!$A$5</f>
        <v>1247.5550433122107</v>
      </c>
      <c r="E93" s="42">
        <f>303.63279220316*Deflactores!$B$5</f>
        <v>1052.6240576391504</v>
      </c>
      <c r="F93" s="42">
        <f>423.18778875546*Deflactores!$C$5</f>
        <v>1371.219837643883</v>
      </c>
      <c r="G93" s="42">
        <f>488.81345831267*Deflactores!$D$5</f>
        <v>1487.3142332350681</v>
      </c>
      <c r="H93" s="42">
        <f>469.57617299655*Deflactores!$E$5</f>
        <v>1354.3334102744961</v>
      </c>
      <c r="I93" s="42">
        <f>620.16872155776*Deflactores!$F$5</f>
        <v>1705.8450090606709</v>
      </c>
      <c r="J93" s="42">
        <f>608.74692110338*Deflactores!$G$5</f>
        <v>1602.661678126168</v>
      </c>
      <c r="K93" s="42">
        <f>731.352761828579*Deflactores!$H$5</f>
        <v>1821.7121348238097</v>
      </c>
      <c r="L93" s="42">
        <f>800.014700018579*Deflactores!$I$5</f>
        <v>1850.7104091511737</v>
      </c>
      <c r="M93" s="42">
        <f>972.57887444546*Deflactores!$J$5</f>
        <v>2205.7559667517635</v>
      </c>
      <c r="N93" s="42">
        <f>1226.9370375801*Deflactores!$K$5</f>
        <v>2697.0955471821644</v>
      </c>
      <c r="O93" s="42">
        <f>1243.70975143808*Deflactores!$L$5</f>
        <v>2635.7401701054109</v>
      </c>
      <c r="P93" s="42">
        <f>1240.63329375558*Deflactores!$M$5</f>
        <v>2566.595437994737</v>
      </c>
      <c r="Q93" s="42">
        <f>1277.04010067383*Deflactores!$N$5</f>
        <v>2591.6353306219171</v>
      </c>
      <c r="R93" s="42">
        <f>1375.83566163696*Deflactores!$O$5</f>
        <v>2693.5479715401648</v>
      </c>
      <c r="S93" s="42">
        <f>1436.17175700165*Deflactores!$P$5</f>
        <v>2633.3906644441145</v>
      </c>
      <c r="T93" s="42">
        <f>1518.30904369701*Deflactores!$Q$5</f>
        <v>2632.62325087211</v>
      </c>
      <c r="U93" s="42">
        <f>1452.72768566935*Deflactores!$R$5</f>
        <v>2419.935209260781</v>
      </c>
      <c r="V93" s="42">
        <f>1392.62279295745*Deflactores!$S$5</f>
        <v>2248.3167738646648</v>
      </c>
    </row>
    <row r="94" spans="2:22" x14ac:dyDescent="0.2">
      <c r="B94" s="34" t="s">
        <v>41</v>
      </c>
      <c r="C94" s="76" t="s">
        <v>42</v>
      </c>
      <c r="D94" s="41">
        <f t="shared" ref="D94:V94" si="30">+D95+D98</f>
        <v>134.88353837421937</v>
      </c>
      <c r="E94" s="41">
        <f t="shared" si="30"/>
        <v>11.885817250440811</v>
      </c>
      <c r="F94" s="41">
        <f t="shared" si="30"/>
        <v>11.793538031851385</v>
      </c>
      <c r="G94" s="41">
        <f t="shared" si="30"/>
        <v>13.886686943696464</v>
      </c>
      <c r="H94" s="41">
        <f t="shared" si="30"/>
        <v>10.943325709367711</v>
      </c>
      <c r="I94" s="41">
        <f t="shared" si="30"/>
        <v>7.416940813035108</v>
      </c>
      <c r="J94" s="41">
        <f t="shared" si="30"/>
        <v>3.4060857692210025</v>
      </c>
      <c r="K94" s="41">
        <f t="shared" si="30"/>
        <v>2.4765103483777824</v>
      </c>
      <c r="L94" s="41">
        <f t="shared" si="30"/>
        <v>2.7108663696734072</v>
      </c>
      <c r="M94" s="41">
        <f t="shared" si="30"/>
        <v>6.3043326002119588</v>
      </c>
      <c r="N94" s="41">
        <f t="shared" si="30"/>
        <v>2.4492125441106829</v>
      </c>
      <c r="O94" s="41">
        <f t="shared" si="30"/>
        <v>2.5011029714864979</v>
      </c>
      <c r="P94" s="41">
        <f t="shared" si="30"/>
        <v>2.2094039577845117</v>
      </c>
      <c r="Q94" s="41">
        <f t="shared" si="30"/>
        <v>2.0249109710638953</v>
      </c>
      <c r="R94" s="41">
        <f t="shared" si="30"/>
        <v>2.0468449671834521</v>
      </c>
      <c r="S94" s="41">
        <f t="shared" si="30"/>
        <v>2.8806761272637789</v>
      </c>
      <c r="T94" s="41">
        <f t="shared" si="30"/>
        <v>2.2310378068843546</v>
      </c>
      <c r="U94" s="41">
        <f t="shared" si="30"/>
        <v>2.4612011821200301</v>
      </c>
      <c r="V94" s="41">
        <f t="shared" si="30"/>
        <v>1.994318257183644</v>
      </c>
    </row>
    <row r="95" spans="2:22" x14ac:dyDescent="0.2">
      <c r="B95" s="34"/>
      <c r="C95" s="76" t="s">
        <v>43</v>
      </c>
      <c r="D95" s="41">
        <f t="shared" ref="D95:V95" si="31">+D96+D97</f>
        <v>17.150322776563037</v>
      </c>
      <c r="E95" s="41">
        <f t="shared" si="31"/>
        <v>10.723696926263505</v>
      </c>
      <c r="F95" s="41">
        <f t="shared" si="31"/>
        <v>9.369917101150314</v>
      </c>
      <c r="G95" s="41">
        <f t="shared" si="31"/>
        <v>10.225285171173521</v>
      </c>
      <c r="H95" s="41">
        <f t="shared" si="31"/>
        <v>7.6508638489214587</v>
      </c>
      <c r="I95" s="41">
        <f t="shared" si="31"/>
        <v>4.3412564171224428</v>
      </c>
      <c r="J95" s="41">
        <f t="shared" si="31"/>
        <v>2.2353216754769862</v>
      </c>
      <c r="K95" s="41">
        <f t="shared" si="31"/>
        <v>2.4765103483777824</v>
      </c>
      <c r="L95" s="41">
        <f t="shared" si="31"/>
        <v>1.2015627494994086</v>
      </c>
      <c r="M95" s="41">
        <f t="shared" si="31"/>
        <v>1.9054243544933986</v>
      </c>
      <c r="N95" s="41">
        <f t="shared" si="31"/>
        <v>0.85926953862862643</v>
      </c>
      <c r="O95" s="41">
        <f t="shared" si="31"/>
        <v>1.1902439399856946</v>
      </c>
      <c r="P95" s="41">
        <f t="shared" si="31"/>
        <v>0.3044565282131188</v>
      </c>
      <c r="Q95" s="41">
        <f t="shared" si="31"/>
        <v>0.30230971190476208</v>
      </c>
      <c r="R95" s="41">
        <f t="shared" si="31"/>
        <v>0.31481988156229873</v>
      </c>
      <c r="S95" s="41">
        <f t="shared" si="31"/>
        <v>0.34945462279447376</v>
      </c>
      <c r="T95" s="41">
        <f t="shared" si="31"/>
        <v>0.39961054876736585</v>
      </c>
      <c r="U95" s="41">
        <f t="shared" si="31"/>
        <v>0.40700922828587516</v>
      </c>
      <c r="V95" s="41">
        <f t="shared" si="31"/>
        <v>0.19174123010306576</v>
      </c>
    </row>
    <row r="96" spans="2:22" x14ac:dyDescent="0.2">
      <c r="B96" s="32"/>
      <c r="C96" s="77" t="s">
        <v>60</v>
      </c>
      <c r="D96" s="42">
        <f>3.65824905879999*Deflactores!$A$5</f>
        <v>13.652276631855726</v>
      </c>
      <c r="E96" s="42">
        <f>2.52775517492*Deflactores!$B$5</f>
        <v>8.7631375044706346</v>
      </c>
      <c r="F96" s="42">
        <f>2.43272454448*Deflactores!$C$5</f>
        <v>7.8825529553305582</v>
      </c>
      <c r="G96" s="42">
        <f>3.0052704935*Deflactores!$D$5</f>
        <v>9.1441458979732655</v>
      </c>
      <c r="H96" s="42">
        <f>2.37902479527999*Deflactores!$E$5</f>
        <v>6.8614911688519733</v>
      </c>
      <c r="I96" s="42">
        <f>1.42834084003*Deflactores!$F$5</f>
        <v>3.928814866835836</v>
      </c>
      <c r="J96" s="42">
        <f>0.76218477646*Deflactores!$G$5</f>
        <v>2.0066209627303517</v>
      </c>
      <c r="K96" s="42">
        <f>0.91212033294*Deflactores!$H$5</f>
        <v>2.2719825037398258</v>
      </c>
      <c r="L96" s="42">
        <f>0.454552066269999*Deflactores!$I$5</f>
        <v>1.0515359786857976</v>
      </c>
      <c r="M96" s="42">
        <f>0.793371209369999*Deflactores!$J$5</f>
        <v>1.7993227335055313</v>
      </c>
      <c r="N96" s="42">
        <f>0.3550073976*Deflactores!$K$5</f>
        <v>0.78038957334938142</v>
      </c>
      <c r="O96" s="42">
        <f>0.531089071*Deflactores!$L$5</f>
        <v>1.1255140491743234</v>
      </c>
      <c r="P96" s="42">
        <f>0.121940248*Deflactores!$M$5</f>
        <v>0.25226735877556261</v>
      </c>
      <c r="Q96" s="42">
        <f>0.127142019*Deflactores!$N$5</f>
        <v>0.25802302392316373</v>
      </c>
      <c r="R96" s="42">
        <f>0.14275677018*Deflactores!$O$5</f>
        <v>0.27948265876788114</v>
      </c>
      <c r="S96" s="42">
        <f>0.170141165*Deflactores!$P$5</f>
        <v>0.31197393582230915</v>
      </c>
      <c r="T96" s="42">
        <f>0.213840013*Deflactores!$Q$5</f>
        <v>0.37078102941402041</v>
      </c>
      <c r="U96" s="42">
        <f>0.23542695539*Deflactores!$R$5</f>
        <v>0.39217121293783863</v>
      </c>
      <c r="V96" s="42">
        <f>0.11701085069*Deflactores!$S$5</f>
        <v>0.18890790791368214</v>
      </c>
    </row>
    <row r="97" spans="2:22" x14ac:dyDescent="0.2">
      <c r="B97" s="32"/>
      <c r="C97" s="77" t="s">
        <v>61</v>
      </c>
      <c r="D97" s="42">
        <f>0.93733260478*Deflactores!$A$5</f>
        <v>3.498046144707311</v>
      </c>
      <c r="E97" s="42">
        <f>0.56552966579*Deflactores!$B$5</f>
        <v>1.960559421792871</v>
      </c>
      <c r="F97" s="42">
        <f>0.45903240798*Deflactores!$C$5</f>
        <v>1.4873641458197564</v>
      </c>
      <c r="G97" s="42">
        <f>0.35532197248*Deflactores!$D$5</f>
        <v>1.0811392732002552</v>
      </c>
      <c r="H97" s="42">
        <f>0.27369228239*Deflactores!$E$5</f>
        <v>0.78937268006948569</v>
      </c>
      <c r="I97" s="42">
        <f>0.14994524567*Deflactores!$F$5</f>
        <v>0.41244155028660706</v>
      </c>
      <c r="J97" s="42">
        <f>0.08686852418*Deflactores!$G$5</f>
        <v>0.22870071274663467</v>
      </c>
      <c r="K97" s="42">
        <f>0.08211067006*Deflactores!$H$5</f>
        <v>0.20452784463795659</v>
      </c>
      <c r="L97" s="42">
        <f>0.0648527297699999*Deflactores!$I$5</f>
        <v>0.15002677081361088</v>
      </c>
      <c r="M97" s="42">
        <f>0.04678314223*Deflactores!$J$5</f>
        <v>0.10610162098786743</v>
      </c>
      <c r="N97" s="42">
        <f>0.03588332309*Deflactores!$K$5</f>
        <v>7.8879965279244957E-2</v>
      </c>
      <c r="O97" s="42">
        <f>0.0305436769999999*Deflactores!$L$5</f>
        <v>6.4729890811371149E-2</v>
      </c>
      <c r="P97" s="42">
        <f>0.025227046*Deflactores!$M$5</f>
        <v>5.2189169437556186E-2</v>
      </c>
      <c r="Q97" s="42">
        <f>0.021822467*Deflactores!$N$5</f>
        <v>4.4286687981598363E-2</v>
      </c>
      <c r="R97" s="42">
        <f>0.01804987764*Deflactores!$O$5</f>
        <v>3.5337222794417582E-2</v>
      </c>
      <c r="S97" s="42">
        <f>0.020440835*Deflactores!$P$5</f>
        <v>3.7480686972164619E-2</v>
      </c>
      <c r="T97" s="42">
        <f>0.01662680748*Deflactores!$Q$5</f>
        <v>2.882951935334541E-2</v>
      </c>
      <c r="U97" s="42">
        <f>0.00890750943*Deflactores!$R$5</f>
        <v>1.4838015348036549E-2</v>
      </c>
      <c r="V97" s="42">
        <f>0.00175497914999999*Deflactores!$S$5</f>
        <v>2.8333221893836165E-3</v>
      </c>
    </row>
    <row r="98" spans="2:22" x14ac:dyDescent="0.2">
      <c r="B98" s="34"/>
      <c r="C98" s="76" t="s">
        <v>44</v>
      </c>
      <c r="D98" s="41">
        <f t="shared" ref="D98:V98" si="32">+D99+D100</f>
        <v>117.73321559765634</v>
      </c>
      <c r="E98" s="41">
        <f t="shared" si="32"/>
        <v>1.1621203241773055</v>
      </c>
      <c r="F98" s="41">
        <f t="shared" si="32"/>
        <v>2.4236209307010714</v>
      </c>
      <c r="G98" s="41">
        <f t="shared" si="32"/>
        <v>3.6614017725229426</v>
      </c>
      <c r="H98" s="41">
        <f t="shared" si="32"/>
        <v>3.2924618604462519</v>
      </c>
      <c r="I98" s="41">
        <f t="shared" si="32"/>
        <v>3.0756843959126652</v>
      </c>
      <c r="J98" s="41">
        <f t="shared" si="32"/>
        <v>1.1707640937440162</v>
      </c>
      <c r="K98" s="41">
        <f t="shared" si="32"/>
        <v>0</v>
      </c>
      <c r="L98" s="41">
        <f t="shared" si="32"/>
        <v>1.5093036201739987</v>
      </c>
      <c r="M98" s="41">
        <f t="shared" si="32"/>
        <v>4.3989082457185607</v>
      </c>
      <c r="N98" s="41">
        <f t="shared" si="32"/>
        <v>1.5899430054820565</v>
      </c>
      <c r="O98" s="41">
        <f t="shared" si="32"/>
        <v>1.3108590315008031</v>
      </c>
      <c r="P98" s="41">
        <f t="shared" si="32"/>
        <v>1.9049474295713931</v>
      </c>
      <c r="Q98" s="41">
        <f t="shared" si="32"/>
        <v>1.7226012591591333</v>
      </c>
      <c r="R98" s="41">
        <f t="shared" si="32"/>
        <v>1.7320250856211534</v>
      </c>
      <c r="S98" s="41">
        <f t="shared" si="32"/>
        <v>2.5312215044693049</v>
      </c>
      <c r="T98" s="41">
        <f t="shared" si="32"/>
        <v>1.8314272581169886</v>
      </c>
      <c r="U98" s="41">
        <f t="shared" si="32"/>
        <v>2.0541919538341551</v>
      </c>
      <c r="V98" s="41">
        <f t="shared" si="32"/>
        <v>1.8025770270805781</v>
      </c>
    </row>
    <row r="99" spans="2:22" x14ac:dyDescent="0.2">
      <c r="B99" s="32"/>
      <c r="C99" s="77" t="s">
        <v>60</v>
      </c>
      <c r="D99" s="42">
        <f>22.3430964979999*Deflactores!$A$5</f>
        <v>83.382549766308543</v>
      </c>
      <c r="E99" s="42">
        <f>0.0676685036899999*Deflactores!$B$5</f>
        <v>0.23459091625675929</v>
      </c>
      <c r="F99" s="42">
        <f>0.507554082789999*Deflactores!$C$5</f>
        <v>1.6445848521422228</v>
      </c>
      <c r="G99" s="42">
        <f>0.87329680818*Deflactores!$D$5</f>
        <v>2.6571829203075006</v>
      </c>
      <c r="H99" s="42">
        <f>0.839745004*Deflactores!$E$5</f>
        <v>2.4219600150722429</v>
      </c>
      <c r="I99" s="42">
        <f>0.835305961*Deflactores!$F$5</f>
        <v>2.2976045954580888</v>
      </c>
      <c r="J99" s="42">
        <f>0.352199363*Deflactores!$G$5</f>
        <v>0.92724316554644048</v>
      </c>
      <c r="K99" s="42">
        <f>0*Deflactores!$H$5</f>
        <v>0</v>
      </c>
      <c r="L99" s="42">
        <f>0.652433291*Deflactores!$I$5</f>
        <v>1.5093036201739987</v>
      </c>
      <c r="M99" s="42">
        <f>0.660154885*Deflactores!$J$5</f>
        <v>1.4971953584734492</v>
      </c>
      <c r="N99" s="42">
        <f>0.62658618556*Deflactores!$K$5</f>
        <v>1.3773834836161307</v>
      </c>
      <c r="O99" s="42">
        <f>0.549967381*Deflactores!$L$5</f>
        <v>1.1655220333146485</v>
      </c>
      <c r="P99" s="42">
        <f>0.795709454*Deflactores!$M$5</f>
        <v>1.6461465808510167</v>
      </c>
      <c r="Q99" s="42">
        <f>0.708641824*Deflactores!$N$5</f>
        <v>1.4381233501326289</v>
      </c>
      <c r="R99" s="42">
        <f>0.740299999*Deflactores!$O$5</f>
        <v>1.4493253927326963</v>
      </c>
      <c r="S99" s="42">
        <f>1.250644745*Deflactores!$P$5</f>
        <v>2.2932049596177277</v>
      </c>
      <c r="T99" s="42">
        <f>0.9343812038*Deflactores!$Q$5</f>
        <v>1.6201403083999795</v>
      </c>
      <c r="U99" s="42">
        <f>1.1078660112*Deflactores!$R$5</f>
        <v>1.845469040132538</v>
      </c>
      <c r="V99" s="42">
        <f>1.022488845*Deflactores!$S$5</f>
        <v>1.6507548439739252</v>
      </c>
    </row>
    <row r="100" spans="2:22" x14ac:dyDescent="0.2">
      <c r="B100" s="32"/>
      <c r="C100" s="77" t="s">
        <v>61</v>
      </c>
      <c r="D100" s="42">
        <f>9.204566706*Deflactores!$A$5</f>
        <v>34.35066583134779</v>
      </c>
      <c r="E100" s="42">
        <f>0.26754883848*Deflactores!$B$5</f>
        <v>0.92752940792054617</v>
      </c>
      <c r="F100" s="42">
        <f>0.24042720678*Deflactores!$C$5</f>
        <v>0.77903607855884849</v>
      </c>
      <c r="G100" s="42">
        <f>0.33004168123*Deflactores!$D$5</f>
        <v>1.004218852215442</v>
      </c>
      <c r="H100" s="42">
        <f>0.301821487999999*Deflactores!$E$5</f>
        <v>0.87050184537400888</v>
      </c>
      <c r="I100" s="42">
        <f>0.282874911*Deflactores!$F$5</f>
        <v>0.77807980045457614</v>
      </c>
      <c r="J100" s="42">
        <f>0.09249776*Deflactores!$G$5</f>
        <v>0.24352092819757576</v>
      </c>
      <c r="K100" s="42">
        <f>0*Deflactores!$H$5</f>
        <v>0</v>
      </c>
      <c r="L100" s="42">
        <f>0*Deflactores!$I$5</f>
        <v>0</v>
      </c>
      <c r="M100" s="42">
        <f>1.279445549*Deflactores!$J$5</f>
        <v>2.901712887245111</v>
      </c>
      <c r="N100" s="42">
        <f>0.09669555472*Deflactores!$K$5</f>
        <v>0.21255952186592567</v>
      </c>
      <c r="O100" s="42">
        <f>0.068579234*Deflactores!$L$5</f>
        <v>0.14533699818615442</v>
      </c>
      <c r="P100" s="42">
        <f>0.125098387*Deflactores!$M$5</f>
        <v>0.2588008487203764</v>
      </c>
      <c r="Q100" s="42">
        <f>0.140177784*Deflactores!$N$5</f>
        <v>0.28447790902650427</v>
      </c>
      <c r="R100" s="42">
        <f>0.144399997*Deflactores!$O$5</f>
        <v>0.2826996928884572</v>
      </c>
      <c r="S100" s="42">
        <f>0.129807037*Deflactores!$P$5</f>
        <v>0.23801654485157725</v>
      </c>
      <c r="T100" s="42">
        <f>0.12185522044*Deflactores!$Q$5</f>
        <v>0.21128694971700915</v>
      </c>
      <c r="U100" s="42">
        <f>0.12529986514*Deflactores!$R$5</f>
        <v>0.208722913701617</v>
      </c>
      <c r="V100" s="42">
        <f>0.094039699*Deflactores!$S$5</f>
        <v>0.15182218310665277</v>
      </c>
    </row>
    <row r="101" spans="2:22" x14ac:dyDescent="0.2">
      <c r="B101" s="34" t="s">
        <v>45</v>
      </c>
      <c r="C101" s="76" t="s">
        <v>46</v>
      </c>
      <c r="D101" s="41">
        <f>1799.17165705529*Deflactores!$A$5</f>
        <v>6714.3567251734294</v>
      </c>
      <c r="E101" s="41">
        <f>2106.00965140009*Deflactores!$B$5</f>
        <v>7301.0441612666627</v>
      </c>
      <c r="F101" s="41">
        <f>1947.80374768092*Deflactores!$C$5</f>
        <v>6311.3048382417874</v>
      </c>
      <c r="G101" s="41">
        <f>1933.04205586116*Deflactores!$D$5</f>
        <v>5881.6730886432724</v>
      </c>
      <c r="H101" s="41">
        <f>2276.97922791288*Deflactores!$E$5</f>
        <v>6567.1752959366977</v>
      </c>
      <c r="I101" s="41">
        <f>2352.79998572872*Deflactores!$F$5</f>
        <v>6471.6454949422223</v>
      </c>
      <c r="J101" s="41">
        <f>3095.81674347482*Deflactores!$G$5</f>
        <v>8150.426203840877</v>
      </c>
      <c r="K101" s="41">
        <f>4209.5154416651*Deflactores!$H$5</f>
        <v>10485.398787086197</v>
      </c>
      <c r="L101" s="41">
        <f>5333.24370032962*Deflactores!$I$5</f>
        <v>12337.635334089149</v>
      </c>
      <c r="M101" s="41">
        <f>6504.14157747222*Deflactores!$J$5</f>
        <v>14751.039190818965</v>
      </c>
      <c r="N101" s="41">
        <f>6145.4796839798*Deflactores!$K$5</f>
        <v>13509.206571554238</v>
      </c>
      <c r="O101" s="41">
        <f>6081.76289655553*Deflactores!$L$5</f>
        <v>12888.816504793742</v>
      </c>
      <c r="P101" s="41">
        <f>7067.57973757295*Deflactores!$M$5</f>
        <v>14621.256743164997</v>
      </c>
      <c r="Q101" s="41">
        <f>8120.08488201475*Deflactores!$N$5</f>
        <v>16478.964800537044</v>
      </c>
      <c r="R101" s="41">
        <f>5285.51722080771*Deflactores!$O$5</f>
        <v>10347.743255694053</v>
      </c>
      <c r="S101" s="41">
        <f>5641.18982898195*Deflactores!$P$5</f>
        <v>10343.78831053777</v>
      </c>
      <c r="T101" s="41">
        <f>7107.29372001726*Deflactores!$Q$5</f>
        <v>12323.463905961333</v>
      </c>
      <c r="U101" s="41">
        <f>7610.44103442665*Deflactores!$R$5</f>
        <v>12677.375394498995</v>
      </c>
      <c r="V101" s="41">
        <f>6643.60601127661*Deflactores!$S$5</f>
        <v>10725.754963682906</v>
      </c>
    </row>
    <row r="102" spans="2:22" x14ac:dyDescent="0.2">
      <c r="B102" s="36" t="s">
        <v>47</v>
      </c>
      <c r="C102" s="78" t="s">
        <v>48</v>
      </c>
      <c r="D102" s="43">
        <f t="shared" ref="D102:V102" si="33">+D89+D101</f>
        <v>12058.620254719783</v>
      </c>
      <c r="E102" s="43">
        <f t="shared" si="33"/>
        <v>12555.449826712109</v>
      </c>
      <c r="F102" s="43">
        <f t="shared" si="33"/>
        <v>11693.143439518597</v>
      </c>
      <c r="G102" s="43">
        <f t="shared" si="33"/>
        <v>11213.574892935501</v>
      </c>
      <c r="H102" s="43">
        <f t="shared" si="33"/>
        <v>17697.978224820032</v>
      </c>
      <c r="I102" s="43">
        <f t="shared" si="33"/>
        <v>17114.478530642322</v>
      </c>
      <c r="J102" s="43">
        <f t="shared" si="33"/>
        <v>13367.923232773235</v>
      </c>
      <c r="K102" s="43">
        <f t="shared" si="33"/>
        <v>16100.490011002941</v>
      </c>
      <c r="L102" s="43">
        <f t="shared" si="33"/>
        <v>17993.727178470941</v>
      </c>
      <c r="M102" s="43">
        <f t="shared" si="33"/>
        <v>21521.895078222169</v>
      </c>
      <c r="N102" s="43">
        <f t="shared" si="33"/>
        <v>23227.202444808358</v>
      </c>
      <c r="O102" s="43">
        <f t="shared" si="33"/>
        <v>21926.307172715351</v>
      </c>
      <c r="P102" s="43">
        <f t="shared" si="33"/>
        <v>23379.946850896951</v>
      </c>
      <c r="Q102" s="43">
        <f t="shared" si="33"/>
        <v>25544.144761148251</v>
      </c>
      <c r="R102" s="43">
        <f t="shared" si="33"/>
        <v>19642.48437794549</v>
      </c>
      <c r="S102" s="43">
        <f t="shared" si="33"/>
        <v>19832.414660115333</v>
      </c>
      <c r="T102" s="43">
        <f t="shared" si="33"/>
        <v>21211.698827740664</v>
      </c>
      <c r="U102" s="43">
        <f t="shared" si="33"/>
        <v>21843.538058388149</v>
      </c>
      <c r="V102" s="43">
        <f t="shared" si="33"/>
        <v>19443.053645502136</v>
      </c>
    </row>
    <row r="103" spans="2:22" x14ac:dyDescent="0.2">
      <c r="B103" s="38" t="s">
        <v>49</v>
      </c>
      <c r="C103" s="79" t="s">
        <v>63</v>
      </c>
      <c r="D103" s="44">
        <f t="shared" ref="D103:V103" si="34">+D89+D94+D101</f>
        <v>12193.503793094002</v>
      </c>
      <c r="E103" s="44">
        <f t="shared" si="34"/>
        <v>12567.33564396255</v>
      </c>
      <c r="F103" s="44">
        <f t="shared" si="34"/>
        <v>11704.936977550449</v>
      </c>
      <c r="G103" s="44">
        <f t="shared" si="34"/>
        <v>11227.461579879197</v>
      </c>
      <c r="H103" s="44">
        <f t="shared" si="34"/>
        <v>17708.921550529398</v>
      </c>
      <c r="I103" s="44">
        <f t="shared" si="34"/>
        <v>17121.895471455355</v>
      </c>
      <c r="J103" s="44">
        <f t="shared" si="34"/>
        <v>13371.329318542455</v>
      </c>
      <c r="K103" s="44">
        <f t="shared" si="34"/>
        <v>16102.966521351318</v>
      </c>
      <c r="L103" s="44">
        <f t="shared" si="34"/>
        <v>17996.438044840615</v>
      </c>
      <c r="M103" s="44">
        <f t="shared" si="34"/>
        <v>21528.199410822381</v>
      </c>
      <c r="N103" s="44">
        <f t="shared" si="34"/>
        <v>23229.651657352468</v>
      </c>
      <c r="O103" s="44">
        <f t="shared" si="34"/>
        <v>21928.808275686839</v>
      </c>
      <c r="P103" s="44">
        <f t="shared" si="34"/>
        <v>23382.156254854737</v>
      </c>
      <c r="Q103" s="44">
        <f t="shared" si="34"/>
        <v>25546.169672119315</v>
      </c>
      <c r="R103" s="44">
        <f t="shared" si="34"/>
        <v>19644.531222912672</v>
      </c>
      <c r="S103" s="44">
        <f t="shared" si="34"/>
        <v>19835.295336242598</v>
      </c>
      <c r="T103" s="44">
        <f t="shared" si="34"/>
        <v>21213.92986554755</v>
      </c>
      <c r="U103" s="44">
        <f t="shared" si="34"/>
        <v>21845.999259570268</v>
      </c>
      <c r="V103" s="44">
        <f t="shared" si="34"/>
        <v>19445.04796375932</v>
      </c>
    </row>
    <row r="104" spans="2:22" x14ac:dyDescent="0.2">
      <c r="B104" s="36" t="s">
        <v>64</v>
      </c>
      <c r="C104" s="78" t="s">
        <v>65</v>
      </c>
      <c r="D104" s="43">
        <f t="shared" ref="D104:V104" si="35">+D27</f>
        <v>15453.211183002455</v>
      </c>
      <c r="E104" s="43">
        <f t="shared" si="35"/>
        <v>16511.668507063165</v>
      </c>
      <c r="F104" s="43">
        <f t="shared" si="35"/>
        <v>16365.13672221762</v>
      </c>
      <c r="G104" s="43">
        <f t="shared" si="35"/>
        <v>14883.222018655233</v>
      </c>
      <c r="H104" s="43">
        <f t="shared" si="35"/>
        <v>22257.578938138027</v>
      </c>
      <c r="I104" s="43">
        <f t="shared" si="35"/>
        <v>21348.332354937964</v>
      </c>
      <c r="J104" s="43">
        <f t="shared" si="35"/>
        <v>18349.719216977588</v>
      </c>
      <c r="K104" s="43">
        <f t="shared" si="35"/>
        <v>19029.037387067838</v>
      </c>
      <c r="L104" s="43">
        <f t="shared" si="35"/>
        <v>20376.397307770425</v>
      </c>
      <c r="M104" s="43">
        <f t="shared" si="35"/>
        <v>25429.511701911797</v>
      </c>
      <c r="N104" s="43">
        <f t="shared" si="35"/>
        <v>27710.663711537865</v>
      </c>
      <c r="O104" s="43">
        <f t="shared" si="35"/>
        <v>27320.618107980103</v>
      </c>
      <c r="P104" s="43">
        <f t="shared" si="35"/>
        <v>27403.026491694902</v>
      </c>
      <c r="Q104" s="43">
        <f t="shared" si="35"/>
        <v>29231.873071315735</v>
      </c>
      <c r="R104" s="43">
        <f t="shared" si="35"/>
        <v>22344.556256321448</v>
      </c>
      <c r="S104" s="43">
        <f t="shared" si="35"/>
        <v>22475.241001465962</v>
      </c>
      <c r="T104" s="43">
        <f t="shared" si="35"/>
        <v>23158.867601117716</v>
      </c>
      <c r="U104" s="43">
        <f t="shared" si="35"/>
        <v>24346.025521751541</v>
      </c>
      <c r="V104" s="43">
        <f t="shared" si="35"/>
        <v>22187.686870138506</v>
      </c>
    </row>
    <row r="105" spans="2:22" x14ac:dyDescent="0.2">
      <c r="B105" s="38" t="s">
        <v>66</v>
      </c>
      <c r="C105" s="79" t="s">
        <v>70</v>
      </c>
      <c r="D105" s="45">
        <f t="shared" ref="D105:V105" si="36">+D102/D$27*100</f>
        <v>78.033103359018966</v>
      </c>
      <c r="E105" s="45">
        <f t="shared" si="36"/>
        <v>76.039861273506602</v>
      </c>
      <c r="F105" s="45">
        <f t="shared" si="36"/>
        <v>71.451547506130908</v>
      </c>
      <c r="G105" s="45">
        <f t="shared" si="36"/>
        <v>75.343731880636824</v>
      </c>
      <c r="H105" s="45">
        <f t="shared" si="36"/>
        <v>79.514390464520872</v>
      </c>
      <c r="I105" s="45">
        <f t="shared" si="36"/>
        <v>80.167753837145355</v>
      </c>
      <c r="J105" s="45">
        <f t="shared" si="36"/>
        <v>72.850832618762468</v>
      </c>
      <c r="K105" s="45">
        <f t="shared" si="36"/>
        <v>84.610112868582931</v>
      </c>
      <c r="L105" s="45">
        <f t="shared" si="36"/>
        <v>88.306715395705083</v>
      </c>
      <c r="M105" s="45">
        <f t="shared" si="36"/>
        <v>84.633536540161515</v>
      </c>
      <c r="N105" s="45">
        <f t="shared" si="36"/>
        <v>83.820447920694392</v>
      </c>
      <c r="O105" s="45">
        <f t="shared" si="36"/>
        <v>80.255531137894991</v>
      </c>
      <c r="P105" s="45">
        <f t="shared" si="36"/>
        <v>85.3188492080711</v>
      </c>
      <c r="Q105" s="45">
        <f t="shared" si="36"/>
        <v>87.384563756244106</v>
      </c>
      <c r="R105" s="45">
        <f t="shared" si="36"/>
        <v>87.90724753098857</v>
      </c>
      <c r="S105" s="45">
        <f t="shared" si="36"/>
        <v>88.241165729087186</v>
      </c>
      <c r="T105" s="45">
        <f t="shared" si="36"/>
        <v>91.592124421130691</v>
      </c>
      <c r="U105" s="45">
        <f t="shared" si="36"/>
        <v>89.721166351659392</v>
      </c>
      <c r="V105" s="45">
        <f t="shared" si="36"/>
        <v>87.62992627081708</v>
      </c>
    </row>
    <row r="106" spans="2:22" x14ac:dyDescent="0.2">
      <c r="B106" s="1" t="s">
        <v>52</v>
      </c>
    </row>
    <row r="107" spans="2:22" x14ac:dyDescent="0.2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2:22" x14ac:dyDescent="0.2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2:22" x14ac:dyDescent="0.2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2:22" x14ac:dyDescent="0.2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2:22" ht="15" customHeight="1" x14ac:dyDescent="0.2">
      <c r="C111" s="131"/>
      <c r="D111" s="164" t="s">
        <v>87</v>
      </c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</row>
    <row r="112" spans="2:22" x14ac:dyDescent="0.2">
      <c r="U112" s="29"/>
      <c r="V112" s="29"/>
    </row>
    <row r="113" spans="2:22" ht="13.5" customHeight="1" x14ac:dyDescent="0.2">
      <c r="B113" s="167"/>
      <c r="C113" s="161" t="s">
        <v>38</v>
      </c>
      <c r="D113" s="155">
        <v>2000</v>
      </c>
      <c r="E113" s="155">
        <v>2001</v>
      </c>
      <c r="F113" s="155">
        <v>2002</v>
      </c>
      <c r="G113" s="155">
        <v>2003</v>
      </c>
      <c r="H113" s="155">
        <v>2004</v>
      </c>
      <c r="I113" s="155">
        <v>2005</v>
      </c>
      <c r="J113" s="155">
        <v>2006</v>
      </c>
      <c r="K113" s="155">
        <v>2007</v>
      </c>
      <c r="L113" s="155">
        <v>2008</v>
      </c>
      <c r="M113" s="155">
        <v>2009</v>
      </c>
      <c r="N113" s="155">
        <v>2010</v>
      </c>
      <c r="O113" s="155">
        <v>2011</v>
      </c>
      <c r="P113" s="155">
        <v>2012</v>
      </c>
      <c r="Q113" s="155">
        <v>2013</v>
      </c>
      <c r="R113" s="155">
        <v>2014</v>
      </c>
      <c r="S113" s="155">
        <v>2015</v>
      </c>
      <c r="T113" s="155">
        <v>2016</v>
      </c>
      <c r="U113" s="155">
        <v>2017</v>
      </c>
      <c r="V113" s="155">
        <v>2018</v>
      </c>
    </row>
    <row r="114" spans="2:22" ht="12" customHeight="1" thickBot="1" x14ac:dyDescent="0.25">
      <c r="B114" s="156"/>
      <c r="C114" s="162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</row>
    <row r="115" spans="2:22" x14ac:dyDescent="0.2">
      <c r="B115" s="34" t="s">
        <v>39</v>
      </c>
      <c r="C115" s="76" t="s">
        <v>40</v>
      </c>
      <c r="D115" s="46">
        <f t="shared" ref="D115:V115" si="37">+IFERROR(IF(D89&gt;0,+((D89/D14)*100)," "),"")</f>
        <v>79.449599783721922</v>
      </c>
      <c r="E115" s="46">
        <f t="shared" si="37"/>
        <v>76.580916454809284</v>
      </c>
      <c r="F115" s="46">
        <f t="shared" si="37"/>
        <v>78.743843556625066</v>
      </c>
      <c r="G115" s="46">
        <f t="shared" si="37"/>
        <v>79.671929942762731</v>
      </c>
      <c r="H115" s="46">
        <f t="shared" si="37"/>
        <v>85.655760097843071</v>
      </c>
      <c r="I115" s="46">
        <f t="shared" si="37"/>
        <v>89.42982409499399</v>
      </c>
      <c r="J115" s="46">
        <f t="shared" si="37"/>
        <v>72.401851766921354</v>
      </c>
      <c r="K115" s="46">
        <f t="shared" si="37"/>
        <v>81.29026817486799</v>
      </c>
      <c r="L115" s="46">
        <f t="shared" si="37"/>
        <v>83.245902238485002</v>
      </c>
      <c r="M115" s="46">
        <f t="shared" si="37"/>
        <v>80.224357357469273</v>
      </c>
      <c r="N115" s="46">
        <f t="shared" si="37"/>
        <v>86.272473292677134</v>
      </c>
      <c r="O115" s="46">
        <f t="shared" si="37"/>
        <v>84.137071424133921</v>
      </c>
      <c r="P115" s="46">
        <f t="shared" si="37"/>
        <v>84.44004223771293</v>
      </c>
      <c r="Q115" s="46">
        <f t="shared" si="37"/>
        <v>81.477332740610464</v>
      </c>
      <c r="R115" s="46">
        <f t="shared" si="37"/>
        <v>86.203243971770078</v>
      </c>
      <c r="S115" s="46">
        <f t="shared" si="37"/>
        <v>87.747360332174125</v>
      </c>
      <c r="T115" s="46">
        <f t="shared" si="37"/>
        <v>91.157152643956167</v>
      </c>
      <c r="U115" s="46">
        <f t="shared" si="37"/>
        <v>93.280911719467625</v>
      </c>
      <c r="V115" s="46">
        <f t="shared" si="37"/>
        <v>88.916562374495328</v>
      </c>
    </row>
    <row r="116" spans="2:22" x14ac:dyDescent="0.2">
      <c r="B116" s="40"/>
      <c r="C116" s="77" t="s">
        <v>56</v>
      </c>
      <c r="D116" s="47">
        <f t="shared" ref="D116:V116" si="38">+IFERROR(IF(D90&gt;0,+((D90/D15)*100)," "),"")</f>
        <v>94.878694590075426</v>
      </c>
      <c r="E116" s="47">
        <f t="shared" si="38"/>
        <v>94.218853909255273</v>
      </c>
      <c r="F116" s="47">
        <f t="shared" si="38"/>
        <v>96.202663718141807</v>
      </c>
      <c r="G116" s="47">
        <f t="shared" si="38"/>
        <v>93.86050389820825</v>
      </c>
      <c r="H116" s="47">
        <f t="shared" si="38"/>
        <v>92.614016723367655</v>
      </c>
      <c r="I116" s="47">
        <f t="shared" si="38"/>
        <v>94.478319673952882</v>
      </c>
      <c r="J116" s="47">
        <f t="shared" si="38"/>
        <v>93.114137176267448</v>
      </c>
      <c r="K116" s="47">
        <f t="shared" si="38"/>
        <v>93.520027856211257</v>
      </c>
      <c r="L116" s="47">
        <f t="shared" si="38"/>
        <v>95.129170431048848</v>
      </c>
      <c r="M116" s="47">
        <f t="shared" si="38"/>
        <v>92.716160929565731</v>
      </c>
      <c r="N116" s="47">
        <f t="shared" si="38"/>
        <v>94.077077152247028</v>
      </c>
      <c r="O116" s="47">
        <f t="shared" si="38"/>
        <v>92.791938307790389</v>
      </c>
      <c r="P116" s="47">
        <f t="shared" si="38"/>
        <v>92.815668363639716</v>
      </c>
      <c r="Q116" s="47">
        <f t="shared" si="38"/>
        <v>83.690797646981707</v>
      </c>
      <c r="R116" s="47">
        <f t="shared" si="38"/>
        <v>87.042900713714445</v>
      </c>
      <c r="S116" s="47">
        <f t="shared" si="38"/>
        <v>90.451093631971489</v>
      </c>
      <c r="T116" s="47">
        <f t="shared" si="38"/>
        <v>92.891283077620216</v>
      </c>
      <c r="U116" s="47">
        <f t="shared" si="38"/>
        <v>92.977231705968322</v>
      </c>
      <c r="V116" s="47">
        <f t="shared" si="38"/>
        <v>93.352842406980812</v>
      </c>
    </row>
    <row r="117" spans="2:22" x14ac:dyDescent="0.2">
      <c r="B117" s="40"/>
      <c r="C117" s="77" t="s">
        <v>57</v>
      </c>
      <c r="D117" s="47">
        <f t="shared" ref="D117:V117" si="39">+IFERROR(IF(D91&gt;0,+((D91/D16)*100)," "),"")</f>
        <v>83.535634460824781</v>
      </c>
      <c r="E117" s="47">
        <f t="shared" si="39"/>
        <v>87.711723750849487</v>
      </c>
      <c r="F117" s="47">
        <f t="shared" si="39"/>
        <v>87.326398698864608</v>
      </c>
      <c r="G117" s="47">
        <f t="shared" si="39"/>
        <v>82.44083785317622</v>
      </c>
      <c r="H117" s="47">
        <f t="shared" si="39"/>
        <v>78.971138839963274</v>
      </c>
      <c r="I117" s="47">
        <f t="shared" si="39"/>
        <v>82.034435839650101</v>
      </c>
      <c r="J117" s="47">
        <f t="shared" si="39"/>
        <v>77.04057219354867</v>
      </c>
      <c r="K117" s="47">
        <f t="shared" si="39"/>
        <v>82.160911493210079</v>
      </c>
      <c r="L117" s="47">
        <f t="shared" si="39"/>
        <v>85.317639595942921</v>
      </c>
      <c r="M117" s="47">
        <f t="shared" si="39"/>
        <v>87.714608818149912</v>
      </c>
      <c r="N117" s="47">
        <f t="shared" si="39"/>
        <v>83.298679708556776</v>
      </c>
      <c r="O117" s="47">
        <f t="shared" si="39"/>
        <v>84.153865564447599</v>
      </c>
      <c r="P117" s="47">
        <f t="shared" si="39"/>
        <v>85.789310733768502</v>
      </c>
      <c r="Q117" s="47">
        <f t="shared" si="39"/>
        <v>89.841255125276774</v>
      </c>
      <c r="R117" s="47">
        <f t="shared" si="39"/>
        <v>87.071520714399384</v>
      </c>
      <c r="S117" s="47">
        <f t="shared" si="39"/>
        <v>92.865469123999318</v>
      </c>
      <c r="T117" s="47">
        <f t="shared" si="39"/>
        <v>92.780882430848933</v>
      </c>
      <c r="U117" s="47">
        <f t="shared" si="39"/>
        <v>91.202222295772302</v>
      </c>
      <c r="V117" s="47">
        <f t="shared" si="39"/>
        <v>84.709058493249458</v>
      </c>
    </row>
    <row r="118" spans="2:22" x14ac:dyDescent="0.2">
      <c r="B118" s="40"/>
      <c r="C118" s="77" t="s">
        <v>58</v>
      </c>
      <c r="D118" s="47">
        <f t="shared" ref="D118:V118" si="40">+IFERROR(IF(D92&gt;0,+((D92/D17)*100)," "),"")</f>
        <v>63.302146807798962</v>
      </c>
      <c r="E118" s="47">
        <f t="shared" si="40"/>
        <v>64.07433230310636</v>
      </c>
      <c r="F118" s="47">
        <f t="shared" si="40"/>
        <v>63.641428837749324</v>
      </c>
      <c r="G118" s="47">
        <f t="shared" si="40"/>
        <v>68.446012030926767</v>
      </c>
      <c r="H118" s="47">
        <f t="shared" si="40"/>
        <v>85.79420722611161</v>
      </c>
      <c r="I118" s="47">
        <f t="shared" si="40"/>
        <v>92.27987301742202</v>
      </c>
      <c r="J118" s="47">
        <f t="shared" si="40"/>
        <v>63.977722530730553</v>
      </c>
      <c r="K118" s="47">
        <f t="shared" si="40"/>
        <v>67.705695776679406</v>
      </c>
      <c r="L118" s="47">
        <f t="shared" si="40"/>
        <v>67.94353758762486</v>
      </c>
      <c r="M118" s="47">
        <f t="shared" si="40"/>
        <v>66.184788046655854</v>
      </c>
      <c r="N118" s="47">
        <f t="shared" si="40"/>
        <v>83.492723118485245</v>
      </c>
      <c r="O118" s="47">
        <f t="shared" si="40"/>
        <v>82.214667354898808</v>
      </c>
      <c r="P118" s="47">
        <f t="shared" si="40"/>
        <v>85.447426406577165</v>
      </c>
      <c r="Q118" s="47">
        <f t="shared" si="40"/>
        <v>78.134656712191031</v>
      </c>
      <c r="R118" s="47">
        <f t="shared" si="40"/>
        <v>83.223744469365641</v>
      </c>
      <c r="S118" s="47">
        <f t="shared" si="40"/>
        <v>88.029343636565912</v>
      </c>
      <c r="T118" s="47">
        <f t="shared" si="40"/>
        <v>91.33485314978887</v>
      </c>
      <c r="U118" s="47">
        <f t="shared" si="40"/>
        <v>94.311144647114602</v>
      </c>
      <c r="V118" s="47">
        <f t="shared" si="40"/>
        <v>84.685528713146624</v>
      </c>
    </row>
    <row r="119" spans="2:22" x14ac:dyDescent="0.2">
      <c r="B119" s="40"/>
      <c r="C119" s="77" t="s">
        <v>59</v>
      </c>
      <c r="D119" s="47">
        <f t="shared" ref="D119:V119" si="41">+IFERROR(IF(D93&gt;0,+((D93/D18)*100)," "),"")</f>
        <v>86.401582645799181</v>
      </c>
      <c r="E119" s="47">
        <f t="shared" si="41"/>
        <v>73.33390393890032</v>
      </c>
      <c r="F119" s="47">
        <f t="shared" si="41"/>
        <v>80.353603564870895</v>
      </c>
      <c r="G119" s="47">
        <f t="shared" si="41"/>
        <v>81.437704666551298</v>
      </c>
      <c r="H119" s="47">
        <f t="shared" si="41"/>
        <v>81.404578999021226</v>
      </c>
      <c r="I119" s="47">
        <f t="shared" si="41"/>
        <v>78.55379832381908</v>
      </c>
      <c r="J119" s="47">
        <f t="shared" si="41"/>
        <v>65.689580662135413</v>
      </c>
      <c r="K119" s="47">
        <f t="shared" si="41"/>
        <v>87.769379257912888</v>
      </c>
      <c r="L119" s="47">
        <f t="shared" si="41"/>
        <v>88.997674642408839</v>
      </c>
      <c r="M119" s="47">
        <f t="shared" si="41"/>
        <v>85.574595969286065</v>
      </c>
      <c r="N119" s="47">
        <f t="shared" si="41"/>
        <v>87.360293888875987</v>
      </c>
      <c r="O119" s="47">
        <f t="shared" si="41"/>
        <v>81.933724567376956</v>
      </c>
      <c r="P119" s="47">
        <f t="shared" si="41"/>
        <v>77.537990839466062</v>
      </c>
      <c r="Q119" s="47">
        <f t="shared" si="41"/>
        <v>80.603903137832219</v>
      </c>
      <c r="R119" s="47">
        <f t="shared" si="41"/>
        <v>88.57262388630943</v>
      </c>
      <c r="S119" s="47">
        <f t="shared" si="41"/>
        <v>83.282613577361246</v>
      </c>
      <c r="T119" s="47">
        <f t="shared" si="41"/>
        <v>88.758846265319818</v>
      </c>
      <c r="U119" s="47">
        <f t="shared" si="41"/>
        <v>93.221721476833011</v>
      </c>
      <c r="V119" s="47">
        <f t="shared" si="41"/>
        <v>90.461133388614584</v>
      </c>
    </row>
    <row r="120" spans="2:22" x14ac:dyDescent="0.2">
      <c r="B120" s="34" t="s">
        <v>41</v>
      </c>
      <c r="C120" s="76" t="s">
        <v>42</v>
      </c>
      <c r="D120" s="46">
        <f t="shared" ref="D120:V120" si="42">+IFERROR(IF(D94&gt;0,+((D94/D19)*100)," "),"")</f>
        <v>92.191376453904653</v>
      </c>
      <c r="E120" s="46">
        <f t="shared" si="42"/>
        <v>87.055269387492018</v>
      </c>
      <c r="F120" s="46">
        <f t="shared" si="42"/>
        <v>78.069056425025778</v>
      </c>
      <c r="G120" s="46">
        <f t="shared" si="42"/>
        <v>96.615952224729611</v>
      </c>
      <c r="H120" s="46">
        <f t="shared" si="42"/>
        <v>94.512120003736115</v>
      </c>
      <c r="I120" s="46">
        <f t="shared" si="42"/>
        <v>64.274124366593853</v>
      </c>
      <c r="J120" s="46">
        <f t="shared" si="42"/>
        <v>43.142271029745238</v>
      </c>
      <c r="K120" s="46">
        <f t="shared" si="42"/>
        <v>34.82259324612663</v>
      </c>
      <c r="L120" s="46">
        <f t="shared" si="42"/>
        <v>50.127821664028694</v>
      </c>
      <c r="M120" s="46">
        <f t="shared" si="42"/>
        <v>69.586071184319195</v>
      </c>
      <c r="N120" s="46">
        <f t="shared" si="42"/>
        <v>49.093300769773109</v>
      </c>
      <c r="O120" s="46">
        <f t="shared" si="42"/>
        <v>62.423535544271694</v>
      </c>
      <c r="P120" s="46">
        <f t="shared" si="42"/>
        <v>87.524597197180782</v>
      </c>
      <c r="Q120" s="46">
        <f t="shared" si="42"/>
        <v>72.408134542815688</v>
      </c>
      <c r="R120" s="46">
        <f t="shared" si="42"/>
        <v>99.250678167837464</v>
      </c>
      <c r="S120" s="46">
        <f t="shared" si="42"/>
        <v>99.999996308163546</v>
      </c>
      <c r="T120" s="46">
        <f t="shared" si="42"/>
        <v>99.914747684352307</v>
      </c>
      <c r="U120" s="46">
        <f t="shared" si="42"/>
        <v>95.624900728755435</v>
      </c>
      <c r="V120" s="46">
        <f t="shared" si="42"/>
        <v>95.997882121494726</v>
      </c>
    </row>
    <row r="121" spans="2:22" x14ac:dyDescent="0.2">
      <c r="B121" s="34"/>
      <c r="C121" s="76" t="s">
        <v>43</v>
      </c>
      <c r="D121" s="46">
        <f t="shared" ref="D121:V121" si="43">+IFERROR(IF(D95&gt;0,+((D95/D20)*100)," "),"")</f>
        <v>71.104986802251418</v>
      </c>
      <c r="E121" s="46">
        <f t="shared" si="43"/>
        <v>87.544145602252783</v>
      </c>
      <c r="F121" s="46">
        <f t="shared" si="43"/>
        <v>81.69728083568765</v>
      </c>
      <c r="G121" s="46">
        <f t="shared" si="43"/>
        <v>96.519434525238836</v>
      </c>
      <c r="H121" s="46">
        <f t="shared" si="43"/>
        <v>94.121383681166265</v>
      </c>
      <c r="I121" s="46">
        <f t="shared" si="43"/>
        <v>70.419283963590559</v>
      </c>
      <c r="J121" s="46">
        <f t="shared" si="43"/>
        <v>62.809091628939193</v>
      </c>
      <c r="K121" s="46">
        <f t="shared" si="43"/>
        <v>78.253125698526276</v>
      </c>
      <c r="L121" s="46">
        <f t="shared" si="43"/>
        <v>44.783996899465322</v>
      </c>
      <c r="M121" s="46">
        <f t="shared" si="43"/>
        <v>83.764142731804483</v>
      </c>
      <c r="N121" s="46">
        <f t="shared" si="43"/>
        <v>33.900457600089247</v>
      </c>
      <c r="O121" s="46">
        <f t="shared" si="43"/>
        <v>60.151306415336826</v>
      </c>
      <c r="P121" s="46">
        <f t="shared" si="43"/>
        <v>86.467270270270291</v>
      </c>
      <c r="Q121" s="46">
        <f t="shared" si="43"/>
        <v>28.696683875939126</v>
      </c>
      <c r="R121" s="46">
        <f t="shared" si="43"/>
        <v>95.321071618257264</v>
      </c>
      <c r="S121" s="46">
        <f t="shared" si="43"/>
        <v>100</v>
      </c>
      <c r="T121" s="46">
        <f t="shared" si="43"/>
        <v>99.527891537933129</v>
      </c>
      <c r="U121" s="46">
        <f t="shared" si="43"/>
        <v>82.26749657239057</v>
      </c>
      <c r="V121" s="46">
        <f t="shared" si="43"/>
        <v>84.231084992907796</v>
      </c>
    </row>
    <row r="122" spans="2:22" x14ac:dyDescent="0.2">
      <c r="B122" s="32"/>
      <c r="C122" s="77" t="s">
        <v>60</v>
      </c>
      <c r="D122" s="47">
        <f t="shared" ref="D122:V122" si="44">+IFERROR(IF(D96&gt;0,+((D96/D21)*100)," "),"")</f>
        <v>66.695597144841997</v>
      </c>
      <c r="E122" s="47">
        <f t="shared" si="44"/>
        <v>86.230305482704509</v>
      </c>
      <c r="F122" s="47">
        <f t="shared" si="44"/>
        <v>81.720062631596633</v>
      </c>
      <c r="G122" s="47">
        <f t="shared" si="44"/>
        <v>96.894011305999442</v>
      </c>
      <c r="H122" s="47">
        <f t="shared" si="44"/>
        <v>95.947763471667287</v>
      </c>
      <c r="I122" s="47">
        <f t="shared" si="44"/>
        <v>71.793804760845177</v>
      </c>
      <c r="J122" s="47">
        <f t="shared" si="44"/>
        <v>64.982929189189193</v>
      </c>
      <c r="K122" s="47">
        <f t="shared" si="44"/>
        <v>80.956498047032042</v>
      </c>
      <c r="L122" s="47">
        <f t="shared" si="44"/>
        <v>43.635602022655171</v>
      </c>
      <c r="M122" s="47">
        <f t="shared" si="44"/>
        <v>86.57477186490604</v>
      </c>
      <c r="N122" s="47">
        <f t="shared" si="44"/>
        <v>33.464252337722478</v>
      </c>
      <c r="O122" s="47">
        <f t="shared" si="44"/>
        <v>60.371612026827329</v>
      </c>
      <c r="P122" s="47">
        <f t="shared" si="44"/>
        <v>86.975925820256791</v>
      </c>
      <c r="Q122" s="47">
        <f t="shared" si="44"/>
        <v>26.285304734339466</v>
      </c>
      <c r="R122" s="47">
        <f t="shared" si="44"/>
        <v>96.499260847337567</v>
      </c>
      <c r="S122" s="47">
        <f t="shared" si="44"/>
        <v>100</v>
      </c>
      <c r="T122" s="47">
        <f t="shared" si="44"/>
        <v>100</v>
      </c>
      <c r="U122" s="47">
        <f t="shared" si="44"/>
        <v>82.605949259649122</v>
      </c>
      <c r="V122" s="47">
        <f t="shared" si="44"/>
        <v>84.790471514492737</v>
      </c>
    </row>
    <row r="123" spans="2:22" x14ac:dyDescent="0.2">
      <c r="B123" s="32"/>
      <c r="C123" s="77" t="s">
        <v>61</v>
      </c>
      <c r="D123" s="47">
        <f t="shared" ref="D123:V123" si="45">+IFERROR(IF(D97&gt;0,+((D97/D22)*100)," "),"")</f>
        <v>95.831980858807896</v>
      </c>
      <c r="E123" s="47">
        <f t="shared" si="45"/>
        <v>93.941804948504981</v>
      </c>
      <c r="F123" s="47">
        <f t="shared" si="45"/>
        <v>81.576756349742325</v>
      </c>
      <c r="G123" s="47">
        <f t="shared" si="45"/>
        <v>93.463476726708166</v>
      </c>
      <c r="H123" s="47">
        <f t="shared" si="45"/>
        <v>80.759009262319267</v>
      </c>
      <c r="I123" s="47">
        <f t="shared" si="45"/>
        <v>59.55752541713376</v>
      </c>
      <c r="J123" s="47">
        <f t="shared" si="45"/>
        <v>48.557028608160984</v>
      </c>
      <c r="K123" s="47">
        <f t="shared" si="45"/>
        <v>57.07979789047004</v>
      </c>
      <c r="L123" s="47">
        <f t="shared" si="45"/>
        <v>54.913403700253937</v>
      </c>
      <c r="M123" s="47">
        <f t="shared" si="45"/>
        <v>54.022104191685912</v>
      </c>
      <c r="N123" s="47">
        <f t="shared" si="45"/>
        <v>38.919512065232958</v>
      </c>
      <c r="O123" s="47">
        <f t="shared" si="45"/>
        <v>56.562364814814636</v>
      </c>
      <c r="P123" s="47">
        <f t="shared" si="45"/>
        <v>84.090153333333333</v>
      </c>
      <c r="Q123" s="47">
        <f t="shared" si="45"/>
        <v>61.645387005649724</v>
      </c>
      <c r="R123" s="47">
        <f t="shared" si="45"/>
        <v>86.927078715050143</v>
      </c>
      <c r="S123" s="47">
        <f t="shared" si="45"/>
        <v>100</v>
      </c>
      <c r="T123" s="47">
        <f t="shared" si="45"/>
        <v>93.830625492451418</v>
      </c>
      <c r="U123" s="47">
        <f t="shared" si="45"/>
        <v>74.229245250000005</v>
      </c>
      <c r="V123" s="47">
        <f t="shared" si="45"/>
        <v>58.499304999999666</v>
      </c>
    </row>
    <row r="124" spans="2:22" x14ac:dyDescent="0.2">
      <c r="B124" s="34"/>
      <c r="C124" s="76" t="s">
        <v>44</v>
      </c>
      <c r="D124" s="46">
        <f t="shared" ref="D124:V124" si="46">+IFERROR(IF(D98&gt;0,+((D98/D23)*100)," "),"")</f>
        <v>96.353780336045389</v>
      </c>
      <c r="E124" s="46">
        <f t="shared" si="46"/>
        <v>82.789097190085542</v>
      </c>
      <c r="F124" s="46">
        <f t="shared" si="46"/>
        <v>66.629163625855497</v>
      </c>
      <c r="G124" s="46">
        <f t="shared" si="46"/>
        <v>96.886524698645189</v>
      </c>
      <c r="H124" s="46">
        <f t="shared" si="46"/>
        <v>95.432744691523155</v>
      </c>
      <c r="I124" s="46">
        <f t="shared" si="46"/>
        <v>57.225493356137072</v>
      </c>
      <c r="J124" s="46">
        <f t="shared" si="46"/>
        <v>27.000432483302976</v>
      </c>
      <c r="K124" s="46" t="str">
        <f t="shared" si="46"/>
        <v xml:space="preserve"> </v>
      </c>
      <c r="L124" s="46">
        <f t="shared" si="46"/>
        <v>55.389531454283045</v>
      </c>
      <c r="M124" s="46">
        <f t="shared" si="46"/>
        <v>64.832718320687249</v>
      </c>
      <c r="N124" s="46">
        <f t="shared" si="46"/>
        <v>64.784324956159679</v>
      </c>
      <c r="O124" s="46">
        <f t="shared" si="46"/>
        <v>64.640674574145748</v>
      </c>
      <c r="P124" s="46">
        <f t="shared" si="46"/>
        <v>87.695984857142847</v>
      </c>
      <c r="Q124" s="46">
        <f t="shared" si="46"/>
        <v>98.826360228198865</v>
      </c>
      <c r="R124" s="46">
        <f t="shared" si="46"/>
        <v>99.999999547869336</v>
      </c>
      <c r="S124" s="46">
        <f t="shared" si="46"/>
        <v>99.999995798477116</v>
      </c>
      <c r="T124" s="46">
        <f t="shared" si="46"/>
        <v>99.999558267516377</v>
      </c>
      <c r="U124" s="46">
        <f t="shared" si="46"/>
        <v>98.80345135325696</v>
      </c>
      <c r="V124" s="46">
        <f t="shared" si="46"/>
        <v>97.445890507302394</v>
      </c>
    </row>
    <row r="125" spans="2:22" x14ac:dyDescent="0.2">
      <c r="B125" s="32"/>
      <c r="C125" s="77" t="s">
        <v>60</v>
      </c>
      <c r="D125" s="47">
        <f t="shared" ref="D125:V125" si="47">+IFERROR(IF(D99&gt;0,+((D99/D24)*100)," "),"")</f>
        <v>95.291504688721872</v>
      </c>
      <c r="E125" s="47">
        <f t="shared" si="47"/>
        <v>98.983050909686938</v>
      </c>
      <c r="F125" s="47">
        <f t="shared" si="47"/>
        <v>80.295261882024946</v>
      </c>
      <c r="G125" s="47">
        <f t="shared" si="47"/>
        <v>99.554180906877647</v>
      </c>
      <c r="H125" s="47">
        <f t="shared" si="47"/>
        <v>96.489142134896127</v>
      </c>
      <c r="I125" s="47">
        <f t="shared" si="47"/>
        <v>57.924581641411741</v>
      </c>
      <c r="J125" s="47">
        <f t="shared" si="47"/>
        <v>28.532028758911217</v>
      </c>
      <c r="K125" s="47" t="str">
        <f t="shared" si="47"/>
        <v xml:space="preserve"> </v>
      </c>
      <c r="L125" s="47">
        <f t="shared" si="47"/>
        <v>71.727494613016702</v>
      </c>
      <c r="M125" s="47">
        <f t="shared" si="47"/>
        <v>81.259833210241254</v>
      </c>
      <c r="N125" s="47">
        <f t="shared" si="47"/>
        <v>70.217977630322878</v>
      </c>
      <c r="O125" s="47">
        <f t="shared" si="47"/>
        <v>70.981850929272156</v>
      </c>
      <c r="P125" s="47">
        <f t="shared" si="47"/>
        <v>86.031944426424474</v>
      </c>
      <c r="Q125" s="47">
        <f t="shared" si="47"/>
        <v>98.600504243773472</v>
      </c>
      <c r="R125" s="47">
        <f t="shared" si="47"/>
        <v>99.999999864919644</v>
      </c>
      <c r="S125" s="47">
        <f t="shared" si="47"/>
        <v>99.999995362392283</v>
      </c>
      <c r="T125" s="47">
        <f t="shared" si="47"/>
        <v>99.999999978595469</v>
      </c>
      <c r="U125" s="47">
        <f t="shared" si="47"/>
        <v>98.784307730717799</v>
      </c>
      <c r="V125" s="47">
        <f t="shared" si="47"/>
        <v>99.993914827152764</v>
      </c>
    </row>
    <row r="126" spans="2:22" x14ac:dyDescent="0.2">
      <c r="B126" s="32"/>
      <c r="C126" s="77" t="s">
        <v>61</v>
      </c>
      <c r="D126" s="47">
        <f t="shared" ref="D126:V126" si="48">+IFERROR(IF(D100&gt;0,+((D100/D25)*100)," "),"")</f>
        <v>99.033600313558097</v>
      </c>
      <c r="E126" s="47">
        <f t="shared" si="48"/>
        <v>79.49952009923436</v>
      </c>
      <c r="F126" s="47">
        <f t="shared" si="48"/>
        <v>49.017377381023884</v>
      </c>
      <c r="G126" s="47">
        <f t="shared" si="48"/>
        <v>90.471818665464795</v>
      </c>
      <c r="H126" s="47">
        <f t="shared" si="48"/>
        <v>92.611687020558151</v>
      </c>
      <c r="I126" s="47">
        <f t="shared" si="48"/>
        <v>55.256239981464297</v>
      </c>
      <c r="J126" s="47">
        <f t="shared" si="48"/>
        <v>22.418264663111973</v>
      </c>
      <c r="K126" s="47" t="str">
        <f t="shared" si="48"/>
        <v xml:space="preserve"> </v>
      </c>
      <c r="L126" s="47" t="str">
        <f t="shared" si="48"/>
        <v xml:space="preserve"> </v>
      </c>
      <c r="M126" s="47">
        <f t="shared" si="48"/>
        <v>58.709014316523664</v>
      </c>
      <c r="N126" s="47">
        <f t="shared" si="48"/>
        <v>43.148164632764122</v>
      </c>
      <c r="O126" s="47">
        <f t="shared" si="48"/>
        <v>37.660205381658436</v>
      </c>
      <c r="P126" s="47">
        <f t="shared" si="48"/>
        <v>99.998710631494831</v>
      </c>
      <c r="Q126" s="47">
        <f t="shared" si="48"/>
        <v>99.984154065620558</v>
      </c>
      <c r="R126" s="47">
        <f t="shared" si="48"/>
        <v>99.999997922437672</v>
      </c>
      <c r="S126" s="47">
        <f t="shared" si="48"/>
        <v>100</v>
      </c>
      <c r="T126" s="47">
        <f t="shared" si="48"/>
        <v>99.996171373408316</v>
      </c>
      <c r="U126" s="47">
        <f t="shared" si="48"/>
        <v>98.973037235387054</v>
      </c>
      <c r="V126" s="47">
        <f t="shared" si="48"/>
        <v>76.304730684495865</v>
      </c>
    </row>
    <row r="127" spans="2:22" x14ac:dyDescent="0.2">
      <c r="B127" s="34" t="s">
        <v>45</v>
      </c>
      <c r="C127" s="76" t="s">
        <v>46</v>
      </c>
      <c r="D127" s="46">
        <f t="shared" ref="D127:V127" si="49">+IFERROR(IF(D101&gt;0,+((D101/D26)*100)," "),"")</f>
        <v>76.941244679513204</v>
      </c>
      <c r="E127" s="46">
        <f t="shared" si="49"/>
        <v>75.655182424557552</v>
      </c>
      <c r="F127" s="46">
        <f t="shared" si="49"/>
        <v>66.222029296551341</v>
      </c>
      <c r="G127" s="46">
        <f t="shared" si="49"/>
        <v>71.807405936949991</v>
      </c>
      <c r="H127" s="46">
        <f t="shared" si="49"/>
        <v>70.898616279741674</v>
      </c>
      <c r="I127" s="46">
        <f t="shared" si="49"/>
        <v>68.500653361625268</v>
      </c>
      <c r="J127" s="46">
        <f t="shared" si="49"/>
        <v>73.141182742464892</v>
      </c>
      <c r="K127" s="46">
        <f t="shared" si="49"/>
        <v>86.501919838919619</v>
      </c>
      <c r="L127" s="46">
        <f t="shared" si="49"/>
        <v>90.838411021220907</v>
      </c>
      <c r="M127" s="46">
        <f t="shared" si="49"/>
        <v>86.823877021311645</v>
      </c>
      <c r="N127" s="46">
        <f t="shared" si="49"/>
        <v>82.141026438429776</v>
      </c>
      <c r="O127" s="46">
        <f t="shared" si="49"/>
        <v>77.740749665578946</v>
      </c>
      <c r="P127" s="46">
        <f t="shared" si="49"/>
        <v>85.854104005854367</v>
      </c>
      <c r="Q127" s="46">
        <f t="shared" si="49"/>
        <v>91.014545671374478</v>
      </c>
      <c r="R127" s="46">
        <f t="shared" si="49"/>
        <v>89.496320060690181</v>
      </c>
      <c r="S127" s="46">
        <f t="shared" si="49"/>
        <v>88.699059258271788</v>
      </c>
      <c r="T127" s="46">
        <f t="shared" si="49"/>
        <v>91.908431133279464</v>
      </c>
      <c r="U127" s="46">
        <f t="shared" si="49"/>
        <v>87.312045840163023</v>
      </c>
      <c r="V127" s="46">
        <f t="shared" si="49"/>
        <v>86.611330576999634</v>
      </c>
    </row>
    <row r="128" spans="2:22" x14ac:dyDescent="0.2">
      <c r="B128" s="36" t="s">
        <v>47</v>
      </c>
      <c r="C128" s="78" t="s">
        <v>48</v>
      </c>
      <c r="D128" s="48">
        <f t="shared" ref="D128:V128" si="50">+IFERROR(IF(D102&gt;0,+((D102/D27)*100)," "),"")</f>
        <v>78.033103359018966</v>
      </c>
      <c r="E128" s="48">
        <f t="shared" si="50"/>
        <v>76.039861273506602</v>
      </c>
      <c r="F128" s="48">
        <f t="shared" si="50"/>
        <v>71.451547506130908</v>
      </c>
      <c r="G128" s="48">
        <f t="shared" si="50"/>
        <v>75.343731880636824</v>
      </c>
      <c r="H128" s="48">
        <f t="shared" si="50"/>
        <v>79.514390464520872</v>
      </c>
      <c r="I128" s="48">
        <f t="shared" si="50"/>
        <v>80.167753837145355</v>
      </c>
      <c r="J128" s="48">
        <f t="shared" si="50"/>
        <v>72.850832618762468</v>
      </c>
      <c r="K128" s="48">
        <f t="shared" si="50"/>
        <v>84.610112868582931</v>
      </c>
      <c r="L128" s="48">
        <f t="shared" si="50"/>
        <v>88.306715395705083</v>
      </c>
      <c r="M128" s="48">
        <f t="shared" si="50"/>
        <v>84.633536540161515</v>
      </c>
      <c r="N128" s="48">
        <f t="shared" si="50"/>
        <v>83.820447920694392</v>
      </c>
      <c r="O128" s="48">
        <f t="shared" si="50"/>
        <v>80.255531137894991</v>
      </c>
      <c r="P128" s="48">
        <f t="shared" si="50"/>
        <v>85.3188492080711</v>
      </c>
      <c r="Q128" s="48">
        <f t="shared" si="50"/>
        <v>87.384563756244106</v>
      </c>
      <c r="R128" s="48">
        <f t="shared" si="50"/>
        <v>87.90724753098857</v>
      </c>
      <c r="S128" s="48">
        <f t="shared" si="50"/>
        <v>88.241165729087186</v>
      </c>
      <c r="T128" s="48">
        <f t="shared" si="50"/>
        <v>91.592124421130691</v>
      </c>
      <c r="U128" s="48">
        <f t="shared" si="50"/>
        <v>89.721166351659392</v>
      </c>
      <c r="V128" s="48">
        <f t="shared" si="50"/>
        <v>87.62992627081708</v>
      </c>
    </row>
    <row r="129" spans="2:22" x14ac:dyDescent="0.2">
      <c r="B129" s="38" t="s">
        <v>49</v>
      </c>
      <c r="C129" s="79" t="s">
        <v>63</v>
      </c>
      <c r="D129" s="45">
        <f t="shared" ref="D129:V129" si="51">+IFERROR(IF(D103&gt;0,+((D103/D28)*100)," "),"")</f>
        <v>78.165894076708327</v>
      </c>
      <c r="E129" s="45">
        <f t="shared" si="51"/>
        <v>76.048962180044498</v>
      </c>
      <c r="F129" s="45">
        <f t="shared" si="51"/>
        <v>71.457650449914695</v>
      </c>
      <c r="G129" s="45">
        <f t="shared" si="51"/>
        <v>75.364255146116378</v>
      </c>
      <c r="H129" s="45">
        <f t="shared" si="51"/>
        <v>79.522188470204796</v>
      </c>
      <c r="I129" s="45">
        <f t="shared" si="51"/>
        <v>80.15916739822589</v>
      </c>
      <c r="J129" s="45">
        <f t="shared" si="51"/>
        <v>72.838055940381579</v>
      </c>
      <c r="K129" s="45">
        <f t="shared" si="51"/>
        <v>84.591512548058745</v>
      </c>
      <c r="L129" s="45">
        <f t="shared" si="51"/>
        <v>88.29658538345106</v>
      </c>
      <c r="M129" s="45">
        <f t="shared" si="51"/>
        <v>84.628177494799871</v>
      </c>
      <c r="N129" s="45">
        <f t="shared" si="51"/>
        <v>83.81419693880639</v>
      </c>
      <c r="O129" s="45">
        <f t="shared" si="51"/>
        <v>80.252916395245009</v>
      </c>
      <c r="P129" s="45">
        <f t="shared" si="51"/>
        <v>85.319052379373062</v>
      </c>
      <c r="Q129" s="45">
        <f t="shared" si="51"/>
        <v>87.383131143986219</v>
      </c>
      <c r="R129" s="45">
        <f t="shared" si="51"/>
        <v>87.908294380055736</v>
      </c>
      <c r="S129" s="45">
        <f t="shared" si="51"/>
        <v>88.242672678122801</v>
      </c>
      <c r="T129" s="45">
        <f t="shared" si="51"/>
        <v>91.592926797958583</v>
      </c>
      <c r="U129" s="45">
        <f t="shared" si="51"/>
        <v>89.721790415391283</v>
      </c>
      <c r="V129" s="45">
        <f t="shared" si="51"/>
        <v>87.63070969956442</v>
      </c>
    </row>
    <row r="130" spans="2:22" x14ac:dyDescent="0.2">
      <c r="B130" s="1" t="s">
        <v>52</v>
      </c>
    </row>
    <row r="131" spans="2:22" x14ac:dyDescent="0.2">
      <c r="B131" s="1"/>
    </row>
    <row r="132" spans="2:22" x14ac:dyDescent="0.2">
      <c r="B132" s="1"/>
    </row>
    <row r="133" spans="2:22" x14ac:dyDescent="0.2">
      <c r="B133" s="1"/>
    </row>
    <row r="134" spans="2:22" x14ac:dyDescent="0.2">
      <c r="B134" s="1"/>
    </row>
    <row r="135" spans="2:22" ht="18" customHeight="1" x14ac:dyDescent="0.2">
      <c r="C135" s="131"/>
      <c r="D135" s="164" t="s">
        <v>88</v>
      </c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</row>
    <row r="136" spans="2:22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x14ac:dyDescent="0.2">
      <c r="B137" s="167"/>
      <c r="C137" s="161" t="s">
        <v>38</v>
      </c>
      <c r="D137" s="155" t="s">
        <v>27</v>
      </c>
      <c r="E137" s="155" t="s">
        <v>28</v>
      </c>
      <c r="F137" s="155" t="s">
        <v>29</v>
      </c>
      <c r="G137" s="155" t="s">
        <v>30</v>
      </c>
      <c r="H137" s="155">
        <v>2004</v>
      </c>
      <c r="I137" s="155" t="s">
        <v>31</v>
      </c>
      <c r="J137" s="155" t="s">
        <v>32</v>
      </c>
      <c r="K137" s="155" t="s">
        <v>33</v>
      </c>
      <c r="L137" s="155" t="s">
        <v>34</v>
      </c>
      <c r="M137" s="155" t="s">
        <v>35</v>
      </c>
      <c r="N137" s="155">
        <v>2010</v>
      </c>
      <c r="O137" s="155">
        <v>2011</v>
      </c>
      <c r="P137" s="155">
        <v>2012</v>
      </c>
      <c r="Q137" s="155">
        <v>2013</v>
      </c>
      <c r="R137" s="155">
        <v>2014</v>
      </c>
      <c r="S137" s="155">
        <v>2015</v>
      </c>
      <c r="T137" s="155">
        <v>2016</v>
      </c>
      <c r="U137" s="155">
        <v>2017</v>
      </c>
      <c r="V137" s="155">
        <v>2018</v>
      </c>
    </row>
    <row r="138" spans="2:22" ht="12" customHeight="1" thickBot="1" x14ac:dyDescent="0.25">
      <c r="B138" s="156"/>
      <c r="C138" s="162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</row>
    <row r="139" spans="2:22" x14ac:dyDescent="0.2">
      <c r="B139" s="34" t="s">
        <v>39</v>
      </c>
      <c r="C139" s="76" t="s">
        <v>40</v>
      </c>
      <c r="D139" s="41">
        <f t="shared" ref="D139:V139" si="52">+D140+D141+D142+D143</f>
        <v>4942.3691025607131</v>
      </c>
      <c r="E139" s="41">
        <f t="shared" si="52"/>
        <v>5063.8757665786143</v>
      </c>
      <c r="F139" s="41">
        <f t="shared" si="52"/>
        <v>5177.0631870617635</v>
      </c>
      <c r="G139" s="41">
        <f t="shared" si="52"/>
        <v>5175.9023000215575</v>
      </c>
      <c r="H139" s="41">
        <f t="shared" si="52"/>
        <v>10463.909070470359</v>
      </c>
      <c r="I139" s="41">
        <f t="shared" si="52"/>
        <v>10452.912144586615</v>
      </c>
      <c r="J139" s="41">
        <f t="shared" si="52"/>
        <v>4938.4393188372233</v>
      </c>
      <c r="K139" s="41">
        <f t="shared" si="52"/>
        <v>5262.1483259729321</v>
      </c>
      <c r="L139" s="41">
        <f t="shared" si="52"/>
        <v>5495.6298432356725</v>
      </c>
      <c r="M139" s="41">
        <f t="shared" si="52"/>
        <v>6468.9100504382959</v>
      </c>
      <c r="N139" s="41">
        <f t="shared" si="52"/>
        <v>9163.350745756079</v>
      </c>
      <c r="O139" s="41">
        <f t="shared" si="52"/>
        <v>8257.0979400847209</v>
      </c>
      <c r="P139" s="41">
        <f t="shared" si="52"/>
        <v>8067.5532165967161</v>
      </c>
      <c r="Q139" s="41">
        <f t="shared" si="52"/>
        <v>8451.4972462944806</v>
      </c>
      <c r="R139" s="41">
        <f t="shared" si="52"/>
        <v>8735.1148708549372</v>
      </c>
      <c r="S139" s="41">
        <f t="shared" si="52"/>
        <v>9037.0309563451156</v>
      </c>
      <c r="T139" s="41">
        <f t="shared" si="52"/>
        <v>8566.2756884328355</v>
      </c>
      <c r="U139" s="41">
        <f t="shared" si="52"/>
        <v>8782.9371667563646</v>
      </c>
      <c r="V139" s="41">
        <f t="shared" si="52"/>
        <v>8361.2574120190038</v>
      </c>
    </row>
    <row r="140" spans="2:22" x14ac:dyDescent="0.2">
      <c r="B140" s="40"/>
      <c r="C140" s="77" t="s">
        <v>56</v>
      </c>
      <c r="D140" s="42">
        <f>431.07926343119*Deflactores!$A$5</f>
        <v>1608.7514163264029</v>
      </c>
      <c r="E140" s="42">
        <f>456.188688336339*Deflactores!$B$5</f>
        <v>1581.499760554128</v>
      </c>
      <c r="F140" s="42">
        <f>486.650426071499*Deflactores!$C$5</f>
        <v>1576.8524895048208</v>
      </c>
      <c r="G140" s="42">
        <f>498.09710794059*Deflactores!$D$5</f>
        <v>1515.5616228949918</v>
      </c>
      <c r="H140" s="42">
        <f>506.02367904996*Deflactores!$E$5</f>
        <v>1459.4538955289254</v>
      </c>
      <c r="I140" s="42">
        <f>522.865377426119*Deflactores!$F$5</f>
        <v>1438.2010306043767</v>
      </c>
      <c r="J140" s="42">
        <f>558.617452348229*Deflactores!$G$5</f>
        <v>1470.6847009398473</v>
      </c>
      <c r="K140" s="42">
        <f>595.26217639267*Deflactores!$H$5</f>
        <v>1482.7267862158269</v>
      </c>
      <c r="L140" s="42">
        <f>709.65951390729*Deflactores!$I$5</f>
        <v>1641.6876456281152</v>
      </c>
      <c r="M140" s="42">
        <f>775.84791169177*Deflactores!$J$5</f>
        <v>1759.5808478585093</v>
      </c>
      <c r="N140" s="42">
        <f>788.04901345529*Deflactores!$K$5</f>
        <v>1732.3166715576485</v>
      </c>
      <c r="O140" s="42">
        <f>715.79482502463*Deflactores!$L$5</f>
        <v>1516.9529479763999</v>
      </c>
      <c r="P140" s="42">
        <f>926.770445446085*Deflactores!$M$5</f>
        <v>1917.2827372299218</v>
      </c>
      <c r="Q140" s="42">
        <f>1081.75415004711*Deflactores!$N$5</f>
        <v>2195.3204702261892</v>
      </c>
      <c r="R140" s="42">
        <f>1248.40237050888*Deflactores!$O$5</f>
        <v>2444.0649174257414</v>
      </c>
      <c r="S140" s="42">
        <f>1308.67499301577*Deflactores!$P$5</f>
        <v>2399.6102782260996</v>
      </c>
      <c r="T140" s="42">
        <f>1417.65920970795*Deflactores!$Q$5</f>
        <v>2458.1047006098916</v>
      </c>
      <c r="U140" s="42">
        <f>1537.4694599008*Deflactores!$R$5</f>
        <v>2561.0969735617259</v>
      </c>
      <c r="V140" s="42">
        <f>1803.80371865583*Deflactores!$S$5</f>
        <v>2912.1469057682393</v>
      </c>
    </row>
    <row r="141" spans="2:22" x14ac:dyDescent="0.2">
      <c r="B141" s="40"/>
      <c r="C141" s="77" t="s">
        <v>57</v>
      </c>
      <c r="D141" s="42">
        <f>220.02663081923*Deflactores!$A$5</f>
        <v>821.12080999336717</v>
      </c>
      <c r="E141" s="42">
        <f>220.97819644919*Deflactores!$B$5</f>
        <v>766.0798562247877</v>
      </c>
      <c r="F141" s="42">
        <f>232.974463253269*Deflactores!$C$5</f>
        <v>754.8875798538661</v>
      </c>
      <c r="G141" s="42">
        <f>192.38670588465*Deflactores!$D$5</f>
        <v>585.37562966283838</v>
      </c>
      <c r="H141" s="42">
        <f>208.220233013719*Deflactores!$E$5</f>
        <v>600.54073115777987</v>
      </c>
      <c r="I141" s="42">
        <f>214.57498274266*Deflactores!$F$5</f>
        <v>590.21303502929959</v>
      </c>
      <c r="J141" s="42">
        <f>228.55302195001*Deflactores!$G$5</f>
        <v>601.71666911314765</v>
      </c>
      <c r="K141" s="42">
        <f>240.332818958089*Deflactores!$H$5</f>
        <v>598.64026710954568</v>
      </c>
      <c r="L141" s="42">
        <f>266.240027371449*Deflactores!$I$5</f>
        <v>615.90517021448625</v>
      </c>
      <c r="M141" s="42">
        <f>306.33660706446*Deflactores!$J$5</f>
        <v>694.75475626816626</v>
      </c>
      <c r="N141" s="42">
        <f>314.88432041609*Deflactores!$K$5</f>
        <v>692.18963358278597</v>
      </c>
      <c r="O141" s="42">
        <f>318.454323624239*Deflactores!$L$5</f>
        <v>674.88644528967836</v>
      </c>
      <c r="P141" s="42">
        <f>445.410580040352*Deflactores!$M$5</f>
        <v>921.45581496169268</v>
      </c>
      <c r="Q141" s="42">
        <f>514.216888615877*Deflactores!$N$5</f>
        <v>1043.5558409138464</v>
      </c>
      <c r="R141" s="42">
        <f>537.588312932213*Deflactores!$O$5</f>
        <v>1052.4657487794852</v>
      </c>
      <c r="S141" s="42">
        <f>538.572681015205*Deflactores!$P$5</f>
        <v>987.53666711219796</v>
      </c>
      <c r="T141" s="42">
        <f>623.16100046011*Deflactores!$Q$5</f>
        <v>1080.5100224216244</v>
      </c>
      <c r="U141" s="42">
        <f>594.48238064085*Deflactores!$R$5</f>
        <v>990.28115068593729</v>
      </c>
      <c r="V141" s="42">
        <f>597.054044680659*Deflactores!$S$5</f>
        <v>963.91257585878327</v>
      </c>
    </row>
    <row r="142" spans="2:22" x14ac:dyDescent="0.2">
      <c r="B142" s="40"/>
      <c r="C142" s="77" t="s">
        <v>58</v>
      </c>
      <c r="D142" s="42">
        <f>411.3293877536*Deflactores!$A$5</f>
        <v>1535.0465477235898</v>
      </c>
      <c r="E142" s="42">
        <f>497.81092112024*Deflactores!$B$5</f>
        <v>1725.7943317797426</v>
      </c>
      <c r="F142" s="42">
        <f>491.982749280809*Deflactores!$C$5</f>
        <v>1594.1303684030704</v>
      </c>
      <c r="G142" s="42">
        <f>556.897465387039*Deflactores!$D$5</f>
        <v>1694.473653777482</v>
      </c>
      <c r="H142" s="42">
        <f>2487.39605612149*Deflactores!$E$5</f>
        <v>7174.0513618758505</v>
      </c>
      <c r="I142" s="42">
        <f>2497.43434934301*Deflactores!$F$5</f>
        <v>6869.4788566286579</v>
      </c>
      <c r="J142" s="42">
        <f>566.743007994369*Deflactores!$G$5</f>
        <v>1492.0770336089745</v>
      </c>
      <c r="K142" s="42">
        <f>640.48588128758*Deflactores!$H$5</f>
        <v>1595.3736186182437</v>
      </c>
      <c r="L142" s="42">
        <f>640.59767565517*Deflactores!$I$5</f>
        <v>1481.9237526329675</v>
      </c>
      <c r="M142" s="42">
        <f>847.8155744283*Deflactores!$J$5</f>
        <v>1922.7995910013633</v>
      </c>
      <c r="N142" s="42">
        <f>1894.06052485644*Deflactores!$K$5</f>
        <v>4163.5895332977216</v>
      </c>
      <c r="O142" s="42">
        <f>1740.37128809315*Deflactores!$L$5</f>
        <v>3688.2934379352992</v>
      </c>
      <c r="P142" s="42">
        <f>1419.58669718601*Deflactores!$M$5</f>
        <v>2936.8103848045243</v>
      </c>
      <c r="Q142" s="42">
        <f>1451.92085134349*Deflactores!$N$5</f>
        <v>2946.5397160378707</v>
      </c>
      <c r="R142" s="42">
        <f>1485.47135559955*Deflactores!$O$5</f>
        <v>2908.1877060052361</v>
      </c>
      <c r="S142" s="42">
        <f>1799.06829037149*Deflactores!$P$5</f>
        <v>3298.8043508477604</v>
      </c>
      <c r="T142" s="42">
        <f>1516.57599303476*Deflactores!$Q$5</f>
        <v>2629.6182832818035</v>
      </c>
      <c r="U142" s="42">
        <f>1845.8593527088*Deflactores!$R$5</f>
        <v>3074.8089149999341</v>
      </c>
      <c r="V142" s="42">
        <f>1546.61020291733*Deflactores!$S$5</f>
        <v>2496.9214057345321</v>
      </c>
    </row>
    <row r="143" spans="2:22" x14ac:dyDescent="0.2">
      <c r="B143" s="40"/>
      <c r="C143" s="77" t="s">
        <v>59</v>
      </c>
      <c r="D143" s="42">
        <f>261.91651698434*Deflactores!$A$5</f>
        <v>977.45032851735323</v>
      </c>
      <c r="E143" s="42">
        <f>285.713432545169*Deflactores!$B$5</f>
        <v>990.50181801995575</v>
      </c>
      <c r="F143" s="42">
        <f>386.14486047178*Deflactores!$C$5</f>
        <v>1251.1927493000057</v>
      </c>
      <c r="G143" s="42">
        <f>453.70558368885*Deflactores!$D$5</f>
        <v>1380.4913936862451</v>
      </c>
      <c r="H143" s="42">
        <f>426.41966515096*Deflactores!$E$5</f>
        <v>1229.8630819078026</v>
      </c>
      <c r="I143" s="42">
        <f>565.33523150361*Deflactores!$F$5</f>
        <v>1555.0192223242818</v>
      </c>
      <c r="J143" s="42">
        <f>521.87837785404*Deflactores!$G$5</f>
        <v>1373.9609151752538</v>
      </c>
      <c r="K143" s="42">
        <f>636.484900239549*Deflactores!$H$5</f>
        <v>1585.4076540293158</v>
      </c>
      <c r="L143" s="42">
        <f>759.12278212679*Deflactores!$I$5</f>
        <v>1756.1132747601036</v>
      </c>
      <c r="M143" s="42">
        <f>922.32144672236*Deflactores!$J$5</f>
        <v>2091.7748553102565</v>
      </c>
      <c r="N143" s="42">
        <f>1171.51045327237*Deflactores!$K$5</f>
        <v>2575.2549073179234</v>
      </c>
      <c r="O143" s="42">
        <f>1121.60322867791*Deflactores!$L$5</f>
        <v>2376.9651088833439</v>
      </c>
      <c r="P143" s="42">
        <f>1107.90223367824*Deflactores!$M$5</f>
        <v>2292.0042796005778</v>
      </c>
      <c r="Q143" s="42">
        <f>1116.62183101249*Deflactores!$N$5</f>
        <v>2266.0812191165737</v>
      </c>
      <c r="R143" s="42">
        <f>1190.34175090472*Deflactores!$O$5</f>
        <v>2330.3964986444753</v>
      </c>
      <c r="S143" s="42">
        <f>1282.20785923316*Deflactores!$P$5</f>
        <v>2351.0796601590582</v>
      </c>
      <c r="T143" s="42">
        <f>1383.01972765277*Deflactores!$Q$5</f>
        <v>2398.042682119516</v>
      </c>
      <c r="U143" s="42">
        <f>1294.73326778033*Deflactores!$R$5</f>
        <v>2156.7501275087675</v>
      </c>
      <c r="V143" s="42">
        <f>1231.55208337509*Deflactores!$S$5</f>
        <v>1988.2765246574493</v>
      </c>
    </row>
    <row r="144" spans="2:22" x14ac:dyDescent="0.2">
      <c r="B144" s="34" t="s">
        <v>41</v>
      </c>
      <c r="C144" s="76" t="s">
        <v>42</v>
      </c>
      <c r="D144" s="41">
        <f t="shared" ref="D144:V144" si="53">+D145+D148</f>
        <v>134.73622818345561</v>
      </c>
      <c r="E144" s="41">
        <f t="shared" si="53"/>
        <v>11.841238961584924</v>
      </c>
      <c r="F144" s="41">
        <f t="shared" si="53"/>
        <v>11.785815419762631</v>
      </c>
      <c r="G144" s="41">
        <f t="shared" si="53"/>
        <v>13.886686943696464</v>
      </c>
      <c r="H144" s="41">
        <f t="shared" si="53"/>
        <v>10.943325709367711</v>
      </c>
      <c r="I144" s="41">
        <f t="shared" si="53"/>
        <v>7.254246265640881</v>
      </c>
      <c r="J144" s="41">
        <f t="shared" si="53"/>
        <v>3.4060857692210025</v>
      </c>
      <c r="K144" s="41">
        <f t="shared" si="53"/>
        <v>2.4765103483777824</v>
      </c>
      <c r="L144" s="41">
        <f t="shared" si="53"/>
        <v>2.7108663696734072</v>
      </c>
      <c r="M144" s="41">
        <f t="shared" si="53"/>
        <v>6.3043326002119588</v>
      </c>
      <c r="N144" s="41">
        <f t="shared" si="53"/>
        <v>2.4492125441106829</v>
      </c>
      <c r="O144" s="41">
        <f t="shared" si="53"/>
        <v>2.0297691585154718</v>
      </c>
      <c r="P144" s="41">
        <f t="shared" si="53"/>
        <v>2.2094039577845117</v>
      </c>
      <c r="Q144" s="41">
        <f t="shared" si="53"/>
        <v>2.0249109710638953</v>
      </c>
      <c r="R144" s="41">
        <f t="shared" si="53"/>
        <v>1.91281395653774</v>
      </c>
      <c r="S144" s="41">
        <f t="shared" si="53"/>
        <v>2.8806761272637789</v>
      </c>
      <c r="T144" s="41">
        <f t="shared" si="53"/>
        <v>2.2310378068843546</v>
      </c>
      <c r="U144" s="41">
        <f t="shared" si="53"/>
        <v>2.4612011821200301</v>
      </c>
      <c r="V144" s="41">
        <f t="shared" si="53"/>
        <v>1.994318257183644</v>
      </c>
    </row>
    <row r="145" spans="2:22" x14ac:dyDescent="0.2">
      <c r="B145" s="34"/>
      <c r="C145" s="76" t="s">
        <v>43</v>
      </c>
      <c r="D145" s="41">
        <f t="shared" ref="D145:V145" si="54">+D146+D147</f>
        <v>17.150322776563037</v>
      </c>
      <c r="E145" s="41">
        <f t="shared" si="54"/>
        <v>10.723696926263505</v>
      </c>
      <c r="F145" s="41">
        <f t="shared" si="54"/>
        <v>9.369917101150314</v>
      </c>
      <c r="G145" s="41">
        <f t="shared" si="54"/>
        <v>10.225285171173521</v>
      </c>
      <c r="H145" s="41">
        <f t="shared" si="54"/>
        <v>7.6508638489214587</v>
      </c>
      <c r="I145" s="41">
        <f t="shared" si="54"/>
        <v>4.1785618697282159</v>
      </c>
      <c r="J145" s="41">
        <f t="shared" si="54"/>
        <v>2.2353216754769862</v>
      </c>
      <c r="K145" s="41">
        <f t="shared" si="54"/>
        <v>2.4765103483777824</v>
      </c>
      <c r="L145" s="41">
        <f t="shared" si="54"/>
        <v>1.2015627494994086</v>
      </c>
      <c r="M145" s="41">
        <f t="shared" si="54"/>
        <v>1.9054243544933986</v>
      </c>
      <c r="N145" s="41">
        <f t="shared" si="54"/>
        <v>0.85926953862862643</v>
      </c>
      <c r="O145" s="41">
        <f t="shared" si="54"/>
        <v>0.85702649776268425</v>
      </c>
      <c r="P145" s="41">
        <f t="shared" si="54"/>
        <v>0.3044565282131188</v>
      </c>
      <c r="Q145" s="41">
        <f t="shared" si="54"/>
        <v>0.30230971190476208</v>
      </c>
      <c r="R145" s="41">
        <f t="shared" si="54"/>
        <v>0.31481988156229873</v>
      </c>
      <c r="S145" s="41">
        <f t="shared" si="54"/>
        <v>0.34945462279447376</v>
      </c>
      <c r="T145" s="41">
        <f t="shared" si="54"/>
        <v>0.39961054876736585</v>
      </c>
      <c r="U145" s="41">
        <f t="shared" si="54"/>
        <v>0.40700922828587516</v>
      </c>
      <c r="V145" s="41">
        <f t="shared" si="54"/>
        <v>0.19174123010306576</v>
      </c>
    </row>
    <row r="146" spans="2:22" x14ac:dyDescent="0.2">
      <c r="B146" s="32"/>
      <c r="C146" s="77" t="s">
        <v>60</v>
      </c>
      <c r="D146" s="42">
        <f>3.65824905879999*Deflactores!$A$5</f>
        <v>13.652276631855726</v>
      </c>
      <c r="E146" s="42">
        <f>2.52775517492*Deflactores!$B$5</f>
        <v>8.7631375044706346</v>
      </c>
      <c r="F146" s="42">
        <f>2.43272454448*Deflactores!$C$5</f>
        <v>7.8825529553305582</v>
      </c>
      <c r="G146" s="42">
        <f>3.0052704935*Deflactores!$D$5</f>
        <v>9.1441458979732655</v>
      </c>
      <c r="H146" s="42">
        <f>2.37902479527999*Deflactores!$E$5</f>
        <v>6.8614911688519733</v>
      </c>
      <c r="I146" s="42">
        <f>1.36919240102999*Deflactores!$F$5</f>
        <v>3.7661203194416086</v>
      </c>
      <c r="J146" s="42">
        <f>0.76218477646*Deflactores!$G$5</f>
        <v>2.0066209627303517</v>
      </c>
      <c r="K146" s="42">
        <f>0.91212033294*Deflactores!$H$5</f>
        <v>2.2719825037398258</v>
      </c>
      <c r="L146" s="42">
        <f>0.454552066269999*Deflactores!$I$5</f>
        <v>1.0515359786857976</v>
      </c>
      <c r="M146" s="42">
        <f>0.793371209369999*Deflactores!$J$5</f>
        <v>1.7993227335055313</v>
      </c>
      <c r="N146" s="42">
        <f>0.3550073976*Deflactores!$K$5</f>
        <v>0.78038957334938142</v>
      </c>
      <c r="O146" s="42">
        <f>0.404399578*Deflactores!$L$5</f>
        <v>0.85702649776268425</v>
      </c>
      <c r="P146" s="42">
        <f>0.121940248*Deflactores!$M$5</f>
        <v>0.25226735877556261</v>
      </c>
      <c r="Q146" s="42">
        <f>0.127142019*Deflactores!$N$5</f>
        <v>0.25802302392316373</v>
      </c>
      <c r="R146" s="42">
        <f>0.14275677018*Deflactores!$O$5</f>
        <v>0.27948265876788114</v>
      </c>
      <c r="S146" s="42">
        <f>0.170141165*Deflactores!$P$5</f>
        <v>0.31197393582230915</v>
      </c>
      <c r="T146" s="42">
        <f>0.213840013*Deflactores!$Q$5</f>
        <v>0.37078102941402041</v>
      </c>
      <c r="U146" s="42">
        <f>0.23542695539*Deflactores!$R$5</f>
        <v>0.39217121293783863</v>
      </c>
      <c r="V146" s="42">
        <f>0.11701085069*Deflactores!$S$5</f>
        <v>0.18890790791368214</v>
      </c>
    </row>
    <row r="147" spans="2:22" x14ac:dyDescent="0.2">
      <c r="B147" s="32"/>
      <c r="C147" s="77" t="s">
        <v>61</v>
      </c>
      <c r="D147" s="42">
        <f>0.93733260478*Deflactores!$A$5</f>
        <v>3.498046144707311</v>
      </c>
      <c r="E147" s="42">
        <f>0.56552966579*Deflactores!$B$5</f>
        <v>1.960559421792871</v>
      </c>
      <c r="F147" s="42">
        <f>0.45903240798*Deflactores!$C$5</f>
        <v>1.4873641458197564</v>
      </c>
      <c r="G147" s="42">
        <f>0.35532197248*Deflactores!$D$5</f>
        <v>1.0811392732002552</v>
      </c>
      <c r="H147" s="42">
        <f>0.27369228239*Deflactores!$E$5</f>
        <v>0.78937268006948569</v>
      </c>
      <c r="I147" s="42">
        <f>0.14994524567*Deflactores!$F$5</f>
        <v>0.41244155028660706</v>
      </c>
      <c r="J147" s="42">
        <f>0.08686852418*Deflactores!$G$5</f>
        <v>0.22870071274663467</v>
      </c>
      <c r="K147" s="42">
        <f>0.08211067006*Deflactores!$H$5</f>
        <v>0.20452784463795659</v>
      </c>
      <c r="L147" s="42">
        <f>0.0648527297699999*Deflactores!$I$5</f>
        <v>0.15002677081361088</v>
      </c>
      <c r="M147" s="42">
        <f>0.04678314223*Deflactores!$J$5</f>
        <v>0.10610162098786743</v>
      </c>
      <c r="N147" s="42">
        <f>0.03588332309*Deflactores!$K$5</f>
        <v>7.8879965279244957E-2</v>
      </c>
      <c r="O147" s="42">
        <f>0*Deflactores!$L$5</f>
        <v>0</v>
      </c>
      <c r="P147" s="42">
        <f>0.025227046*Deflactores!$M$5</f>
        <v>5.2189169437556186E-2</v>
      </c>
      <c r="Q147" s="42">
        <f>0.021822467*Deflactores!$N$5</f>
        <v>4.4286687981598363E-2</v>
      </c>
      <c r="R147" s="42">
        <f>0.01804987764*Deflactores!$O$5</f>
        <v>3.5337222794417582E-2</v>
      </c>
      <c r="S147" s="42">
        <f>0.020440835*Deflactores!$P$5</f>
        <v>3.7480686972164619E-2</v>
      </c>
      <c r="T147" s="42">
        <f>0.01662680748*Deflactores!$Q$5</f>
        <v>2.882951935334541E-2</v>
      </c>
      <c r="U147" s="42">
        <f>0.00890750943*Deflactores!$R$5</f>
        <v>1.4838015348036549E-2</v>
      </c>
      <c r="V147" s="42">
        <f>0.00175497914999999*Deflactores!$S$5</f>
        <v>2.8333221893836165E-3</v>
      </c>
    </row>
    <row r="148" spans="2:22" x14ac:dyDescent="0.2">
      <c r="B148" s="34"/>
      <c r="C148" s="76" t="s">
        <v>44</v>
      </c>
      <c r="D148" s="41">
        <f t="shared" ref="D148:V148" si="55">+D149+D150</f>
        <v>117.58590540689258</v>
      </c>
      <c r="E148" s="41">
        <f t="shared" si="55"/>
        <v>1.1175420353214192</v>
      </c>
      <c r="F148" s="41">
        <f t="shared" si="55"/>
        <v>2.4158983186123164</v>
      </c>
      <c r="G148" s="41">
        <f t="shared" si="55"/>
        <v>3.6614017725229426</v>
      </c>
      <c r="H148" s="41">
        <f t="shared" si="55"/>
        <v>3.2924618604462519</v>
      </c>
      <c r="I148" s="41">
        <f t="shared" si="55"/>
        <v>3.0756843959126652</v>
      </c>
      <c r="J148" s="41">
        <f t="shared" si="55"/>
        <v>1.1707640937440162</v>
      </c>
      <c r="K148" s="41">
        <f t="shared" si="55"/>
        <v>0</v>
      </c>
      <c r="L148" s="41">
        <f t="shared" si="55"/>
        <v>1.5093036201739987</v>
      </c>
      <c r="M148" s="41">
        <f t="shared" si="55"/>
        <v>4.3989082457185607</v>
      </c>
      <c r="N148" s="41">
        <f t="shared" si="55"/>
        <v>1.5899430054820565</v>
      </c>
      <c r="O148" s="41">
        <f t="shared" si="55"/>
        <v>1.1727426607527875</v>
      </c>
      <c r="P148" s="41">
        <f t="shared" si="55"/>
        <v>1.9049474295713931</v>
      </c>
      <c r="Q148" s="41">
        <f t="shared" si="55"/>
        <v>1.7226012591591333</v>
      </c>
      <c r="R148" s="41">
        <f t="shared" si="55"/>
        <v>1.5979940749754413</v>
      </c>
      <c r="S148" s="41">
        <f t="shared" si="55"/>
        <v>2.5312215044693049</v>
      </c>
      <c r="T148" s="41">
        <f t="shared" si="55"/>
        <v>1.8314272581169886</v>
      </c>
      <c r="U148" s="41">
        <f t="shared" si="55"/>
        <v>2.0541919538341551</v>
      </c>
      <c r="V148" s="41">
        <f t="shared" si="55"/>
        <v>1.8025770270805781</v>
      </c>
    </row>
    <row r="149" spans="2:22" x14ac:dyDescent="0.2">
      <c r="B149" s="32"/>
      <c r="C149" s="77" t="s">
        <v>60</v>
      </c>
      <c r="D149" s="42">
        <f>22.312488238*Deflactores!$A$5</f>
        <v>83.268322324157438</v>
      </c>
      <c r="E149" s="42">
        <f>0.0576564851899999*Deflactores!$B$5</f>
        <v>0.19988158376945439</v>
      </c>
      <c r="F149" s="42">
        <f>0.50530243657*Deflactores!$C$5</f>
        <v>1.6372890320683533</v>
      </c>
      <c r="G149" s="42">
        <f>0.87329680818*Deflactores!$D$5</f>
        <v>2.6571829203075006</v>
      </c>
      <c r="H149" s="42">
        <f>0.839745004*Deflactores!$E$5</f>
        <v>2.4219600150722429</v>
      </c>
      <c r="I149" s="42">
        <f>0.835305961*Deflactores!$F$5</f>
        <v>2.2976045954580888</v>
      </c>
      <c r="J149" s="42">
        <f>0.352199363*Deflactores!$G$5</f>
        <v>0.92724316554644048</v>
      </c>
      <c r="K149" s="42">
        <f>0*Deflactores!$H$5</f>
        <v>0</v>
      </c>
      <c r="L149" s="42">
        <f>0.652433291*Deflactores!$I$5</f>
        <v>1.5093036201739987</v>
      </c>
      <c r="M149" s="42">
        <f>0.660154885*Deflactores!$J$5</f>
        <v>1.4971953584734492</v>
      </c>
      <c r="N149" s="42">
        <f>0.62658618556*Deflactores!$K$5</f>
        <v>1.3773834836161307</v>
      </c>
      <c r="O149" s="42">
        <f>0.549967381*Deflactores!$L$5</f>
        <v>1.1655220333146485</v>
      </c>
      <c r="P149" s="42">
        <f>0.795709454*Deflactores!$M$5</f>
        <v>1.6461465808510167</v>
      </c>
      <c r="Q149" s="42">
        <f>0.708641824*Deflactores!$N$5</f>
        <v>1.4381233501326289</v>
      </c>
      <c r="R149" s="42">
        <f>0.740299999*Deflactores!$O$5</f>
        <v>1.4493253927326963</v>
      </c>
      <c r="S149" s="42">
        <f>1.250644745*Deflactores!$P$5</f>
        <v>2.2932049596177277</v>
      </c>
      <c r="T149" s="42">
        <f>0.9343812038*Deflactores!$Q$5</f>
        <v>1.6201403083999795</v>
      </c>
      <c r="U149" s="42">
        <f>1.1078660112*Deflactores!$R$5</f>
        <v>1.845469040132538</v>
      </c>
      <c r="V149" s="42">
        <f>1.022488845*Deflactores!$S$5</f>
        <v>1.6507548439739252</v>
      </c>
    </row>
    <row r="150" spans="2:22" x14ac:dyDescent="0.2">
      <c r="B150" s="32"/>
      <c r="C150" s="77" t="s">
        <v>61</v>
      </c>
      <c r="D150" s="42">
        <f>9.195701889*Deflactores!$A$5</f>
        <v>34.317583082735133</v>
      </c>
      <c r="E150" s="42">
        <f>0.2647021063*Deflactores!$B$5</f>
        <v>0.91766045155196474</v>
      </c>
      <c r="F150" s="42">
        <f>0.24029548963*Deflactores!$C$5</f>
        <v>0.77860928654396289</v>
      </c>
      <c r="G150" s="42">
        <f>0.33004168123*Deflactores!$D$5</f>
        <v>1.004218852215442</v>
      </c>
      <c r="H150" s="42">
        <f>0.301821487999999*Deflactores!$E$5</f>
        <v>0.87050184537400888</v>
      </c>
      <c r="I150" s="42">
        <f>0.282874911*Deflactores!$F$5</f>
        <v>0.77807980045457614</v>
      </c>
      <c r="J150" s="42">
        <f>0.09249776*Deflactores!$G$5</f>
        <v>0.24352092819757576</v>
      </c>
      <c r="K150" s="42">
        <f>0*Deflactores!$H$5</f>
        <v>0</v>
      </c>
      <c r="L150" s="42">
        <f>0*Deflactores!$I$5</f>
        <v>0</v>
      </c>
      <c r="M150" s="42">
        <f>1.279445549*Deflactores!$J$5</f>
        <v>2.901712887245111</v>
      </c>
      <c r="N150" s="42">
        <f>0.09669555472*Deflactores!$K$5</f>
        <v>0.21255952186592567</v>
      </c>
      <c r="O150" s="42">
        <f>0.00340715099999999*Deflactores!$L$5</f>
        <v>7.2206274381389672E-3</v>
      </c>
      <c r="P150" s="42">
        <f>0.125098387*Deflactores!$M$5</f>
        <v>0.2588008487203764</v>
      </c>
      <c r="Q150" s="42">
        <f>0.140177784*Deflactores!$N$5</f>
        <v>0.28447790902650427</v>
      </c>
      <c r="R150" s="42">
        <f>0.075938382*Deflactores!$O$5</f>
        <v>0.1486686822427451</v>
      </c>
      <c r="S150" s="42">
        <f>0.129807037*Deflactores!$P$5</f>
        <v>0.23801654485157725</v>
      </c>
      <c r="T150" s="42">
        <f>0.12185522044*Deflactores!$Q$5</f>
        <v>0.21128694971700915</v>
      </c>
      <c r="U150" s="42">
        <f>0.12529986514*Deflactores!$R$5</f>
        <v>0.208722913701617</v>
      </c>
      <c r="V150" s="42">
        <f>0.094039699*Deflactores!$S$5</f>
        <v>0.15182218310665277</v>
      </c>
    </row>
    <row r="151" spans="2:22" x14ac:dyDescent="0.2">
      <c r="B151" s="34" t="s">
        <v>45</v>
      </c>
      <c r="C151" s="76" t="s">
        <v>46</v>
      </c>
      <c r="D151" s="41">
        <f>1559.83920877294*Deflactores!$A$5</f>
        <v>5821.1882343430771</v>
      </c>
      <c r="E151" s="41">
        <f>2009.47674606653*Deflactores!$B$5</f>
        <v>6966.3870981391765</v>
      </c>
      <c r="F151" s="41">
        <f>1885.36260964452*Deflactores!$C$5</f>
        <v>6108.9820646750677</v>
      </c>
      <c r="G151" s="41">
        <f>1876.58378682371*Deflactores!$D$5</f>
        <v>5709.8873374631112</v>
      </c>
      <c r="H151" s="41">
        <f>2199.76156238223*Deflactores!$E$5</f>
        <v>6344.4670958502138</v>
      </c>
      <c r="I151" s="41">
        <f>2298.71767228206*Deflactores!$F$5</f>
        <v>6322.8859053909982</v>
      </c>
      <c r="J151" s="41">
        <f>2997.77594955988*Deflactores!$G$5</f>
        <v>7892.3120058819914</v>
      </c>
      <c r="K151" s="41">
        <f>3566.93180839943*Deflactores!$H$5</f>
        <v>8884.7999195404955</v>
      </c>
      <c r="L151" s="41">
        <f>4671.33033076167*Deflactores!$I$5</f>
        <v>10806.401016785623</v>
      </c>
      <c r="M151" s="41">
        <f>5961.54169767847*Deflactores!$J$5</f>
        <v>13520.452187686427</v>
      </c>
      <c r="N151" s="41">
        <f>5593.89490890109*Deflactores!$K$5</f>
        <v>12296.693789567948</v>
      </c>
      <c r="O151" s="41">
        <f>4908.05616360648*Deflactores!$L$5</f>
        <v>10401.430697630991</v>
      </c>
      <c r="P151" s="41">
        <f>6142.34912009605*Deflactores!$M$5</f>
        <v>12707.159568873696</v>
      </c>
      <c r="Q151" s="41">
        <f>7254.60594567083*Deflactores!$N$5</f>
        <v>14722.554968023202</v>
      </c>
      <c r="R151" s="41">
        <f>4547.89931433233*Deflactores!$O$5</f>
        <v>8903.6687407228583</v>
      </c>
      <c r="S151" s="41">
        <f>4774.37494891819*Deflactores!$P$5</f>
        <v>8754.3807749608623</v>
      </c>
      <c r="T151" s="41">
        <f>6053.14353942388*Deflactores!$Q$5</f>
        <v>10495.654023077586</v>
      </c>
      <c r="U151" s="41">
        <f>6628.87816453948*Deflactores!$R$5</f>
        <v>11042.300512692373</v>
      </c>
      <c r="V151" s="41">
        <f>6476.29291952019*Deflactores!$S$5</f>
        <v>10455.636714444536</v>
      </c>
    </row>
    <row r="152" spans="2:22" x14ac:dyDescent="0.2">
      <c r="B152" s="36" t="s">
        <v>47</v>
      </c>
      <c r="C152" s="78" t="s">
        <v>48</v>
      </c>
      <c r="D152" s="43">
        <f t="shared" ref="D152:V152" si="56">+D139+D151</f>
        <v>10763.55733690379</v>
      </c>
      <c r="E152" s="43">
        <f t="shared" si="56"/>
        <v>12030.262864717792</v>
      </c>
      <c r="F152" s="43">
        <f t="shared" si="56"/>
        <v>11286.045251736832</v>
      </c>
      <c r="G152" s="43">
        <f t="shared" si="56"/>
        <v>10885.789637484668</v>
      </c>
      <c r="H152" s="43">
        <f t="shared" si="56"/>
        <v>16808.376166320573</v>
      </c>
      <c r="I152" s="43">
        <f t="shared" si="56"/>
        <v>16775.798049977613</v>
      </c>
      <c r="J152" s="43">
        <f t="shared" si="56"/>
        <v>12830.751324719215</v>
      </c>
      <c r="K152" s="43">
        <f t="shared" si="56"/>
        <v>14146.948245513428</v>
      </c>
      <c r="L152" s="43">
        <f t="shared" si="56"/>
        <v>16302.030860021296</v>
      </c>
      <c r="M152" s="43">
        <f t="shared" si="56"/>
        <v>19989.362238124722</v>
      </c>
      <c r="N152" s="43">
        <f t="shared" si="56"/>
        <v>21460.044535324028</v>
      </c>
      <c r="O152" s="43">
        <f t="shared" si="56"/>
        <v>18658.52863771571</v>
      </c>
      <c r="P152" s="43">
        <f t="shared" si="56"/>
        <v>20774.712785470412</v>
      </c>
      <c r="Q152" s="43">
        <f t="shared" si="56"/>
        <v>23174.052214317682</v>
      </c>
      <c r="R152" s="43">
        <f t="shared" si="56"/>
        <v>17638.783611577797</v>
      </c>
      <c r="S152" s="43">
        <f t="shared" si="56"/>
        <v>17791.411731305976</v>
      </c>
      <c r="T152" s="43">
        <f t="shared" si="56"/>
        <v>19061.92971151042</v>
      </c>
      <c r="U152" s="43">
        <f t="shared" si="56"/>
        <v>19825.237679448735</v>
      </c>
      <c r="V152" s="43">
        <f t="shared" si="56"/>
        <v>18816.89412646354</v>
      </c>
    </row>
    <row r="153" spans="2:22" x14ac:dyDescent="0.2">
      <c r="B153" s="38" t="s">
        <v>49</v>
      </c>
      <c r="C153" s="79" t="s">
        <v>63</v>
      </c>
      <c r="D153" s="44">
        <f t="shared" ref="D153:V153" si="57">+D139+D144+D151</f>
        <v>10898.293565087246</v>
      </c>
      <c r="E153" s="44">
        <f t="shared" si="57"/>
        <v>12042.104103679376</v>
      </c>
      <c r="F153" s="44">
        <f t="shared" si="57"/>
        <v>11297.831067156594</v>
      </c>
      <c r="G153" s="44">
        <f t="shared" si="57"/>
        <v>10899.676324428365</v>
      </c>
      <c r="H153" s="44">
        <f t="shared" si="57"/>
        <v>16819.319492029943</v>
      </c>
      <c r="I153" s="44">
        <f t="shared" si="57"/>
        <v>16783.052296243251</v>
      </c>
      <c r="J153" s="44">
        <f t="shared" si="57"/>
        <v>12834.157410488435</v>
      </c>
      <c r="K153" s="44">
        <f t="shared" si="57"/>
        <v>14149.424755861804</v>
      </c>
      <c r="L153" s="44">
        <f t="shared" si="57"/>
        <v>16304.74172639097</v>
      </c>
      <c r="M153" s="44">
        <f t="shared" si="57"/>
        <v>19995.666570724934</v>
      </c>
      <c r="N153" s="44">
        <f t="shared" si="57"/>
        <v>21462.493747868139</v>
      </c>
      <c r="O153" s="44">
        <f t="shared" si="57"/>
        <v>18660.558406874225</v>
      </c>
      <c r="P153" s="44">
        <f t="shared" si="57"/>
        <v>20776.922189428195</v>
      </c>
      <c r="Q153" s="44">
        <f t="shared" si="57"/>
        <v>23176.077125288746</v>
      </c>
      <c r="R153" s="44">
        <f t="shared" si="57"/>
        <v>17640.696425534334</v>
      </c>
      <c r="S153" s="44">
        <f t="shared" si="57"/>
        <v>17794.29240743324</v>
      </c>
      <c r="T153" s="44">
        <f t="shared" si="57"/>
        <v>19064.160749317307</v>
      </c>
      <c r="U153" s="44">
        <f t="shared" si="57"/>
        <v>19827.698880630858</v>
      </c>
      <c r="V153" s="44">
        <f t="shared" si="57"/>
        <v>18818.888444720724</v>
      </c>
    </row>
    <row r="154" spans="2:22" x14ac:dyDescent="0.2">
      <c r="B154" s="36" t="s">
        <v>64</v>
      </c>
      <c r="C154" s="78" t="s">
        <v>65</v>
      </c>
      <c r="D154" s="43">
        <f t="shared" ref="D154:V154" si="58">+D27</f>
        <v>15453.211183002455</v>
      </c>
      <c r="E154" s="43">
        <f t="shared" si="58"/>
        <v>16511.668507063165</v>
      </c>
      <c r="F154" s="43">
        <f t="shared" si="58"/>
        <v>16365.13672221762</v>
      </c>
      <c r="G154" s="43">
        <f t="shared" si="58"/>
        <v>14883.222018655233</v>
      </c>
      <c r="H154" s="43">
        <f t="shared" si="58"/>
        <v>22257.578938138027</v>
      </c>
      <c r="I154" s="43">
        <f t="shared" si="58"/>
        <v>21348.332354937964</v>
      </c>
      <c r="J154" s="43">
        <f t="shared" si="58"/>
        <v>18349.719216977588</v>
      </c>
      <c r="K154" s="43">
        <f t="shared" si="58"/>
        <v>19029.037387067838</v>
      </c>
      <c r="L154" s="43">
        <f t="shared" si="58"/>
        <v>20376.397307770425</v>
      </c>
      <c r="M154" s="43">
        <f t="shared" si="58"/>
        <v>25429.511701911797</v>
      </c>
      <c r="N154" s="43">
        <f t="shared" si="58"/>
        <v>27710.663711537865</v>
      </c>
      <c r="O154" s="43">
        <f t="shared" si="58"/>
        <v>27320.618107980103</v>
      </c>
      <c r="P154" s="43">
        <f t="shared" si="58"/>
        <v>27403.026491694902</v>
      </c>
      <c r="Q154" s="43">
        <f t="shared" si="58"/>
        <v>29231.873071315735</v>
      </c>
      <c r="R154" s="43">
        <f t="shared" si="58"/>
        <v>22344.556256321448</v>
      </c>
      <c r="S154" s="43">
        <f t="shared" si="58"/>
        <v>22475.241001465962</v>
      </c>
      <c r="T154" s="43">
        <f t="shared" si="58"/>
        <v>23158.867601117716</v>
      </c>
      <c r="U154" s="43">
        <f t="shared" si="58"/>
        <v>24346.025521751541</v>
      </c>
      <c r="V154" s="43">
        <f t="shared" si="58"/>
        <v>22187.686870138506</v>
      </c>
    </row>
    <row r="155" spans="2:22" x14ac:dyDescent="0.2">
      <c r="B155" s="38" t="s">
        <v>66</v>
      </c>
      <c r="C155" s="79" t="s">
        <v>73</v>
      </c>
      <c r="D155" s="45">
        <f t="shared" ref="D155:V155" si="59">+D152/D$27*100</f>
        <v>69.652560943080971</v>
      </c>
      <c r="E155" s="45">
        <f t="shared" si="59"/>
        <v>72.859159324641411</v>
      </c>
      <c r="F155" s="45">
        <f t="shared" si="59"/>
        <v>68.963953331441971</v>
      </c>
      <c r="G155" s="45">
        <f t="shared" si="59"/>
        <v>73.141350870396053</v>
      </c>
      <c r="H155" s="45">
        <f t="shared" si="59"/>
        <v>75.517540398428835</v>
      </c>
      <c r="I155" s="45">
        <f t="shared" si="59"/>
        <v>78.581304483473133</v>
      </c>
      <c r="J155" s="45">
        <f t="shared" si="59"/>
        <v>69.923420478542823</v>
      </c>
      <c r="K155" s="45">
        <f t="shared" si="59"/>
        <v>74.344003628516248</v>
      </c>
      <c r="L155" s="45">
        <f t="shared" si="59"/>
        <v>80.004480742062327</v>
      </c>
      <c r="M155" s="45">
        <f t="shared" si="59"/>
        <v>78.606944845983477</v>
      </c>
      <c r="N155" s="45">
        <f t="shared" si="59"/>
        <v>77.443271509908769</v>
      </c>
      <c r="O155" s="45">
        <f t="shared" si="59"/>
        <v>68.294679732248525</v>
      </c>
      <c r="P155" s="45">
        <f t="shared" si="59"/>
        <v>75.811745800292002</v>
      </c>
      <c r="Q155" s="45">
        <f t="shared" si="59"/>
        <v>79.276658590371369</v>
      </c>
      <c r="R155" s="45">
        <f t="shared" si="59"/>
        <v>78.93995928689634</v>
      </c>
      <c r="S155" s="45">
        <f t="shared" si="59"/>
        <v>79.160048740503029</v>
      </c>
      <c r="T155" s="45">
        <f t="shared" si="59"/>
        <v>82.309420476977181</v>
      </c>
      <c r="U155" s="45">
        <f t="shared" si="59"/>
        <v>81.431105301915565</v>
      </c>
      <c r="V155" s="45">
        <f t="shared" si="59"/>
        <v>84.807822629714607</v>
      </c>
    </row>
    <row r="156" spans="2:22" x14ac:dyDescent="0.2">
      <c r="B156" s="1" t="s">
        <v>52</v>
      </c>
      <c r="C156" s="15"/>
      <c r="D156" s="12"/>
      <c r="E156" s="12"/>
      <c r="F156" s="12"/>
      <c r="G156" s="12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2:22" x14ac:dyDescent="0.2">
      <c r="V157" s="23"/>
    </row>
    <row r="158" spans="2:22" x14ac:dyDescent="0.2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63" spans="2:22" ht="15" customHeight="1" x14ac:dyDescent="0.2">
      <c r="C163" s="131"/>
      <c r="D163" s="164" t="s">
        <v>89</v>
      </c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</row>
    <row r="164" spans="2:22" x14ac:dyDescent="0.2">
      <c r="U164" s="29"/>
      <c r="V164" s="29"/>
    </row>
    <row r="165" spans="2:22" x14ac:dyDescent="0.2">
      <c r="B165" s="167"/>
      <c r="C165" s="161" t="s">
        <v>38</v>
      </c>
      <c r="D165" s="155" t="s">
        <v>27</v>
      </c>
      <c r="E165" s="155" t="s">
        <v>28</v>
      </c>
      <c r="F165" s="155" t="s">
        <v>29</v>
      </c>
      <c r="G165" s="155" t="s">
        <v>30</v>
      </c>
      <c r="H165" s="155">
        <v>2004</v>
      </c>
      <c r="I165" s="155" t="s">
        <v>31</v>
      </c>
      <c r="J165" s="155" t="s">
        <v>32</v>
      </c>
      <c r="K165" s="155" t="s">
        <v>33</v>
      </c>
      <c r="L165" s="155" t="s">
        <v>34</v>
      </c>
      <c r="M165" s="155" t="s">
        <v>35</v>
      </c>
      <c r="N165" s="155">
        <v>2010</v>
      </c>
      <c r="O165" s="155">
        <v>2011</v>
      </c>
      <c r="P165" s="155">
        <v>2012</v>
      </c>
      <c r="Q165" s="155">
        <v>2013</v>
      </c>
      <c r="R165" s="155">
        <v>2014</v>
      </c>
      <c r="S165" s="155">
        <v>2015</v>
      </c>
      <c r="T165" s="155">
        <v>2016</v>
      </c>
      <c r="U165" s="155">
        <v>2017</v>
      </c>
      <c r="V165" s="155">
        <v>2018</v>
      </c>
    </row>
    <row r="166" spans="2:22" ht="12" customHeight="1" thickBot="1" x14ac:dyDescent="0.25">
      <c r="B166" s="156"/>
      <c r="C166" s="162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</row>
    <row r="167" spans="2:22" x14ac:dyDescent="0.2">
      <c r="B167" s="34" t="s">
        <v>39</v>
      </c>
      <c r="C167" s="76" t="s">
        <v>40</v>
      </c>
      <c r="D167" s="46">
        <f t="shared" ref="D167:V167" si="60">+IFERROR(IF(D139&gt;0,+((D139/D14)*100)," "),"")</f>
        <v>73.474903513078303</v>
      </c>
      <c r="E167" s="46">
        <f t="shared" si="60"/>
        <v>73.804017373107513</v>
      </c>
      <c r="F167" s="46">
        <f t="shared" si="60"/>
        <v>75.747692171229147</v>
      </c>
      <c r="G167" s="46">
        <f t="shared" si="60"/>
        <v>77.34090772375761</v>
      </c>
      <c r="H167" s="46">
        <f t="shared" si="60"/>
        <v>80.523758326549711</v>
      </c>
      <c r="I167" s="46">
        <f t="shared" si="60"/>
        <v>87.833952786361152</v>
      </c>
      <c r="J167" s="46">
        <f t="shared" si="60"/>
        <v>68.529440369524025</v>
      </c>
      <c r="K167" s="46">
        <f t="shared" si="60"/>
        <v>76.180676597430605</v>
      </c>
      <c r="L167" s="46">
        <f t="shared" si="60"/>
        <v>80.88423548555383</v>
      </c>
      <c r="M167" s="46">
        <f t="shared" si="60"/>
        <v>76.646757844187761</v>
      </c>
      <c r="N167" s="46">
        <f t="shared" si="60"/>
        <v>81.348556100997442</v>
      </c>
      <c r="O167" s="46">
        <f t="shared" si="60"/>
        <v>76.871784953195075</v>
      </c>
      <c r="P167" s="46">
        <f t="shared" si="60"/>
        <v>77.776987881219299</v>
      </c>
      <c r="Q167" s="46">
        <f t="shared" si="60"/>
        <v>75.961586673924131</v>
      </c>
      <c r="R167" s="46">
        <f t="shared" si="60"/>
        <v>81.013040431119506</v>
      </c>
      <c r="S167" s="46">
        <f t="shared" si="60"/>
        <v>83.571170625211806</v>
      </c>
      <c r="T167" s="46">
        <f t="shared" si="60"/>
        <v>87.855159926888973</v>
      </c>
      <c r="U167" s="46">
        <f t="shared" si="60"/>
        <v>89.380956517109794</v>
      </c>
      <c r="V167" s="46">
        <f t="shared" si="60"/>
        <v>85.284936692090753</v>
      </c>
    </row>
    <row r="168" spans="2:22" x14ac:dyDescent="0.2">
      <c r="B168" s="40"/>
      <c r="C168" s="77" t="s">
        <v>56</v>
      </c>
      <c r="D168" s="47">
        <f t="shared" ref="D168:V168" si="61">+IFERROR(IF(D140&gt;0,+((D140/D15)*100)," "),"")</f>
        <v>94.247200184823171</v>
      </c>
      <c r="E168" s="47">
        <f t="shared" si="61"/>
        <v>93.583953257777864</v>
      </c>
      <c r="F168" s="47">
        <f t="shared" si="61"/>
        <v>95.780615481290482</v>
      </c>
      <c r="G168" s="47">
        <f t="shared" si="61"/>
        <v>93.428820301267081</v>
      </c>
      <c r="H168" s="47">
        <f t="shared" si="61"/>
        <v>92.020932988424477</v>
      </c>
      <c r="I168" s="47">
        <f t="shared" si="61"/>
        <v>93.970173562179085</v>
      </c>
      <c r="J168" s="47">
        <f t="shared" si="61"/>
        <v>92.925851496574438</v>
      </c>
      <c r="K168" s="47">
        <f t="shared" si="61"/>
        <v>93.187759321594868</v>
      </c>
      <c r="L168" s="47">
        <f t="shared" si="61"/>
        <v>94.983478141214462</v>
      </c>
      <c r="M168" s="47">
        <f t="shared" si="61"/>
        <v>92.116749835982802</v>
      </c>
      <c r="N168" s="47">
        <f t="shared" si="61"/>
        <v>93.847722616249015</v>
      </c>
      <c r="O168" s="47">
        <f t="shared" si="61"/>
        <v>81.002704009116371</v>
      </c>
      <c r="P168" s="47">
        <f t="shared" si="61"/>
        <v>92.124160586917228</v>
      </c>
      <c r="Q168" s="47">
        <f t="shared" si="61"/>
        <v>83.087532688175941</v>
      </c>
      <c r="R168" s="47">
        <f t="shared" si="61"/>
        <v>85.670431849576971</v>
      </c>
      <c r="S168" s="47">
        <f t="shared" si="61"/>
        <v>89.367602103430968</v>
      </c>
      <c r="T168" s="47">
        <f t="shared" si="61"/>
        <v>92.611201110417582</v>
      </c>
      <c r="U168" s="47">
        <f t="shared" si="61"/>
        <v>92.538818479242963</v>
      </c>
      <c r="V168" s="47">
        <f t="shared" si="61"/>
        <v>93.146903261592257</v>
      </c>
    </row>
    <row r="169" spans="2:22" x14ac:dyDescent="0.2">
      <c r="B169" s="40"/>
      <c r="C169" s="77" t="s">
        <v>57</v>
      </c>
      <c r="D169" s="47">
        <f t="shared" ref="D169:V169" si="62">+IFERROR(IF(D141&gt;0,+((D141/D16)*100)," "),"")</f>
        <v>77.764430722791502</v>
      </c>
      <c r="E169" s="47">
        <f t="shared" si="62"/>
        <v>83.920611146968042</v>
      </c>
      <c r="F169" s="47">
        <f t="shared" si="62"/>
        <v>84.760809236473662</v>
      </c>
      <c r="G169" s="47">
        <f t="shared" si="62"/>
        <v>80.519921676741504</v>
      </c>
      <c r="H169" s="47">
        <f t="shared" si="62"/>
        <v>77.133292310857755</v>
      </c>
      <c r="I169" s="47">
        <f t="shared" si="62"/>
        <v>80.891616519107771</v>
      </c>
      <c r="J169" s="47">
        <f t="shared" si="62"/>
        <v>75.449265574977758</v>
      </c>
      <c r="K169" s="47">
        <f t="shared" si="62"/>
        <v>77.835027556606349</v>
      </c>
      <c r="L169" s="47">
        <f t="shared" si="62"/>
        <v>81.058316210147325</v>
      </c>
      <c r="M169" s="47">
        <f t="shared" si="62"/>
        <v>83.871007550774877</v>
      </c>
      <c r="N169" s="47">
        <f t="shared" si="62"/>
        <v>80.942750317544551</v>
      </c>
      <c r="O169" s="47">
        <f t="shared" si="62"/>
        <v>75.007700903031122</v>
      </c>
      <c r="P169" s="47">
        <f t="shared" si="62"/>
        <v>79.329268843283785</v>
      </c>
      <c r="Q169" s="47">
        <f t="shared" si="62"/>
        <v>83.840837449661876</v>
      </c>
      <c r="R169" s="47">
        <f t="shared" si="62"/>
        <v>81.577089995479184</v>
      </c>
      <c r="S169" s="47">
        <f t="shared" si="62"/>
        <v>87.514071801779053</v>
      </c>
      <c r="T169" s="47">
        <f t="shared" si="62"/>
        <v>87.937451373503706</v>
      </c>
      <c r="U169" s="47">
        <f t="shared" si="62"/>
        <v>85.430962132651246</v>
      </c>
      <c r="V169" s="47">
        <f t="shared" si="62"/>
        <v>79.586704639894947</v>
      </c>
    </row>
    <row r="170" spans="2:22" x14ac:dyDescent="0.2">
      <c r="B170" s="40"/>
      <c r="C170" s="77" t="s">
        <v>58</v>
      </c>
      <c r="D170" s="47">
        <f t="shared" ref="D170:V170" si="63">+IFERROR(IF(D142&gt;0,+((D142/D17)*100)," "),"")</f>
        <v>60.918201098054567</v>
      </c>
      <c r="E170" s="47">
        <f t="shared" si="63"/>
        <v>61.131770532514729</v>
      </c>
      <c r="F170" s="47">
        <f t="shared" si="63"/>
        <v>61.520768422063668</v>
      </c>
      <c r="G170" s="47">
        <f t="shared" si="63"/>
        <v>67.325201009252595</v>
      </c>
      <c r="H170" s="47">
        <f t="shared" si="63"/>
        <v>80.009266496679899</v>
      </c>
      <c r="I170" s="47">
        <f t="shared" si="63"/>
        <v>91.972210091905936</v>
      </c>
      <c r="J170" s="47">
        <f t="shared" si="63"/>
        <v>62.524226595673362</v>
      </c>
      <c r="K170" s="47">
        <f t="shared" si="63"/>
        <v>64.546658478899772</v>
      </c>
      <c r="L170" s="47">
        <f t="shared" si="63"/>
        <v>66.552108091976649</v>
      </c>
      <c r="M170" s="47">
        <f t="shared" si="63"/>
        <v>61.553363938494911</v>
      </c>
      <c r="N170" s="47">
        <f t="shared" si="63"/>
        <v>76.03420930706514</v>
      </c>
      <c r="O170" s="47">
        <f t="shared" si="63"/>
        <v>77.615648173063676</v>
      </c>
      <c r="P170" s="47">
        <f t="shared" si="63"/>
        <v>76.883724239292903</v>
      </c>
      <c r="Q170" s="47">
        <f t="shared" si="63"/>
        <v>73.226384021677276</v>
      </c>
      <c r="R170" s="47">
        <f t="shared" si="63"/>
        <v>80.821658626769036</v>
      </c>
      <c r="S170" s="47">
        <f t="shared" si="63"/>
        <v>85.950040233083939</v>
      </c>
      <c r="T170" s="47">
        <f t="shared" si="63"/>
        <v>90.630650920963348</v>
      </c>
      <c r="U170" s="47">
        <f t="shared" si="63"/>
        <v>93.069869187872882</v>
      </c>
      <c r="V170" s="47">
        <f t="shared" si="63"/>
        <v>83.762227847045068</v>
      </c>
    </row>
    <row r="171" spans="2:22" x14ac:dyDescent="0.2">
      <c r="B171" s="40"/>
      <c r="C171" s="77" t="s">
        <v>59</v>
      </c>
      <c r="D171" s="47">
        <f t="shared" ref="D171:V171" si="64">+IFERROR(IF(D143&gt;0,+((D143/D18)*100)," "),"")</f>
        <v>67.695013373787106</v>
      </c>
      <c r="E171" s="47">
        <f t="shared" si="64"/>
        <v>69.005989979836045</v>
      </c>
      <c r="F171" s="47">
        <f t="shared" si="64"/>
        <v>73.320005589507858</v>
      </c>
      <c r="G171" s="47">
        <f t="shared" si="64"/>
        <v>75.588633458581143</v>
      </c>
      <c r="H171" s="47">
        <f t="shared" si="64"/>
        <v>73.923072154626851</v>
      </c>
      <c r="I171" s="47">
        <f t="shared" si="64"/>
        <v>71.608303058779882</v>
      </c>
      <c r="J171" s="47">
        <f t="shared" si="64"/>
        <v>56.315638912357521</v>
      </c>
      <c r="K171" s="47">
        <f t="shared" si="64"/>
        <v>76.384321652638675</v>
      </c>
      <c r="L171" s="47">
        <f t="shared" si="64"/>
        <v>84.448651225772849</v>
      </c>
      <c r="M171" s="47">
        <f t="shared" si="64"/>
        <v>81.152580249160465</v>
      </c>
      <c r="N171" s="47">
        <f t="shared" si="64"/>
        <v>83.413813714204636</v>
      </c>
      <c r="O171" s="47">
        <f t="shared" si="64"/>
        <v>73.88953082189596</v>
      </c>
      <c r="P171" s="47">
        <f t="shared" si="64"/>
        <v>69.242469695393822</v>
      </c>
      <c r="Q171" s="47">
        <f t="shared" si="64"/>
        <v>70.478662229188387</v>
      </c>
      <c r="R171" s="47">
        <f t="shared" si="64"/>
        <v>76.631021523030512</v>
      </c>
      <c r="S171" s="47">
        <f t="shared" si="64"/>
        <v>74.354352914801254</v>
      </c>
      <c r="T171" s="47">
        <f t="shared" si="64"/>
        <v>80.849966545502213</v>
      </c>
      <c r="U171" s="47">
        <f t="shared" si="64"/>
        <v>83.083199464320813</v>
      </c>
      <c r="V171" s="47">
        <f t="shared" si="64"/>
        <v>79.998401471391219</v>
      </c>
    </row>
    <row r="172" spans="2:22" x14ac:dyDescent="0.2">
      <c r="B172" s="34" t="s">
        <v>41</v>
      </c>
      <c r="C172" s="76" t="s">
        <v>42</v>
      </c>
      <c r="D172" s="46">
        <f t="shared" ref="D172:V172" si="65">+IFERROR(IF(D144&gt;0,+((D144/D19)*100)," "),"")</f>
        <v>92.090691600764757</v>
      </c>
      <c r="E172" s="46">
        <f t="shared" si="65"/>
        <v>86.728764708561442</v>
      </c>
      <c r="F172" s="46">
        <f t="shared" si="65"/>
        <v>78.01793546053851</v>
      </c>
      <c r="G172" s="46">
        <f t="shared" si="65"/>
        <v>96.615952224729611</v>
      </c>
      <c r="H172" s="46">
        <f t="shared" si="65"/>
        <v>94.512120003736115</v>
      </c>
      <c r="I172" s="46">
        <f t="shared" si="65"/>
        <v>62.864237212768224</v>
      </c>
      <c r="J172" s="46">
        <f t="shared" si="65"/>
        <v>43.142271029745238</v>
      </c>
      <c r="K172" s="46">
        <f t="shared" si="65"/>
        <v>34.82259324612663</v>
      </c>
      <c r="L172" s="46">
        <f t="shared" si="65"/>
        <v>50.127821664028694</v>
      </c>
      <c r="M172" s="46">
        <f t="shared" si="65"/>
        <v>69.586071184319195</v>
      </c>
      <c r="N172" s="46">
        <f t="shared" si="65"/>
        <v>49.093300769773109</v>
      </c>
      <c r="O172" s="46">
        <f t="shared" si="65"/>
        <v>50.659796360943631</v>
      </c>
      <c r="P172" s="46">
        <f t="shared" si="65"/>
        <v>87.524597197180782</v>
      </c>
      <c r="Q172" s="46">
        <f t="shared" si="65"/>
        <v>72.408134542815688</v>
      </c>
      <c r="R172" s="46">
        <f t="shared" si="65"/>
        <v>92.751569092462489</v>
      </c>
      <c r="S172" s="46">
        <f t="shared" si="65"/>
        <v>99.999996308163546</v>
      </c>
      <c r="T172" s="46">
        <f t="shared" si="65"/>
        <v>99.914747684352307</v>
      </c>
      <c r="U172" s="46">
        <f t="shared" si="65"/>
        <v>95.624900728755435</v>
      </c>
      <c r="V172" s="46">
        <f t="shared" si="65"/>
        <v>95.997882121494726</v>
      </c>
    </row>
    <row r="173" spans="2:22" x14ac:dyDescent="0.2">
      <c r="B173" s="34"/>
      <c r="C173" s="76" t="s">
        <v>43</v>
      </c>
      <c r="D173" s="46">
        <f t="shared" ref="D173:V173" si="66">+IFERROR(IF(D145&gt;0,+((D145/D20)*100)," "),"")</f>
        <v>71.104986802251418</v>
      </c>
      <c r="E173" s="46">
        <f t="shared" si="66"/>
        <v>87.544145602252783</v>
      </c>
      <c r="F173" s="46">
        <f t="shared" si="66"/>
        <v>81.69728083568765</v>
      </c>
      <c r="G173" s="46">
        <f t="shared" si="66"/>
        <v>96.519434525238836</v>
      </c>
      <c r="H173" s="46">
        <f t="shared" si="66"/>
        <v>94.121383681166265</v>
      </c>
      <c r="I173" s="46">
        <f t="shared" si="66"/>
        <v>67.780224568919749</v>
      </c>
      <c r="J173" s="46">
        <f t="shared" si="66"/>
        <v>62.809091628939193</v>
      </c>
      <c r="K173" s="46">
        <f t="shared" si="66"/>
        <v>78.253125698526276</v>
      </c>
      <c r="L173" s="46">
        <f t="shared" si="66"/>
        <v>44.783996899465322</v>
      </c>
      <c r="M173" s="46">
        <f t="shared" si="66"/>
        <v>83.764142731804483</v>
      </c>
      <c r="N173" s="46">
        <f t="shared" si="66"/>
        <v>33.900457600089247</v>
      </c>
      <c r="O173" s="46">
        <f t="shared" si="66"/>
        <v>43.311510977830132</v>
      </c>
      <c r="P173" s="46">
        <f t="shared" si="66"/>
        <v>86.467270270270291</v>
      </c>
      <c r="Q173" s="46">
        <f t="shared" si="66"/>
        <v>28.696683875939126</v>
      </c>
      <c r="R173" s="46">
        <f t="shared" si="66"/>
        <v>95.321071618257264</v>
      </c>
      <c r="S173" s="46">
        <f t="shared" si="66"/>
        <v>100</v>
      </c>
      <c r="T173" s="46">
        <f t="shared" si="66"/>
        <v>99.527891537933129</v>
      </c>
      <c r="U173" s="46">
        <f t="shared" si="66"/>
        <v>82.26749657239057</v>
      </c>
      <c r="V173" s="46">
        <f t="shared" si="66"/>
        <v>84.231084992907796</v>
      </c>
    </row>
    <row r="174" spans="2:22" x14ac:dyDescent="0.2">
      <c r="B174" s="32"/>
      <c r="C174" s="77" t="s">
        <v>60</v>
      </c>
      <c r="D174" s="47">
        <f t="shared" ref="D174:V174" si="67">+IFERROR(IF(D146&gt;0,+((D146/D21)*100)," "),"")</f>
        <v>66.695597144841997</v>
      </c>
      <c r="E174" s="47">
        <f t="shared" si="67"/>
        <v>86.230305482704509</v>
      </c>
      <c r="F174" s="47">
        <f t="shared" si="67"/>
        <v>81.720062631596633</v>
      </c>
      <c r="G174" s="47">
        <f t="shared" si="67"/>
        <v>96.894011305999442</v>
      </c>
      <c r="H174" s="47">
        <f t="shared" si="67"/>
        <v>95.947763471667287</v>
      </c>
      <c r="I174" s="47">
        <f t="shared" si="67"/>
        <v>68.820780842138007</v>
      </c>
      <c r="J174" s="47">
        <f t="shared" si="67"/>
        <v>64.982929189189193</v>
      </c>
      <c r="K174" s="47">
        <f t="shared" si="67"/>
        <v>80.956498047032042</v>
      </c>
      <c r="L174" s="47">
        <f t="shared" si="67"/>
        <v>43.635602022655171</v>
      </c>
      <c r="M174" s="47">
        <f t="shared" si="67"/>
        <v>86.57477186490604</v>
      </c>
      <c r="N174" s="47">
        <f t="shared" si="67"/>
        <v>33.464252337722478</v>
      </c>
      <c r="O174" s="47">
        <f t="shared" si="67"/>
        <v>45.970169148573369</v>
      </c>
      <c r="P174" s="47">
        <f t="shared" si="67"/>
        <v>86.975925820256791</v>
      </c>
      <c r="Q174" s="47">
        <f t="shared" si="67"/>
        <v>26.285304734339466</v>
      </c>
      <c r="R174" s="47">
        <f t="shared" si="67"/>
        <v>96.499260847337567</v>
      </c>
      <c r="S174" s="47">
        <f t="shared" si="67"/>
        <v>100</v>
      </c>
      <c r="T174" s="47">
        <f t="shared" si="67"/>
        <v>100</v>
      </c>
      <c r="U174" s="47">
        <f t="shared" si="67"/>
        <v>82.605949259649122</v>
      </c>
      <c r="V174" s="47">
        <f t="shared" si="67"/>
        <v>84.790471514492737</v>
      </c>
    </row>
    <row r="175" spans="2:22" x14ac:dyDescent="0.2">
      <c r="B175" s="32"/>
      <c r="C175" s="77" t="s">
        <v>61</v>
      </c>
      <c r="D175" s="47">
        <f t="shared" ref="D175:V175" si="68">+IFERROR(IF(D147&gt;0,+((D147/D22)*100)," "),"")</f>
        <v>95.831980858807896</v>
      </c>
      <c r="E175" s="47">
        <f t="shared" si="68"/>
        <v>93.941804948504981</v>
      </c>
      <c r="F175" s="47">
        <f t="shared" si="68"/>
        <v>81.576756349742325</v>
      </c>
      <c r="G175" s="47">
        <f t="shared" si="68"/>
        <v>93.463476726708166</v>
      </c>
      <c r="H175" s="47">
        <f t="shared" si="68"/>
        <v>80.759009262319267</v>
      </c>
      <c r="I175" s="47">
        <f t="shared" si="68"/>
        <v>59.55752541713376</v>
      </c>
      <c r="J175" s="47">
        <f t="shared" si="68"/>
        <v>48.557028608160984</v>
      </c>
      <c r="K175" s="47">
        <f t="shared" si="68"/>
        <v>57.07979789047004</v>
      </c>
      <c r="L175" s="47">
        <f t="shared" si="68"/>
        <v>54.913403700253937</v>
      </c>
      <c r="M175" s="47">
        <f t="shared" si="68"/>
        <v>54.022104191685912</v>
      </c>
      <c r="N175" s="47">
        <f t="shared" si="68"/>
        <v>38.919512065232958</v>
      </c>
      <c r="O175" s="47" t="str">
        <f t="shared" si="68"/>
        <v xml:space="preserve"> </v>
      </c>
      <c r="P175" s="47">
        <f t="shared" si="68"/>
        <v>84.090153333333333</v>
      </c>
      <c r="Q175" s="47">
        <f t="shared" si="68"/>
        <v>61.645387005649724</v>
      </c>
      <c r="R175" s="47">
        <f t="shared" si="68"/>
        <v>86.927078715050143</v>
      </c>
      <c r="S175" s="47">
        <f t="shared" si="68"/>
        <v>100</v>
      </c>
      <c r="T175" s="47">
        <f t="shared" si="68"/>
        <v>93.830625492451418</v>
      </c>
      <c r="U175" s="47">
        <f t="shared" si="68"/>
        <v>74.229245250000005</v>
      </c>
      <c r="V175" s="47">
        <f t="shared" si="68"/>
        <v>58.499304999999666</v>
      </c>
    </row>
    <row r="176" spans="2:22" x14ac:dyDescent="0.2">
      <c r="B176" s="34"/>
      <c r="C176" s="76" t="s">
        <v>44</v>
      </c>
      <c r="D176" s="46">
        <f t="shared" ref="D176:V176" si="69">+IFERROR(IF(D148&gt;0,+((D148/D23)*100)," "),"")</f>
        <v>96.233220528942027</v>
      </c>
      <c r="E176" s="46">
        <f t="shared" si="69"/>
        <v>79.613353498251954</v>
      </c>
      <c r="F176" s="46">
        <f t="shared" si="69"/>
        <v>66.416856833996007</v>
      </c>
      <c r="G176" s="46">
        <f t="shared" si="69"/>
        <v>96.886524698645189</v>
      </c>
      <c r="H176" s="46">
        <f t="shared" si="69"/>
        <v>95.432744691523155</v>
      </c>
      <c r="I176" s="46">
        <f t="shared" si="69"/>
        <v>57.225493356137072</v>
      </c>
      <c r="J176" s="46">
        <f t="shared" si="69"/>
        <v>27.000432483302976</v>
      </c>
      <c r="K176" s="46" t="str">
        <f t="shared" si="69"/>
        <v xml:space="preserve"> </v>
      </c>
      <c r="L176" s="46">
        <f t="shared" si="69"/>
        <v>55.389531454283045</v>
      </c>
      <c r="M176" s="46">
        <f t="shared" si="69"/>
        <v>64.832718320687249</v>
      </c>
      <c r="N176" s="46">
        <f t="shared" si="69"/>
        <v>64.784324956159679</v>
      </c>
      <c r="O176" s="46">
        <f t="shared" si="69"/>
        <v>57.829922875953656</v>
      </c>
      <c r="P176" s="46">
        <f t="shared" si="69"/>
        <v>87.695984857142847</v>
      </c>
      <c r="Q176" s="46">
        <f t="shared" si="69"/>
        <v>98.826360228198865</v>
      </c>
      <c r="R176" s="46">
        <f t="shared" si="69"/>
        <v>92.261600655589476</v>
      </c>
      <c r="S176" s="46">
        <f t="shared" si="69"/>
        <v>99.999995798477116</v>
      </c>
      <c r="T176" s="46">
        <f t="shared" si="69"/>
        <v>99.999558267516377</v>
      </c>
      <c r="U176" s="46">
        <f t="shared" si="69"/>
        <v>98.80345135325696</v>
      </c>
      <c r="V176" s="46">
        <f t="shared" si="69"/>
        <v>97.445890507302394</v>
      </c>
    </row>
    <row r="177" spans="2:22" x14ac:dyDescent="0.2">
      <c r="B177" s="32"/>
      <c r="C177" s="77" t="s">
        <v>60</v>
      </c>
      <c r="D177" s="47">
        <f t="shared" ref="D177:V177" si="70">+IFERROR(IF(D149&gt;0,+((D149/D24)*100)," "),"")</f>
        <v>95.160962928247656</v>
      </c>
      <c r="E177" s="47">
        <f t="shared" si="70"/>
        <v>84.337830713386339</v>
      </c>
      <c r="F177" s="47">
        <f t="shared" si="70"/>
        <v>79.939050536217891</v>
      </c>
      <c r="G177" s="47">
        <f t="shared" si="70"/>
        <v>99.554180906877647</v>
      </c>
      <c r="H177" s="47">
        <f t="shared" si="70"/>
        <v>96.489142134896127</v>
      </c>
      <c r="I177" s="47">
        <f t="shared" si="70"/>
        <v>57.924581641411741</v>
      </c>
      <c r="J177" s="47">
        <f t="shared" si="70"/>
        <v>28.532028758911217</v>
      </c>
      <c r="K177" s="47" t="str">
        <f t="shared" si="70"/>
        <v xml:space="preserve"> </v>
      </c>
      <c r="L177" s="47">
        <f t="shared" si="70"/>
        <v>71.727494613016702</v>
      </c>
      <c r="M177" s="47">
        <f t="shared" si="70"/>
        <v>81.259833210241254</v>
      </c>
      <c r="N177" s="47">
        <f t="shared" si="70"/>
        <v>70.217977630322878</v>
      </c>
      <c r="O177" s="47">
        <f t="shared" si="70"/>
        <v>70.981850929272156</v>
      </c>
      <c r="P177" s="47">
        <f t="shared" si="70"/>
        <v>86.031944426424474</v>
      </c>
      <c r="Q177" s="47">
        <f t="shared" si="70"/>
        <v>98.600504243773472</v>
      </c>
      <c r="R177" s="47">
        <f t="shared" si="70"/>
        <v>99.999999864919644</v>
      </c>
      <c r="S177" s="47">
        <f t="shared" si="70"/>
        <v>99.999995362392283</v>
      </c>
      <c r="T177" s="47">
        <f t="shared" si="70"/>
        <v>99.999999978595469</v>
      </c>
      <c r="U177" s="47">
        <f t="shared" si="70"/>
        <v>98.784307730717799</v>
      </c>
      <c r="V177" s="47">
        <f t="shared" si="70"/>
        <v>99.993914827152764</v>
      </c>
    </row>
    <row r="178" spans="2:22" x14ac:dyDescent="0.2">
      <c r="B178" s="32"/>
      <c r="C178" s="77" t="s">
        <v>61</v>
      </c>
      <c r="D178" s="47">
        <f t="shared" ref="D178:V178" si="71">+IFERROR(IF(D150&gt;0,+((D150/D25)*100)," "),"")</f>
        <v>98.938222141866589</v>
      </c>
      <c r="E178" s="47">
        <f t="shared" si="71"/>
        <v>78.653641479664259</v>
      </c>
      <c r="F178" s="47">
        <f t="shared" si="71"/>
        <v>48.990523393342649</v>
      </c>
      <c r="G178" s="47">
        <f t="shared" si="71"/>
        <v>90.471818665464795</v>
      </c>
      <c r="H178" s="47">
        <f t="shared" si="71"/>
        <v>92.611687020558151</v>
      </c>
      <c r="I178" s="47">
        <f t="shared" si="71"/>
        <v>55.256239981464297</v>
      </c>
      <c r="J178" s="47">
        <f t="shared" si="71"/>
        <v>22.418264663111973</v>
      </c>
      <c r="K178" s="47" t="str">
        <f t="shared" si="71"/>
        <v xml:space="preserve"> </v>
      </c>
      <c r="L178" s="47" t="str">
        <f t="shared" si="71"/>
        <v xml:space="preserve"> </v>
      </c>
      <c r="M178" s="47">
        <f t="shared" si="71"/>
        <v>58.709014316523664</v>
      </c>
      <c r="N178" s="47">
        <f t="shared" si="71"/>
        <v>43.148164632764122</v>
      </c>
      <c r="O178" s="47">
        <f t="shared" si="71"/>
        <v>1.8710329489291546</v>
      </c>
      <c r="P178" s="47">
        <f t="shared" si="71"/>
        <v>99.998710631494831</v>
      </c>
      <c r="Q178" s="47">
        <f t="shared" si="71"/>
        <v>99.984154065620558</v>
      </c>
      <c r="R178" s="47">
        <f t="shared" si="71"/>
        <v>52.588907202216063</v>
      </c>
      <c r="S178" s="47">
        <f t="shared" si="71"/>
        <v>100</v>
      </c>
      <c r="T178" s="47">
        <f t="shared" si="71"/>
        <v>99.996171373408316</v>
      </c>
      <c r="U178" s="47">
        <f t="shared" si="71"/>
        <v>98.973037235387054</v>
      </c>
      <c r="V178" s="47">
        <f t="shared" si="71"/>
        <v>76.304730684495865</v>
      </c>
    </row>
    <row r="179" spans="2:22" x14ac:dyDescent="0.2">
      <c r="B179" s="34" t="s">
        <v>45</v>
      </c>
      <c r="C179" s="76" t="s">
        <v>46</v>
      </c>
      <c r="D179" s="46">
        <f t="shared" ref="D179:V179" si="72">+IFERROR(IF(D151&gt;0,+((D151/D26)*100)," "),"")</f>
        <v>66.706236590747309</v>
      </c>
      <c r="E179" s="46">
        <f t="shared" si="72"/>
        <v>72.187385134014377</v>
      </c>
      <c r="F179" s="46">
        <f t="shared" si="72"/>
        <v>64.099136331959997</v>
      </c>
      <c r="G179" s="46">
        <f t="shared" si="72"/>
        <v>69.710130385713413</v>
      </c>
      <c r="H179" s="46">
        <f t="shared" si="72"/>
        <v>68.494279177600816</v>
      </c>
      <c r="I179" s="46">
        <f t="shared" si="72"/>
        <v>66.92607250950195</v>
      </c>
      <c r="J179" s="46">
        <f t="shared" si="72"/>
        <v>70.824889428571808</v>
      </c>
      <c r="K179" s="46">
        <f t="shared" si="72"/>
        <v>73.297379148943691</v>
      </c>
      <c r="L179" s="46">
        <f t="shared" si="72"/>
        <v>79.564379286736582</v>
      </c>
      <c r="M179" s="46">
        <f t="shared" si="72"/>
        <v>79.58070362573801</v>
      </c>
      <c r="N179" s="46">
        <f t="shared" si="72"/>
        <v>74.768495420080626</v>
      </c>
      <c r="O179" s="46">
        <f t="shared" si="72"/>
        <v>62.737724579107059</v>
      </c>
      <c r="P179" s="46">
        <f t="shared" si="72"/>
        <v>74.614776172032009</v>
      </c>
      <c r="Q179" s="46">
        <f t="shared" si="72"/>
        <v>81.313763804677819</v>
      </c>
      <c r="R179" s="46">
        <f t="shared" si="72"/>
        <v>77.006702586635498</v>
      </c>
      <c r="S179" s="46">
        <f t="shared" si="72"/>
        <v>75.069724535706257</v>
      </c>
      <c r="T179" s="46">
        <f t="shared" si="72"/>
        <v>78.276619491060544</v>
      </c>
      <c r="U179" s="46">
        <f t="shared" si="72"/>
        <v>76.050903167496998</v>
      </c>
      <c r="V179" s="46">
        <f t="shared" si="72"/>
        <v>84.430104075100161</v>
      </c>
    </row>
    <row r="180" spans="2:22" x14ac:dyDescent="0.2">
      <c r="B180" s="36" t="s">
        <v>47</v>
      </c>
      <c r="C180" s="78" t="s">
        <v>48</v>
      </c>
      <c r="D180" s="48">
        <f t="shared" ref="D180:V180" si="73">+IFERROR(IF(D152&gt;0,+((D152/D27)*100)," "),"")</f>
        <v>69.652560943080971</v>
      </c>
      <c r="E180" s="48">
        <f t="shared" si="73"/>
        <v>72.859159324641411</v>
      </c>
      <c r="F180" s="48">
        <f t="shared" si="73"/>
        <v>68.963953331441971</v>
      </c>
      <c r="G180" s="48">
        <f t="shared" si="73"/>
        <v>73.141350870396053</v>
      </c>
      <c r="H180" s="48">
        <f t="shared" si="73"/>
        <v>75.517540398428835</v>
      </c>
      <c r="I180" s="48">
        <f t="shared" si="73"/>
        <v>78.581304483473133</v>
      </c>
      <c r="J180" s="48">
        <f t="shared" si="73"/>
        <v>69.923420478542823</v>
      </c>
      <c r="K180" s="48">
        <f t="shared" si="73"/>
        <v>74.344003628516248</v>
      </c>
      <c r="L180" s="48">
        <f t="shared" si="73"/>
        <v>80.004480742062327</v>
      </c>
      <c r="M180" s="48">
        <f t="shared" si="73"/>
        <v>78.606944845983477</v>
      </c>
      <c r="N180" s="48">
        <f t="shared" si="73"/>
        <v>77.443271509908769</v>
      </c>
      <c r="O180" s="48">
        <f t="shared" si="73"/>
        <v>68.294679732248525</v>
      </c>
      <c r="P180" s="48">
        <f t="shared" si="73"/>
        <v>75.811745800292002</v>
      </c>
      <c r="Q180" s="48">
        <f t="shared" si="73"/>
        <v>79.276658590371369</v>
      </c>
      <c r="R180" s="48">
        <f t="shared" si="73"/>
        <v>78.93995928689634</v>
      </c>
      <c r="S180" s="48">
        <f t="shared" si="73"/>
        <v>79.160048740503029</v>
      </c>
      <c r="T180" s="48">
        <f t="shared" si="73"/>
        <v>82.309420476977181</v>
      </c>
      <c r="U180" s="48">
        <f t="shared" si="73"/>
        <v>81.431105301915565</v>
      </c>
      <c r="V180" s="48">
        <f t="shared" si="73"/>
        <v>84.807822629714607</v>
      </c>
    </row>
    <row r="181" spans="2:22" x14ac:dyDescent="0.2">
      <c r="B181" s="38" t="s">
        <v>49</v>
      </c>
      <c r="C181" s="79" t="s">
        <v>63</v>
      </c>
      <c r="D181" s="45">
        <f t="shared" ref="D181:V181" si="74">+IFERROR(IF(D153&gt;0,+((D153/D28)*100)," "),"")</f>
        <v>69.863008605283369</v>
      </c>
      <c r="E181" s="45">
        <f t="shared" si="74"/>
        <v>72.870618362836865</v>
      </c>
      <c r="F181" s="45">
        <f t="shared" si="74"/>
        <v>68.972303292829338</v>
      </c>
      <c r="G181" s="45">
        <f t="shared" si="74"/>
        <v>73.163998975193252</v>
      </c>
      <c r="H181" s="45">
        <f t="shared" si="74"/>
        <v>75.527416549304789</v>
      </c>
      <c r="I181" s="45">
        <f t="shared" si="74"/>
        <v>78.572813431233442</v>
      </c>
      <c r="J181" s="45">
        <f t="shared" si="74"/>
        <v>69.91190278415182</v>
      </c>
      <c r="K181" s="45">
        <f t="shared" si="74"/>
        <v>74.32923866520305</v>
      </c>
      <c r="L181" s="45">
        <f t="shared" si="74"/>
        <v>79.996553563116379</v>
      </c>
      <c r="M181" s="45">
        <f t="shared" si="74"/>
        <v>78.603732127428486</v>
      </c>
      <c r="N181" s="45">
        <f t="shared" si="74"/>
        <v>77.438168437293783</v>
      </c>
      <c r="O181" s="45">
        <f t="shared" si="74"/>
        <v>68.292093892574186</v>
      </c>
      <c r="P181" s="45">
        <f t="shared" si="74"/>
        <v>75.812824670262444</v>
      </c>
      <c r="Q181" s="45">
        <f t="shared" si="74"/>
        <v>79.276001562477489</v>
      </c>
      <c r="R181" s="45">
        <f t="shared" si="74"/>
        <v>78.941233916354008</v>
      </c>
      <c r="S181" s="45">
        <f t="shared" si="74"/>
        <v>79.162719477076521</v>
      </c>
      <c r="T181" s="45">
        <f t="shared" si="74"/>
        <v>82.311117791171498</v>
      </c>
      <c r="U181" s="45">
        <f t="shared" si="74"/>
        <v>81.432605679876076</v>
      </c>
      <c r="V181" s="45">
        <f t="shared" si="74"/>
        <v>84.808870270792866</v>
      </c>
    </row>
    <row r="182" spans="2:22" x14ac:dyDescent="0.2">
      <c r="B182" s="1" t="s">
        <v>52</v>
      </c>
      <c r="C182" s="15"/>
      <c r="D182" s="12"/>
      <c r="E182" s="12"/>
      <c r="F182" s="12"/>
      <c r="G182" s="12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</sheetData>
  <mergeCells count="179">
    <mergeCell ref="B12:B13"/>
    <mergeCell ref="C137:C138"/>
    <mergeCell ref="B11:V11"/>
    <mergeCell ref="B165:B166"/>
    <mergeCell ref="T165:T166"/>
    <mergeCell ref="L12:L13"/>
    <mergeCell ref="Q64:Q65"/>
    <mergeCell ref="V165:V166"/>
    <mergeCell ref="N12:N13"/>
    <mergeCell ref="T87:T88"/>
    <mergeCell ref="M165:M166"/>
    <mergeCell ref="E12:E13"/>
    <mergeCell ref="O165:O166"/>
    <mergeCell ref="G12:G13"/>
    <mergeCell ref="D163:V163"/>
    <mergeCell ref="G165:G166"/>
    <mergeCell ref="E64:E65"/>
    <mergeCell ref="E38:E39"/>
    <mergeCell ref="P165:P166"/>
    <mergeCell ref="R165:R166"/>
    <mergeCell ref="U137:U138"/>
    <mergeCell ref="F137:F138"/>
    <mergeCell ref="H137:H138"/>
    <mergeCell ref="D12:D13"/>
    <mergeCell ref="S87:S88"/>
    <mergeCell ref="H12:H13"/>
    <mergeCell ref="J12:J13"/>
    <mergeCell ref="I38:I39"/>
    <mergeCell ref="P87:P88"/>
    <mergeCell ref="L6:L7"/>
    <mergeCell ref="D111:V111"/>
    <mergeCell ref="P6:P7"/>
    <mergeCell ref="R6:R7"/>
    <mergeCell ref="E87:E88"/>
    <mergeCell ref="R12:R13"/>
    <mergeCell ref="Q38:Q39"/>
    <mergeCell ref="G87:G88"/>
    <mergeCell ref="T12:T13"/>
    <mergeCell ref="S38:S39"/>
    <mergeCell ref="T64:T65"/>
    <mergeCell ref="B37:V37"/>
    <mergeCell ref="D87:D88"/>
    <mergeCell ref="L38:L39"/>
    <mergeCell ref="N38:N39"/>
    <mergeCell ref="B64:B65"/>
    <mergeCell ref="D64:D65"/>
    <mergeCell ref="F64:F65"/>
    <mergeCell ref="N6:N7"/>
    <mergeCell ref="V12:V13"/>
    <mergeCell ref="C87:C88"/>
    <mergeCell ref="S113:S114"/>
    <mergeCell ref="U113:U114"/>
    <mergeCell ref="P64:P65"/>
    <mergeCell ref="R64:R65"/>
    <mergeCell ref="J64:J65"/>
    <mergeCell ref="A7:C7"/>
    <mergeCell ref="P38:P39"/>
    <mergeCell ref="V87:V88"/>
    <mergeCell ref="C12:C13"/>
    <mergeCell ref="V113:V114"/>
    <mergeCell ref="D6:D7"/>
    <mergeCell ref="F6:F7"/>
    <mergeCell ref="F12:F13"/>
    <mergeCell ref="I6:I7"/>
    <mergeCell ref="K6:K7"/>
    <mergeCell ref="Q12:Q13"/>
    <mergeCell ref="V64:V65"/>
    <mergeCell ref="S12:S13"/>
    <mergeCell ref="U6:U7"/>
    <mergeCell ref="T38:T39"/>
    <mergeCell ref="V38:V39"/>
    <mergeCell ref="C38:C39"/>
    <mergeCell ref="C64:C65"/>
    <mergeCell ref="O87:O88"/>
    <mergeCell ref="Q87:Q88"/>
    <mergeCell ref="L165:L166"/>
    <mergeCell ref="I113:I114"/>
    <mergeCell ref="N165:N166"/>
    <mergeCell ref="K113:K114"/>
    <mergeCell ref="Q165:Q166"/>
    <mergeCell ref="I165:I166"/>
    <mergeCell ref="L137:L138"/>
    <mergeCell ref="I87:I88"/>
    <mergeCell ref="M137:M138"/>
    <mergeCell ref="O137:O138"/>
    <mergeCell ref="D85:V85"/>
    <mergeCell ref="J113:J114"/>
    <mergeCell ref="L113:L114"/>
    <mergeCell ref="G64:G65"/>
    <mergeCell ref="E137:E138"/>
    <mergeCell ref="G137:G138"/>
    <mergeCell ref="S137:S138"/>
    <mergeCell ref="J137:J138"/>
    <mergeCell ref="V137:V138"/>
    <mergeCell ref="E113:E114"/>
    <mergeCell ref="T137:T138"/>
    <mergeCell ref="R87:R88"/>
    <mergeCell ref="E165:E166"/>
    <mergeCell ref="G38:G39"/>
    <mergeCell ref="J87:J88"/>
    <mergeCell ref="L87:L88"/>
    <mergeCell ref="F113:F114"/>
    <mergeCell ref="D165:D166"/>
    <mergeCell ref="F165:F166"/>
    <mergeCell ref="G113:G114"/>
    <mergeCell ref="D38:D39"/>
    <mergeCell ref="J165:J166"/>
    <mergeCell ref="B38:B39"/>
    <mergeCell ref="V6:V7"/>
    <mergeCell ref="O113:O114"/>
    <mergeCell ref="Q113:Q114"/>
    <mergeCell ref="L64:L65"/>
    <mergeCell ref="I12:I13"/>
    <mergeCell ref="N64:N65"/>
    <mergeCell ref="K12:K13"/>
    <mergeCell ref="U165:U166"/>
    <mergeCell ref="M12:M13"/>
    <mergeCell ref="R113:R114"/>
    <mergeCell ref="G6:G7"/>
    <mergeCell ref="O12:O13"/>
    <mergeCell ref="U87:U88"/>
    <mergeCell ref="Q6:Q7"/>
    <mergeCell ref="O64:O65"/>
    <mergeCell ref="T113:T114"/>
    <mergeCell ref="S6:S7"/>
    <mergeCell ref="S64:S65"/>
    <mergeCell ref="D36:V36"/>
    <mergeCell ref="P12:P13"/>
    <mergeCell ref="U64:U65"/>
    <mergeCell ref="T6:T7"/>
    <mergeCell ref="I137:I138"/>
    <mergeCell ref="C165:C166"/>
    <mergeCell ref="K38:K39"/>
    <mergeCell ref="K87:K88"/>
    <mergeCell ref="M87:M88"/>
    <mergeCell ref="H87:H88"/>
    <mergeCell ref="D4:V4"/>
    <mergeCell ref="H6:H7"/>
    <mergeCell ref="M113:M114"/>
    <mergeCell ref="J6:J7"/>
    <mergeCell ref="H64:H65"/>
    <mergeCell ref="D62:V62"/>
    <mergeCell ref="K137:K138"/>
    <mergeCell ref="U38:U39"/>
    <mergeCell ref="M38:M39"/>
    <mergeCell ref="H113:H114"/>
    <mergeCell ref="O38:O39"/>
    <mergeCell ref="D135:V135"/>
    <mergeCell ref="H165:H166"/>
    <mergeCell ref="F87:F88"/>
    <mergeCell ref="R137:R138"/>
    <mergeCell ref="R38:R39"/>
    <mergeCell ref="H38:H39"/>
    <mergeCell ref="C113:C114"/>
    <mergeCell ref="J38:J39"/>
    <mergeCell ref="D2:V2"/>
    <mergeCell ref="B113:B114"/>
    <mergeCell ref="D113:D114"/>
    <mergeCell ref="A5:C6"/>
    <mergeCell ref="N113:N114"/>
    <mergeCell ref="S165:S166"/>
    <mergeCell ref="P113:P114"/>
    <mergeCell ref="K64:K65"/>
    <mergeCell ref="O6:O7"/>
    <mergeCell ref="M64:M65"/>
    <mergeCell ref="K165:K166"/>
    <mergeCell ref="M6:M7"/>
    <mergeCell ref="E6:E7"/>
    <mergeCell ref="U12:U13"/>
    <mergeCell ref="Q137:Q138"/>
    <mergeCell ref="B137:B138"/>
    <mergeCell ref="D137:D138"/>
    <mergeCell ref="D10:V10"/>
    <mergeCell ref="B87:B88"/>
    <mergeCell ref="N137:N138"/>
    <mergeCell ref="P137:P138"/>
    <mergeCell ref="F38:F39"/>
    <mergeCell ref="N87:N88"/>
    <mergeCell ref="I64:I65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V134"/>
  <sheetViews>
    <sheetView showGridLines="0" zoomScaleNormal="100" workbookViewId="0">
      <pane xSplit="3" ySplit="7" topLeftCell="D113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112" sqref="K112:K130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1" width="9.7109375" style="5" customWidth="1"/>
    <col min="12" max="12" width="10.7109375" style="5" customWidth="1"/>
    <col min="13" max="19" width="10.7109375" style="109" customWidth="1"/>
    <col min="20" max="33" width="10.7109375" style="3" customWidth="1"/>
    <col min="34" max="34" width="11.42578125" style="3" customWidth="1"/>
    <col min="35" max="16384" width="11.42578125" style="3"/>
  </cols>
  <sheetData>
    <row r="1" spans="1:22" ht="16.5" customHeight="1" x14ac:dyDescent="0.2"/>
    <row r="2" spans="1:22" ht="16.5" customHeight="1" x14ac:dyDescent="0.2">
      <c r="D2" s="163"/>
      <c r="E2" s="160"/>
      <c r="F2" s="160"/>
      <c r="G2" s="160"/>
      <c r="H2" s="160"/>
      <c r="I2" s="160"/>
      <c r="J2" s="160"/>
      <c r="K2" s="170"/>
      <c r="L2" s="170"/>
      <c r="M2" s="171"/>
      <c r="N2" s="171"/>
      <c r="O2" s="171"/>
      <c r="P2" s="171"/>
      <c r="Q2" s="171"/>
      <c r="R2" s="171"/>
      <c r="S2" s="171"/>
      <c r="T2" s="160"/>
    </row>
    <row r="3" spans="1:22" s="101" customFormat="1" ht="16.5" customHeight="1" x14ac:dyDescent="0.25">
      <c r="A3" s="122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s="101" customFormat="1" ht="16.5" customHeight="1" x14ac:dyDescent="0.25">
      <c r="A4" s="122"/>
      <c r="D4" s="165"/>
      <c r="E4" s="172"/>
      <c r="F4" s="172"/>
      <c r="G4" s="172"/>
      <c r="H4" s="172"/>
      <c r="I4" s="172"/>
      <c r="J4" s="172"/>
      <c r="K4" s="172"/>
      <c r="L4" s="133"/>
      <c r="M4" s="165"/>
      <c r="N4" s="172"/>
      <c r="O4" s="172"/>
      <c r="P4" s="172"/>
      <c r="Q4" s="172"/>
      <c r="R4" s="172"/>
      <c r="S4" s="172"/>
      <c r="T4" s="172"/>
      <c r="U4" s="133"/>
      <c r="V4" s="133"/>
    </row>
    <row r="5" spans="1:22" s="101" customFormat="1" ht="16.5" customHeight="1" x14ac:dyDescent="0.25">
      <c r="A5" s="169" t="s">
        <v>5</v>
      </c>
      <c r="B5" s="172"/>
      <c r="C5" s="172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  <c r="U5" s="133"/>
    </row>
    <row r="6" spans="1:22" s="101" customFormat="1" ht="16.5" customHeight="1" x14ac:dyDescent="0.25">
      <c r="A6" s="172"/>
      <c r="B6" s="172"/>
      <c r="C6" s="172"/>
      <c r="D6" s="157">
        <v>2019</v>
      </c>
      <c r="E6" s="157">
        <v>2020</v>
      </c>
      <c r="F6" s="157">
        <v>2021</v>
      </c>
      <c r="G6" s="157">
        <v>2022</v>
      </c>
      <c r="H6" s="157">
        <v>2023</v>
      </c>
      <c r="I6" s="157">
        <v>2024</v>
      </c>
      <c r="J6" s="157">
        <v>2025</v>
      </c>
      <c r="K6" s="157" t="s">
        <v>36</v>
      </c>
      <c r="L6" s="157"/>
      <c r="M6" s="157">
        <v>2019</v>
      </c>
      <c r="N6" s="157">
        <v>2020</v>
      </c>
      <c r="O6" s="157">
        <v>2021</v>
      </c>
      <c r="P6" s="157">
        <v>2022</v>
      </c>
      <c r="Q6" s="157">
        <v>2023</v>
      </c>
      <c r="R6" s="157">
        <v>2024</v>
      </c>
      <c r="S6" s="157">
        <v>2025</v>
      </c>
      <c r="T6" s="157" t="s">
        <v>36</v>
      </c>
      <c r="U6" s="157"/>
      <c r="V6" s="157"/>
    </row>
    <row r="7" spans="1:22" s="101" customFormat="1" ht="16.5" customHeight="1" x14ac:dyDescent="0.25">
      <c r="A7" s="166" t="s">
        <v>227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</row>
    <row r="8" spans="1:22" s="101" customFormat="1" ht="16.5" customHeight="1" x14ac:dyDescent="0.25">
      <c r="A8" s="97"/>
      <c r="K8" s="118"/>
      <c r="L8" s="118"/>
      <c r="M8" s="110"/>
      <c r="N8" s="110"/>
      <c r="O8" s="110"/>
      <c r="P8" s="110"/>
      <c r="Q8" s="110"/>
      <c r="R8" s="110"/>
      <c r="S8" s="110"/>
    </row>
    <row r="9" spans="1:22" ht="16.5" customHeight="1" x14ac:dyDescent="0.2">
      <c r="C9" s="131"/>
      <c r="D9" s="164" t="s">
        <v>90</v>
      </c>
      <c r="E9" s="160"/>
      <c r="F9" s="160"/>
      <c r="G9" s="160"/>
      <c r="H9" s="160"/>
      <c r="I9" s="160"/>
      <c r="J9" s="160"/>
      <c r="K9" s="170"/>
      <c r="L9" s="170"/>
      <c r="M9" s="171"/>
      <c r="N9" s="171"/>
      <c r="O9" s="171"/>
      <c r="P9" s="171"/>
      <c r="Q9" s="171"/>
      <c r="R9" s="171"/>
      <c r="S9" s="171"/>
      <c r="T9" s="160"/>
    </row>
    <row r="10" spans="1:22" ht="15.75" customHeight="1" x14ac:dyDescent="0.2">
      <c r="C10" s="2"/>
      <c r="D10" s="159"/>
      <c r="E10" s="160"/>
      <c r="F10" s="160"/>
      <c r="G10" s="160"/>
      <c r="H10" s="160"/>
      <c r="I10" s="160"/>
      <c r="J10" s="160"/>
      <c r="K10" s="170"/>
      <c r="M10" s="111"/>
    </row>
    <row r="11" spans="1:22" ht="15.75" customHeight="1" thickBot="1" x14ac:dyDescent="0.3">
      <c r="C11" s="2"/>
      <c r="D11" s="173"/>
      <c r="E11" s="156"/>
      <c r="F11" s="156"/>
      <c r="G11" s="156"/>
      <c r="H11" s="156"/>
      <c r="I11" s="156"/>
      <c r="J11" s="156"/>
      <c r="K11" s="156"/>
      <c r="M11" s="173" t="s">
        <v>91</v>
      </c>
      <c r="N11" s="156"/>
      <c r="O11" s="156"/>
      <c r="P11" s="156"/>
      <c r="Q11" s="156"/>
      <c r="R11" s="156"/>
      <c r="S11" s="156"/>
      <c r="T11" s="156"/>
    </row>
    <row r="12" spans="1:22" ht="13.5" customHeight="1" x14ac:dyDescent="0.2">
      <c r="B12" s="167"/>
      <c r="C12" s="161" t="s">
        <v>38</v>
      </c>
      <c r="D12" s="155">
        <v>2019</v>
      </c>
      <c r="E12" s="155">
        <v>2020</v>
      </c>
      <c r="F12" s="155">
        <v>2021</v>
      </c>
      <c r="G12" s="155">
        <v>2022</v>
      </c>
      <c r="H12" s="155">
        <v>2023</v>
      </c>
      <c r="I12" s="155">
        <v>2024</v>
      </c>
      <c r="J12" s="155">
        <v>2025</v>
      </c>
      <c r="K12" s="155" t="s">
        <v>36</v>
      </c>
      <c r="L12" s="114"/>
      <c r="M12" s="155">
        <v>2019</v>
      </c>
      <c r="N12" s="155">
        <v>2020</v>
      </c>
      <c r="O12" s="155">
        <v>2021</v>
      </c>
      <c r="P12" s="155">
        <v>2022</v>
      </c>
      <c r="Q12" s="155">
        <v>2023</v>
      </c>
      <c r="R12" s="155">
        <v>2024</v>
      </c>
      <c r="S12" s="155">
        <v>2025</v>
      </c>
      <c r="T12" s="155" t="s">
        <v>36</v>
      </c>
    </row>
    <row r="13" spans="1:22" ht="12" customHeight="1" thickBot="1" x14ac:dyDescent="0.25">
      <c r="B13" s="156"/>
      <c r="C13" s="162"/>
      <c r="D13" s="156"/>
      <c r="E13" s="156"/>
      <c r="F13" s="156"/>
      <c r="G13" s="156"/>
      <c r="H13" s="156"/>
      <c r="I13" s="156"/>
      <c r="J13" s="156"/>
      <c r="K13" s="156"/>
      <c r="L13" s="114"/>
      <c r="M13" s="156"/>
      <c r="N13" s="156"/>
      <c r="O13" s="156"/>
      <c r="P13" s="156"/>
      <c r="Q13" s="156"/>
      <c r="R13" s="156"/>
      <c r="S13" s="156"/>
      <c r="T13" s="156"/>
    </row>
    <row r="14" spans="1:22" x14ac:dyDescent="0.2">
      <c r="B14" s="34" t="s">
        <v>39</v>
      </c>
      <c r="C14" s="76" t="s">
        <v>40</v>
      </c>
      <c r="D14" s="103">
        <f t="shared" ref="D14:K14" si="0">+SUM(D15:D21)</f>
        <v>243689.19390036841</v>
      </c>
      <c r="E14" s="103">
        <f t="shared" si="0"/>
        <v>324267.69021587999</v>
      </c>
      <c r="F14" s="103">
        <f t="shared" si="0"/>
        <v>309972.81704565452</v>
      </c>
      <c r="G14" s="103">
        <f t="shared" si="0"/>
        <v>270725.0445539974</v>
      </c>
      <c r="H14" s="103">
        <f t="shared" si="0"/>
        <v>306381.75164101453</v>
      </c>
      <c r="I14" s="103">
        <f t="shared" si="0"/>
        <v>323360.56091667817</v>
      </c>
      <c r="J14" s="103">
        <f t="shared" si="0"/>
        <v>339045.11882389523</v>
      </c>
      <c r="K14" s="103">
        <f t="shared" si="0"/>
        <v>365896.52916753798</v>
      </c>
      <c r="L14" s="117"/>
      <c r="M14" s="119">
        <f t="shared" ref="M14:M34" si="1">+(D14/D$34)*100</f>
        <v>62.568512922472408</v>
      </c>
      <c r="N14" s="119">
        <f t="shared" ref="N14:N34" si="2">+(E14/E$34)*100</f>
        <v>68.508633036336533</v>
      </c>
      <c r="O14" s="119">
        <f t="shared" ref="O14:O34" si="3">+(F14/F$34)*100</f>
        <v>62.180079218568572</v>
      </c>
      <c r="P14" s="119">
        <f t="shared" ref="P14:P34" si="4">+(G14/G$34)*100</f>
        <v>59.919644343062771</v>
      </c>
      <c r="Q14" s="119">
        <f t="shared" ref="Q14:Q34" si="5">+(H14/H$34)*100</f>
        <v>61.75630897226263</v>
      </c>
      <c r="R14" s="119">
        <f t="shared" ref="R14:R34" si="6">+(I14/I$34)*100</f>
        <v>61.06128805120288</v>
      </c>
      <c r="S14" s="119">
        <f t="shared" ref="S14:S34" si="7">+(J14/J$34)*100</f>
        <v>62.638074809414569</v>
      </c>
      <c r="T14" s="119">
        <f t="shared" ref="T14:T34" si="8">+(K14/K$34)*100</f>
        <v>65.83023833000226</v>
      </c>
    </row>
    <row r="15" spans="1:22" x14ac:dyDescent="0.2">
      <c r="B15" s="40"/>
      <c r="C15" s="77" t="s">
        <v>92</v>
      </c>
      <c r="D15" s="104">
        <f>+'C6 Ejec. Nac 19-26'!D15+'C7 Ejec. Prop 19-26'!D15</f>
        <v>48678.568139594587</v>
      </c>
      <c r="E15" s="104">
        <f>+'C6 Ejec. Nac 19-26'!E15+'C7 Ejec. Prop 19-26'!E15</f>
        <v>50569.797703134849</v>
      </c>
      <c r="F15" s="104">
        <f>+'C6 Ejec. Nac 19-26'!F15+'C7 Ejec. Prop 19-26'!F15</f>
        <v>50944.125472100495</v>
      </c>
      <c r="G15" s="104">
        <f>+'C6 Ejec. Nac 19-26'!G15+'C7 Ejec. Prop 19-26'!G15</f>
        <v>49527.845600113389</v>
      </c>
      <c r="H15" s="104">
        <f>+'C6 Ejec. Nac 19-26'!H15+'C7 Ejec. Prop 19-26'!H15</f>
        <v>53232.30079238247</v>
      </c>
      <c r="I15" s="104">
        <f>+'C6 Ejec. Nac 19-26'!I15+'C7 Ejec. Prop 19-26'!I15</f>
        <v>56940.734596708302</v>
      </c>
      <c r="J15" s="104">
        <f>+'C6 Ejec. Nac 19-26'!J15+'C7 Ejec. Prop 19-26'!J15</f>
        <v>60884.240622595447</v>
      </c>
      <c r="K15" s="104">
        <f>66803.442260679*Deflactores!$AA$5</f>
        <v>66803.442260679003</v>
      </c>
      <c r="M15" s="109">
        <f t="shared" si="1"/>
        <v>12.498484528349342</v>
      </c>
      <c r="N15" s="109">
        <f t="shared" si="2"/>
        <v>10.683974438709521</v>
      </c>
      <c r="O15" s="109">
        <f t="shared" si="3"/>
        <v>10.219314673355207</v>
      </c>
      <c r="P15" s="109">
        <f t="shared" si="4"/>
        <v>10.96201091526647</v>
      </c>
      <c r="Q15" s="109">
        <f t="shared" si="5"/>
        <v>10.729850578342059</v>
      </c>
      <c r="R15" s="109">
        <f t="shared" si="6"/>
        <v>10.752314961355481</v>
      </c>
      <c r="S15" s="109">
        <f t="shared" si="7"/>
        <v>11.248271711038569</v>
      </c>
      <c r="T15" s="109">
        <f t="shared" si="8"/>
        <v>12.018934793643304</v>
      </c>
    </row>
    <row r="16" spans="1:22" x14ac:dyDescent="0.2">
      <c r="B16" s="40"/>
      <c r="C16" s="77" t="s">
        <v>93</v>
      </c>
      <c r="D16" s="104">
        <f>+'C6 Ejec. Nac 19-26'!D16+'C7 Ejec. Prop 19-26'!D16</f>
        <v>15106.764253954902</v>
      </c>
      <c r="E16" s="104">
        <f>+'C6 Ejec. Nac 19-26'!E16+'C7 Ejec. Prop 19-26'!E16</f>
        <v>15001.423805842547</v>
      </c>
      <c r="F16" s="104">
        <f>+'C6 Ejec. Nac 19-26'!F16+'C7 Ejec. Prop 19-26'!F16</f>
        <v>15839.505783033048</v>
      </c>
      <c r="G16" s="104">
        <f>+'C6 Ejec. Nac 19-26'!G16+'C7 Ejec. Prop 19-26'!G16</f>
        <v>17287.749651095382</v>
      </c>
      <c r="H16" s="104">
        <f>+'C6 Ejec. Nac 19-26'!H16+'C7 Ejec. Prop 19-26'!H16</f>
        <v>18686.15111327164</v>
      </c>
      <c r="I16" s="104">
        <f>+'C6 Ejec. Nac 19-26'!I16+'C7 Ejec. Prop 19-26'!I16</f>
        <v>18955.671624905972</v>
      </c>
      <c r="J16" s="104">
        <f>+'C6 Ejec. Nac 19-26'!J16+'C7 Ejec. Prop 19-26'!J16</f>
        <v>21462.288781265408</v>
      </c>
      <c r="K16" s="104">
        <f>20755.713962904*Deflactores!$AA$5</f>
        <v>20755.713962903999</v>
      </c>
      <c r="L16" s="6"/>
      <c r="M16" s="109">
        <f t="shared" si="1"/>
        <v>3.8787430797065494</v>
      </c>
      <c r="N16" s="109">
        <f t="shared" si="2"/>
        <v>3.1693784781728476</v>
      </c>
      <c r="O16" s="109">
        <f t="shared" si="3"/>
        <v>3.1773809515268177</v>
      </c>
      <c r="P16" s="109">
        <f t="shared" si="4"/>
        <v>3.8263021150927634</v>
      </c>
      <c r="Q16" s="109">
        <f t="shared" si="5"/>
        <v>3.7665027876911958</v>
      </c>
      <c r="R16" s="109">
        <f t="shared" si="6"/>
        <v>3.5794647374781241</v>
      </c>
      <c r="S16" s="109">
        <f t="shared" si="7"/>
        <v>3.9651255116887238</v>
      </c>
      <c r="T16" s="109">
        <f t="shared" si="8"/>
        <v>3.7342622516697759</v>
      </c>
    </row>
    <row r="17" spans="2:20" x14ac:dyDescent="0.2">
      <c r="B17" s="40"/>
      <c r="C17" s="77" t="s">
        <v>58</v>
      </c>
      <c r="D17" s="104">
        <f>+'C6 Ejec. Nac 19-26'!D17+'C7 Ejec. Prop 19-26'!D17</f>
        <v>175845.45572047451</v>
      </c>
      <c r="E17" s="104">
        <f>+'C6 Ejec. Nac 19-26'!E17+'C7 Ejec. Prop 19-26'!E17</f>
        <v>254442.41095938472</v>
      </c>
      <c r="F17" s="104">
        <f>+'C6 Ejec. Nac 19-26'!F17+'C7 Ejec. Prop 19-26'!F17</f>
        <v>236856.59877019905</v>
      </c>
      <c r="G17" s="104">
        <f>+'C6 Ejec. Nac 19-26'!G17+'C7 Ejec. Prop 19-26'!G17</f>
        <v>198769.57937609463</v>
      </c>
      <c r="H17" s="104">
        <f>+'C6 Ejec. Nac 19-26'!H17+'C7 Ejec. Prop 19-26'!H17</f>
        <v>229472.17587670646</v>
      </c>
      <c r="I17" s="104">
        <f>+'C6 Ejec. Nac 19-26'!I17+'C7 Ejec. Prop 19-26'!I17</f>
        <v>242605.88120414666</v>
      </c>
      <c r="J17" s="104">
        <f>+'C6 Ejec. Nac 19-26'!J17+'C7 Ejec. Prop 19-26'!J17</f>
        <v>252035.50299094949</v>
      </c>
      <c r="K17" s="104">
        <f>273662.416397392*Deflactores!$AA$5</f>
        <v>273662.41639739199</v>
      </c>
      <c r="L17" s="6"/>
      <c r="M17" s="109">
        <f t="shared" si="1"/>
        <v>45.149267772221577</v>
      </c>
      <c r="N17" s="109">
        <f t="shared" si="2"/>
        <v>53.756517492360288</v>
      </c>
      <c r="O17" s="109">
        <f t="shared" si="3"/>
        <v>47.513076195976574</v>
      </c>
      <c r="P17" s="109">
        <f t="shared" si="4"/>
        <v>43.993722568435032</v>
      </c>
      <c r="Q17" s="109">
        <f t="shared" si="5"/>
        <v>46.253912049513183</v>
      </c>
      <c r="R17" s="109">
        <f t="shared" si="6"/>
        <v>45.812103842000241</v>
      </c>
      <c r="S17" s="109">
        <f t="shared" si="7"/>
        <v>46.563179395529133</v>
      </c>
      <c r="T17" s="109">
        <f t="shared" si="8"/>
        <v>49.235946933937015</v>
      </c>
    </row>
    <row r="18" spans="2:20" x14ac:dyDescent="0.2">
      <c r="B18" s="40"/>
      <c r="C18" s="77" t="s">
        <v>94</v>
      </c>
      <c r="D18" s="104">
        <f>+'C6 Ejec. Nac 19-26'!D18+'C7 Ejec. Prop 19-26'!D18</f>
        <v>2253.9195203852532</v>
      </c>
      <c r="E18" s="104">
        <f>+'C6 Ejec. Nac 19-26'!E18+'C7 Ejec. Prop 19-26'!E18</f>
        <v>2063.7032798534974</v>
      </c>
      <c r="F18" s="104">
        <f>+'C6 Ejec. Nac 19-26'!F18+'C7 Ejec. Prop 19-26'!F18</f>
        <v>2617.844200421865</v>
      </c>
      <c r="G18" s="104">
        <f>+'C6 Ejec. Nac 19-26'!G18+'C7 Ejec. Prop 19-26'!G18</f>
        <v>2424.7454751473365</v>
      </c>
      <c r="H18" s="104">
        <f>+'C6 Ejec. Nac 19-26'!H18+'C7 Ejec. Prop 19-26'!H18</f>
        <v>2197.1922509234146</v>
      </c>
      <c r="I18" s="104">
        <f>+'C6 Ejec. Nac 19-26'!I18+'C7 Ejec. Prop 19-26'!I18</f>
        <v>2324.2847701612031</v>
      </c>
      <c r="J18" s="104">
        <f>+'C6 Ejec. Nac 19-26'!J18+'C7 Ejec. Prop 19-26'!J18</f>
        <v>2148.4901380700358</v>
      </c>
      <c r="K18" s="104">
        <f>2206.260261703*Deflactores!$AA$5</f>
        <v>2206.2602617030002</v>
      </c>
      <c r="L18" s="6"/>
      <c r="M18" s="109">
        <f t="shared" si="1"/>
        <v>0.57870597534618184</v>
      </c>
      <c r="N18" s="109">
        <f t="shared" si="2"/>
        <v>0.43600239851600125</v>
      </c>
      <c r="O18" s="109">
        <f t="shared" si="3"/>
        <v>0.52513559516454977</v>
      </c>
      <c r="P18" s="109">
        <f t="shared" si="4"/>
        <v>0.53666954504573139</v>
      </c>
      <c r="Q18" s="109">
        <f t="shared" si="5"/>
        <v>0.44288043525018822</v>
      </c>
      <c r="R18" s="109">
        <f t="shared" si="6"/>
        <v>0.43890269568281476</v>
      </c>
      <c r="S18" s="109">
        <f t="shared" si="7"/>
        <v>0.39693031553603242</v>
      </c>
      <c r="T18" s="109">
        <f t="shared" si="8"/>
        <v>0.39693909963114005</v>
      </c>
    </row>
    <row r="19" spans="2:20" x14ac:dyDescent="0.2">
      <c r="B19" s="40"/>
      <c r="C19" s="77" t="s">
        <v>95</v>
      </c>
      <c r="D19" s="104">
        <f>+'C6 Ejec. Nac 19-26'!D19+'C7 Ejec. Prop 19-26'!D19</f>
        <v>578.02074344792845</v>
      </c>
      <c r="E19" s="104">
        <f>+'C6 Ejec. Nac 19-26'!E19+'C7 Ejec. Prop 19-26'!E19</f>
        <v>647.67397491644465</v>
      </c>
      <c r="F19" s="104">
        <f>+'C6 Ejec. Nac 19-26'!F19+'C7 Ejec. Prop 19-26'!F19</f>
        <v>839.56657409165427</v>
      </c>
      <c r="G19" s="104">
        <f>+'C6 Ejec. Nac 19-26'!G19+'C7 Ejec. Prop 19-26'!G19</f>
        <v>822.16824843836343</v>
      </c>
      <c r="H19" s="104">
        <f>+'C6 Ejec. Nac 19-26'!H19+'C7 Ejec. Prop 19-26'!H19</f>
        <v>893.93499078181333</v>
      </c>
      <c r="I19" s="104">
        <f>+'C6 Ejec. Nac 19-26'!I19+'C7 Ejec. Prop 19-26'!I19</f>
        <v>719.77391484578197</v>
      </c>
      <c r="J19" s="104">
        <f>+'C6 Ejec. Nac 19-26'!J19+'C7 Ejec. Prop 19-26'!J19</f>
        <v>753.1639839113941</v>
      </c>
      <c r="K19" s="104">
        <f>759.51477*Deflactores!$AA$5</f>
        <v>759.51477</v>
      </c>
      <c r="L19" s="6"/>
      <c r="M19" s="109">
        <f t="shared" si="1"/>
        <v>0.14840993881191603</v>
      </c>
      <c r="N19" s="109">
        <f t="shared" si="2"/>
        <v>0.13683527534055626</v>
      </c>
      <c r="O19" s="109">
        <f t="shared" si="3"/>
        <v>0.1684157874998192</v>
      </c>
      <c r="P19" s="109">
        <f t="shared" si="4"/>
        <v>0.18197071171507248</v>
      </c>
      <c r="Q19" s="109">
        <f t="shared" si="5"/>
        <v>0.18018738125279427</v>
      </c>
      <c r="R19" s="109">
        <f t="shared" si="6"/>
        <v>0.13591738652836252</v>
      </c>
      <c r="S19" s="109">
        <f t="shared" si="7"/>
        <v>0.13914591111545502</v>
      </c>
      <c r="T19" s="109">
        <f t="shared" si="8"/>
        <v>0.13664802570828191</v>
      </c>
    </row>
    <row r="20" spans="2:20" x14ac:dyDescent="0.2">
      <c r="B20" s="40"/>
      <c r="C20" s="77" t="s">
        <v>96</v>
      </c>
      <c r="D20" s="104">
        <f>+'C6 Ejec. Nac 19-26'!D20+'C7 Ejec. Prop 19-26'!D20</f>
        <v>424.35196776535929</v>
      </c>
      <c r="E20" s="104">
        <f>+'C6 Ejec. Nac 19-26'!E20+'C7 Ejec. Prop 19-26'!E20</f>
        <v>436.02384352103428</v>
      </c>
      <c r="F20" s="104">
        <f>+'C6 Ejec. Nac 19-26'!F20+'C7 Ejec. Prop 19-26'!F20</f>
        <v>680.90753020117506</v>
      </c>
      <c r="G20" s="104">
        <f>+'C6 Ejec. Nac 19-26'!G20+'C7 Ejec. Prop 19-26'!G20</f>
        <v>533.78359740801602</v>
      </c>
      <c r="H20" s="104">
        <f>+'C6 Ejec. Nac 19-26'!H20+'C7 Ejec. Prop 19-26'!H20</f>
        <v>575.64070367805425</v>
      </c>
      <c r="I20" s="104">
        <f>+'C6 Ejec. Nac 19-26'!I20+'C7 Ejec. Prop 19-26'!I20</f>
        <v>395.05408684950754</v>
      </c>
      <c r="J20" s="104">
        <f>+'C6 Ejec. Nac 19-26'!J20+'C7 Ejec. Prop 19-26'!J20</f>
        <v>365.87742886087159</v>
      </c>
      <c r="K20" s="104">
        <f>377.677743603*Deflactores!$AA$5</f>
        <v>377.67774360300001</v>
      </c>
      <c r="L20" s="6"/>
      <c r="M20" s="109">
        <f t="shared" si="1"/>
        <v>0.10895465307197331</v>
      </c>
      <c r="N20" s="109">
        <f t="shared" si="2"/>
        <v>9.211956168370887E-2</v>
      </c>
      <c r="O20" s="109">
        <f t="shared" si="3"/>
        <v>0.13658902277935242</v>
      </c>
      <c r="P20" s="109">
        <f t="shared" si="4"/>
        <v>0.11814246208931563</v>
      </c>
      <c r="Q20" s="109">
        <f t="shared" si="5"/>
        <v>0.11602990374898582</v>
      </c>
      <c r="R20" s="109">
        <f t="shared" si="6"/>
        <v>7.4599423394550751E-2</v>
      </c>
      <c r="S20" s="109">
        <f t="shared" si="7"/>
        <v>6.7595303656229261E-2</v>
      </c>
      <c r="T20" s="109">
        <f t="shared" si="8"/>
        <v>6.7949854375193589E-2</v>
      </c>
    </row>
    <row r="21" spans="2:20" x14ac:dyDescent="0.2">
      <c r="B21" s="40"/>
      <c r="C21" s="77" t="s">
        <v>97</v>
      </c>
      <c r="D21" s="104">
        <f>+'C6 Ejec. Nac 19-26'!D21+'C7 Ejec. Prop 19-26'!D21</f>
        <v>802.11355474589095</v>
      </c>
      <c r="E21" s="104">
        <f>+'C6 Ejec. Nac 19-26'!E21+'C7 Ejec. Prop 19-26'!E21</f>
        <v>1106.6566492268896</v>
      </c>
      <c r="F21" s="104">
        <f>+'C6 Ejec. Nac 19-26'!F21+'C7 Ejec. Prop 19-26'!F21</f>
        <v>2194.2687156071538</v>
      </c>
      <c r="G21" s="104">
        <f>+'C6 Ejec. Nac 19-26'!G21+'C7 Ejec. Prop 19-26'!G21</f>
        <v>1359.1726057003291</v>
      </c>
      <c r="H21" s="104">
        <f>+'C6 Ejec. Nac 19-26'!H21+'C7 Ejec. Prop 19-26'!H21</f>
        <v>1324.3559132706637</v>
      </c>
      <c r="I21" s="104">
        <f>+'C6 Ejec. Nac 19-26'!I21+'C7 Ejec. Prop 19-26'!I21</f>
        <v>1419.1607190607442</v>
      </c>
      <c r="J21" s="104">
        <f>+'C6 Ejec. Nac 19-26'!J21+'C7 Ejec. Prop 19-26'!J21</f>
        <v>1395.5548782426144</v>
      </c>
      <c r="K21" s="104">
        <f>1331.503771257*Deflactores!$AA$5</f>
        <v>1331.5037712569999</v>
      </c>
      <c r="L21" s="6"/>
      <c r="M21" s="109">
        <f t="shared" si="1"/>
        <v>0.20594697496487011</v>
      </c>
      <c r="N21" s="109">
        <f t="shared" si="2"/>
        <v>0.23380539155360458</v>
      </c>
      <c r="O21" s="109">
        <f t="shared" si="3"/>
        <v>0.44016699226624095</v>
      </c>
      <c r="P21" s="109">
        <f t="shared" si="4"/>
        <v>0.30082602541839748</v>
      </c>
      <c r="Q21" s="109">
        <f t="shared" si="5"/>
        <v>0.26694583646422859</v>
      </c>
      <c r="R21" s="109">
        <f t="shared" si="6"/>
        <v>0.26798500476330289</v>
      </c>
      <c r="S21" s="109">
        <f t="shared" si="7"/>
        <v>0.25782666085043632</v>
      </c>
      <c r="T21" s="109">
        <f t="shared" si="8"/>
        <v>0.23955737103756505</v>
      </c>
    </row>
    <row r="22" spans="2:20" x14ac:dyDescent="0.2">
      <c r="B22" s="34" t="s">
        <v>41</v>
      </c>
      <c r="C22" s="76" t="s">
        <v>42</v>
      </c>
      <c r="D22" s="103">
        <f t="shared" ref="D22:K22" si="9">+D23+D27</f>
        <v>80776.536149675216</v>
      </c>
      <c r="E22" s="103">
        <f t="shared" si="9"/>
        <v>82066.513672761997</v>
      </c>
      <c r="F22" s="103">
        <f t="shared" si="9"/>
        <v>102200.86807076653</v>
      </c>
      <c r="G22" s="103">
        <f t="shared" si="9"/>
        <v>91814.060519152496</v>
      </c>
      <c r="H22" s="103">
        <f t="shared" si="9"/>
        <v>92028.540963115694</v>
      </c>
      <c r="I22" s="103">
        <f t="shared" si="9"/>
        <v>105237.68731981359</v>
      </c>
      <c r="J22" s="103">
        <f t="shared" si="9"/>
        <v>119398.72073397672</v>
      </c>
      <c r="K22" s="103">
        <f t="shared" si="9"/>
        <v>100449.70846832701</v>
      </c>
      <c r="L22" s="117"/>
      <c r="M22" s="119">
        <f t="shared" si="1"/>
        <v>20.739810678596822</v>
      </c>
      <c r="N22" s="119">
        <f t="shared" si="2"/>
        <v>17.338343718536205</v>
      </c>
      <c r="O22" s="119">
        <f t="shared" si="3"/>
        <v>20.50133987042728</v>
      </c>
      <c r="P22" s="119">
        <f t="shared" si="4"/>
        <v>20.321229833255288</v>
      </c>
      <c r="Q22" s="119">
        <f t="shared" si="5"/>
        <v>18.549874395404061</v>
      </c>
      <c r="R22" s="119">
        <f t="shared" si="6"/>
        <v>19.872394830900117</v>
      </c>
      <c r="S22" s="119">
        <f t="shared" si="7"/>
        <v>22.058733738526055</v>
      </c>
      <c r="T22" s="119">
        <f t="shared" si="8"/>
        <v>18.07239949417886</v>
      </c>
    </row>
    <row r="23" spans="2:20" x14ac:dyDescent="0.2">
      <c r="B23" s="34"/>
      <c r="C23" s="76" t="s">
        <v>43</v>
      </c>
      <c r="D23" s="103">
        <f t="shared" ref="D23:K23" si="10">+SUM(D24:D26)</f>
        <v>22393.278341786212</v>
      </c>
      <c r="E23" s="103">
        <f t="shared" si="10"/>
        <v>22950.519657718953</v>
      </c>
      <c r="F23" s="103">
        <f t="shared" si="10"/>
        <v>36531.507232833996</v>
      </c>
      <c r="G23" s="103">
        <f t="shared" si="10"/>
        <v>21506.061321599398</v>
      </c>
      <c r="H23" s="103">
        <f t="shared" si="10"/>
        <v>31119.908223398175</v>
      </c>
      <c r="I23" s="103">
        <f t="shared" si="10"/>
        <v>41523.042340588654</v>
      </c>
      <c r="J23" s="103">
        <f t="shared" si="10"/>
        <v>57065.307118700832</v>
      </c>
      <c r="K23" s="103">
        <f t="shared" si="10"/>
        <v>38406.044999037003</v>
      </c>
      <c r="L23" s="117"/>
      <c r="M23" s="119">
        <f t="shared" si="1"/>
        <v>5.7495948132907904</v>
      </c>
      <c r="N23" s="119">
        <f t="shared" si="2"/>
        <v>4.8487986212167389</v>
      </c>
      <c r="O23" s="119">
        <f t="shared" si="3"/>
        <v>7.3281652093279028</v>
      </c>
      <c r="P23" s="119">
        <f t="shared" si="4"/>
        <v>4.7599421314466159</v>
      </c>
      <c r="Q23" s="119">
        <f t="shared" si="5"/>
        <v>6.2727321622093672</v>
      </c>
      <c r="R23" s="119">
        <f t="shared" si="6"/>
        <v>7.840939049379922</v>
      </c>
      <c r="S23" s="119">
        <f t="shared" si="7"/>
        <v>10.542729500789614</v>
      </c>
      <c r="T23" s="119">
        <f t="shared" si="8"/>
        <v>6.9098198371861042</v>
      </c>
    </row>
    <row r="24" spans="2:20" x14ac:dyDescent="0.2">
      <c r="B24" s="32"/>
      <c r="C24" s="83" t="s">
        <v>98</v>
      </c>
      <c r="D24" s="104">
        <f>+'C6 Ejec. Nac 19-26'!D24+'C7 Ejec. Prop 19-26'!D24</f>
        <v>12379.228443392694</v>
      </c>
      <c r="E24" s="104">
        <f>+'C6 Ejec. Nac 19-26'!E24+'C7 Ejec. Prop 19-26'!E24</f>
        <v>9935.1853705865688</v>
      </c>
      <c r="F24" s="104">
        <f>+'C6 Ejec. Nac 19-26'!F24+'C7 Ejec. Prop 19-26'!F24</f>
        <v>20707.699782818621</v>
      </c>
      <c r="G24" s="104">
        <f>+'C6 Ejec. Nac 19-26'!G24+'C7 Ejec. Prop 19-26'!G24</f>
        <v>5556.9642568352656</v>
      </c>
      <c r="H24" s="104">
        <f>+'C6 Ejec. Nac 19-26'!H24+'C7 Ejec. Prop 19-26'!H24</f>
        <v>15465.904653755615</v>
      </c>
      <c r="I24" s="104">
        <f>+'C6 Ejec. Nac 19-26'!I24+'C7 Ejec. Prop 19-26'!I24</f>
        <v>21741.830958092392</v>
      </c>
      <c r="J24" s="104">
        <f>+'C6 Ejec. Nac 19-26'!J24+'C7 Ejec. Prop 19-26'!J24</f>
        <v>36541.066282603468</v>
      </c>
      <c r="K24" s="104">
        <f>17273.044999703*Deflactores!$AA$5</f>
        <v>17273.044999703001</v>
      </c>
      <c r="L24" s="6"/>
      <c r="M24" s="109">
        <f t="shared" si="1"/>
        <v>3.1784335711961287</v>
      </c>
      <c r="N24" s="109">
        <f t="shared" si="2"/>
        <v>2.099024939081525</v>
      </c>
      <c r="O24" s="109">
        <f t="shared" si="3"/>
        <v>4.1539333197089707</v>
      </c>
      <c r="P24" s="109">
        <f t="shared" si="4"/>
        <v>1.2299243405619553</v>
      </c>
      <c r="Q24" s="109">
        <f t="shared" si="5"/>
        <v>3.1174088574700454</v>
      </c>
      <c r="R24" s="109">
        <f t="shared" si="6"/>
        <v>4.105584797135247</v>
      </c>
      <c r="S24" s="109">
        <f t="shared" si="7"/>
        <v>6.7509069334643899</v>
      </c>
      <c r="T24" s="109">
        <f t="shared" si="8"/>
        <v>3.1076782050989298</v>
      </c>
    </row>
    <row r="25" spans="2:20" x14ac:dyDescent="0.2">
      <c r="B25" s="32"/>
      <c r="C25" s="83" t="s">
        <v>61</v>
      </c>
      <c r="D25" s="104">
        <f>+'C6 Ejec. Nac 19-26'!D25+'C7 Ejec. Prop 19-26'!D25</f>
        <v>9816.1472853586929</v>
      </c>
      <c r="E25" s="104">
        <f>+'C6 Ejec. Nac 19-26'!E25+'C7 Ejec. Prop 19-26'!E25</f>
        <v>12607.079358583282</v>
      </c>
      <c r="F25" s="104">
        <f>+'C6 Ejec. Nac 19-26'!F25+'C7 Ejec. Prop 19-26'!F25</f>
        <v>15588.571859346994</v>
      </c>
      <c r="G25" s="104">
        <f>+'C6 Ejec. Nac 19-26'!G25+'C7 Ejec. Prop 19-26'!G25</f>
        <v>15762.146186790083</v>
      </c>
      <c r="H25" s="104">
        <f>+'C6 Ejec. Nac 19-26'!H25+'C7 Ejec. Prop 19-26'!H25</f>
        <v>15477.841144198641</v>
      </c>
      <c r="I25" s="104">
        <f>+'C6 Ejec. Nac 19-26'!I25+'C7 Ejec. Prop 19-26'!I25</f>
        <v>19525.666034094695</v>
      </c>
      <c r="J25" s="104">
        <f>+'C6 Ejec. Nac 19-26'!J25+'C7 Ejec. Prop 19-26'!J25</f>
        <v>19912.433446768158</v>
      </c>
      <c r="K25" s="104">
        <f>19987.062393947*Deflactores!$AA$5</f>
        <v>19987.062393946999</v>
      </c>
      <c r="L25" s="6"/>
      <c r="M25" s="109">
        <f t="shared" si="1"/>
        <v>2.5203486803931243</v>
      </c>
      <c r="N25" s="109">
        <f t="shared" si="2"/>
        <v>2.663520910338474</v>
      </c>
      <c r="O25" s="109">
        <f t="shared" si="3"/>
        <v>3.1270439852013903</v>
      </c>
      <c r="P25" s="109">
        <f t="shared" si="4"/>
        <v>3.4886399045635668</v>
      </c>
      <c r="Q25" s="109">
        <f t="shared" si="5"/>
        <v>3.1198148545240336</v>
      </c>
      <c r="R25" s="109">
        <f t="shared" si="6"/>
        <v>3.687098744261085</v>
      </c>
      <c r="S25" s="109">
        <f t="shared" si="7"/>
        <v>3.6787920740543254</v>
      </c>
      <c r="T25" s="109">
        <f t="shared" si="8"/>
        <v>3.5959703796689881</v>
      </c>
    </row>
    <row r="26" spans="2:20" x14ac:dyDescent="0.2">
      <c r="B26" s="32"/>
      <c r="C26" s="83" t="s">
        <v>99</v>
      </c>
      <c r="D26" s="104">
        <f>+'C6 Ejec. Nac 19-26'!D26+'C7 Ejec. Prop 19-26'!D26</f>
        <v>197.90261303482615</v>
      </c>
      <c r="E26" s="104">
        <f>+'C6 Ejec. Nac 19-26'!E26+'C7 Ejec. Prop 19-26'!E26</f>
        <v>408.25492854909925</v>
      </c>
      <c r="F26" s="104">
        <f>+'C6 Ejec. Nac 19-26'!F26+'C7 Ejec. Prop 19-26'!F26</f>
        <v>235.23559066838334</v>
      </c>
      <c r="G26" s="104">
        <f>+'C6 Ejec. Nac 19-26'!G26+'C7 Ejec. Prop 19-26'!G26</f>
        <v>186.95087797404952</v>
      </c>
      <c r="H26" s="104">
        <f>+'C6 Ejec. Nac 19-26'!H26+'C7 Ejec. Prop 19-26'!H26</f>
        <v>176.16242544391932</v>
      </c>
      <c r="I26" s="104">
        <f>+'C6 Ejec. Nac 19-26'!I26+'C7 Ejec. Prop 19-26'!I26</f>
        <v>255.54534840156791</v>
      </c>
      <c r="J26" s="104">
        <f>+'C6 Ejec. Nac 19-26'!J26+'C7 Ejec. Prop 19-26'!J26</f>
        <v>611.80738932919883</v>
      </c>
      <c r="K26" s="104">
        <f>1145.937605387*Deflactores!$AA$5</f>
        <v>1145.9376053870001</v>
      </c>
      <c r="L26" s="6"/>
      <c r="M26" s="109">
        <f t="shared" si="1"/>
        <v>5.0812561701538195E-2</v>
      </c>
      <c r="N26" s="109">
        <f t="shared" si="2"/>
        <v>8.625277179673925E-2</v>
      </c>
      <c r="O26" s="109">
        <f t="shared" si="3"/>
        <v>4.7187904417542864E-2</v>
      </c>
      <c r="P26" s="109">
        <f t="shared" si="4"/>
        <v>4.1377886321093862E-2</v>
      </c>
      <c r="Q26" s="109">
        <f t="shared" si="5"/>
        <v>3.5508450215288541E-2</v>
      </c>
      <c r="R26" s="109">
        <f t="shared" si="6"/>
        <v>4.8255507983590712E-2</v>
      </c>
      <c r="S26" s="109">
        <f t="shared" si="7"/>
        <v>0.11303049327089765</v>
      </c>
      <c r="T26" s="109">
        <f t="shared" si="8"/>
        <v>0.20617125241818515</v>
      </c>
    </row>
    <row r="27" spans="2:20" x14ac:dyDescent="0.2">
      <c r="B27" s="34"/>
      <c r="C27" s="76" t="s">
        <v>44</v>
      </c>
      <c r="D27" s="103">
        <f t="shared" ref="D27:K27" si="11">+SUM(D28:D31)</f>
        <v>58383.257807889007</v>
      </c>
      <c r="E27" s="103">
        <f t="shared" si="11"/>
        <v>59115.994015043048</v>
      </c>
      <c r="F27" s="103">
        <f t="shared" si="11"/>
        <v>65669.360837932545</v>
      </c>
      <c r="G27" s="103">
        <f t="shared" si="11"/>
        <v>70307.999197553101</v>
      </c>
      <c r="H27" s="103">
        <f t="shared" si="11"/>
        <v>60908.632739717512</v>
      </c>
      <c r="I27" s="103">
        <f t="shared" si="11"/>
        <v>63714.644979224933</v>
      </c>
      <c r="J27" s="103">
        <f t="shared" si="11"/>
        <v>62333.413615275895</v>
      </c>
      <c r="K27" s="103">
        <f t="shared" si="11"/>
        <v>62043.663469289997</v>
      </c>
      <c r="L27" s="117"/>
      <c r="M27" s="119">
        <f t="shared" si="1"/>
        <v>14.990215865306034</v>
      </c>
      <c r="N27" s="119">
        <f t="shared" si="2"/>
        <v>12.489545097319464</v>
      </c>
      <c r="O27" s="119">
        <f t="shared" si="3"/>
        <v>13.173174661099383</v>
      </c>
      <c r="P27" s="119">
        <f t="shared" si="4"/>
        <v>15.561287701808672</v>
      </c>
      <c r="Q27" s="119">
        <f t="shared" si="5"/>
        <v>12.27714223319469</v>
      </c>
      <c r="R27" s="119">
        <f t="shared" si="6"/>
        <v>12.031455781520195</v>
      </c>
      <c r="S27" s="119">
        <f t="shared" si="7"/>
        <v>11.516004237736439</v>
      </c>
      <c r="T27" s="119">
        <f t="shared" si="8"/>
        <v>11.162579656992756</v>
      </c>
    </row>
    <row r="28" spans="2:20" x14ac:dyDescent="0.2">
      <c r="B28" s="32"/>
      <c r="C28" s="83" t="s">
        <v>98</v>
      </c>
      <c r="D28" s="104">
        <f>+'C6 Ejec. Nac 19-26'!D28+'C7 Ejec. Prop 19-26'!D28</f>
        <v>27902.214739646624</v>
      </c>
      <c r="E28" s="104">
        <f>+'C6 Ejec. Nac 19-26'!E28+'C7 Ejec. Prop 19-26'!E28</f>
        <v>24966.386392407632</v>
      </c>
      <c r="F28" s="104">
        <f>+'C6 Ejec. Nac 19-26'!F28+'C7 Ejec. Prop 19-26'!F28</f>
        <v>29062.024024959948</v>
      </c>
      <c r="G28" s="104">
        <f>+'C6 Ejec. Nac 19-26'!G28+'C7 Ejec. Prop 19-26'!G28</f>
        <v>33990.903881568353</v>
      </c>
      <c r="H28" s="104">
        <f>+'C6 Ejec. Nac 19-26'!H28+'C7 Ejec. Prop 19-26'!H28</f>
        <v>20509.159957788132</v>
      </c>
      <c r="I28" s="104">
        <f>+'C6 Ejec. Nac 19-26'!I28+'C7 Ejec. Prop 19-26'!I28</f>
        <v>15514.992841031519</v>
      </c>
      <c r="J28" s="104">
        <f>+'C6 Ejec. Nac 19-26'!J28+'C7 Ejec. Prop 19-26'!J28</f>
        <v>11011.190176806853</v>
      </c>
      <c r="K28" s="104">
        <f>10342.874420982*Deflactores!$AA$5</f>
        <v>10342.874420982</v>
      </c>
      <c r="L28" s="6"/>
      <c r="M28" s="109">
        <f t="shared" si="1"/>
        <v>7.1640439018274442</v>
      </c>
      <c r="N28" s="109">
        <f t="shared" si="2"/>
        <v>5.2746945045993918</v>
      </c>
      <c r="O28" s="109">
        <f t="shared" si="3"/>
        <v>5.8297981524547557</v>
      </c>
      <c r="P28" s="109">
        <f t="shared" si="4"/>
        <v>7.5232155740824842</v>
      </c>
      <c r="Q28" s="109">
        <f t="shared" si="5"/>
        <v>4.133960369150028</v>
      </c>
      <c r="R28" s="109">
        <f t="shared" si="6"/>
        <v>2.9297495164312513</v>
      </c>
      <c r="S28" s="109">
        <f t="shared" si="7"/>
        <v>2.0343007928504306</v>
      </c>
      <c r="T28" s="109">
        <f t="shared" si="8"/>
        <v>1.8608372418825772</v>
      </c>
    </row>
    <row r="29" spans="2:20" x14ac:dyDescent="0.2">
      <c r="B29" s="32"/>
      <c r="C29" s="83" t="s">
        <v>61</v>
      </c>
      <c r="D29" s="104">
        <f>+'C6 Ejec. Nac 19-26'!D29+'C7 Ejec. Prop 19-26'!D29</f>
        <v>29462.106764832868</v>
      </c>
      <c r="E29" s="104">
        <f>+'C6 Ejec. Nac 19-26'!E29+'C7 Ejec. Prop 19-26'!E29</f>
        <v>32727.03844746522</v>
      </c>
      <c r="F29" s="104">
        <f>+'C6 Ejec. Nac 19-26'!F29+'C7 Ejec. Prop 19-26'!F29</f>
        <v>34983.306749427175</v>
      </c>
      <c r="G29" s="104">
        <f>+'C6 Ejec. Nac 19-26'!G29+'C7 Ejec. Prop 19-26'!G29</f>
        <v>34410.955796699993</v>
      </c>
      <c r="H29" s="104">
        <f>+'C6 Ejec. Nac 19-26'!H29+'C7 Ejec. Prop 19-26'!H29</f>
        <v>35348.535884364355</v>
      </c>
      <c r="I29" s="104">
        <f>+'C6 Ejec. Nac 19-26'!I29+'C7 Ejec. Prop 19-26'!I29</f>
        <v>46280.349286332639</v>
      </c>
      <c r="J29" s="104">
        <f>+'C6 Ejec. Nac 19-26'!J29+'C7 Ejec. Prop 19-26'!J29</f>
        <v>48987.473652398723</v>
      </c>
      <c r="K29" s="104">
        <f>48777.532232774*Deflactores!$AA$5</f>
        <v>48777.532232774</v>
      </c>
      <c r="L29" s="6"/>
      <c r="M29" s="109">
        <f t="shared" si="1"/>
        <v>7.5645545800950673</v>
      </c>
      <c r="N29" s="109">
        <f t="shared" si="2"/>
        <v>6.9143017790974248</v>
      </c>
      <c r="O29" s="109">
        <f t="shared" si="3"/>
        <v>7.0175985292493612</v>
      </c>
      <c r="P29" s="109">
        <f t="shared" si="4"/>
        <v>7.6161857734291125</v>
      </c>
      <c r="Q29" s="109">
        <f t="shared" si="5"/>
        <v>7.1250820001503197</v>
      </c>
      <c r="R29" s="109">
        <f t="shared" si="6"/>
        <v>8.7392776993951689</v>
      </c>
      <c r="S29" s="109">
        <f t="shared" si="7"/>
        <v>9.0503619400490116</v>
      </c>
      <c r="T29" s="109">
        <f t="shared" si="8"/>
        <v>8.7758049504825983</v>
      </c>
    </row>
    <row r="30" spans="2:20" x14ac:dyDescent="0.2">
      <c r="B30" s="32"/>
      <c r="C30" s="83" t="s">
        <v>99</v>
      </c>
      <c r="D30" s="104">
        <f>+'C6 Ejec. Nac 19-26'!D30+'C7 Ejec. Prop 19-26'!D30</f>
        <v>251.75320779317454</v>
      </c>
      <c r="E30" s="104">
        <f>+'C6 Ejec. Nac 19-26'!E30+'C7 Ejec. Prop 19-26'!E30</f>
        <v>239.33776304868377</v>
      </c>
      <c r="F30" s="104">
        <f>+'C6 Ejec. Nac 19-26'!F30+'C7 Ejec. Prop 19-26'!F30</f>
        <v>414.82848287097016</v>
      </c>
      <c r="G30" s="104">
        <f>+'C6 Ejec. Nac 19-26'!G30+'C7 Ejec. Prop 19-26'!G30</f>
        <v>302.7579158857464</v>
      </c>
      <c r="H30" s="104">
        <f>+'C6 Ejec. Nac 19-26'!H30+'C7 Ejec. Prop 19-26'!H30</f>
        <v>346.06206097560698</v>
      </c>
      <c r="I30" s="104">
        <f>+'C6 Ejec. Nac 19-26'!I30+'C7 Ejec. Prop 19-26'!I30</f>
        <v>329.00412499629425</v>
      </c>
      <c r="J30" s="104">
        <f>+'C6 Ejec. Nac 19-26'!J30+'C7 Ejec. Prop 19-26'!J30</f>
        <v>312.59589413481029</v>
      </c>
      <c r="K30" s="104">
        <f>257.928673981*Deflactores!$AA$5</f>
        <v>257.92867398099997</v>
      </c>
      <c r="L30" s="6"/>
      <c r="M30" s="109">
        <f t="shared" si="1"/>
        <v>6.4638991918210403E-2</v>
      </c>
      <c r="N30" s="109">
        <f t="shared" si="2"/>
        <v>5.0565330667153102E-2</v>
      </c>
      <c r="O30" s="109">
        <f t="shared" si="3"/>
        <v>8.3213967511339706E-2</v>
      </c>
      <c r="P30" s="109">
        <f t="shared" si="4"/>
        <v>6.7009488064937783E-2</v>
      </c>
      <c r="Q30" s="109">
        <f t="shared" si="5"/>
        <v>6.975453155000054E-2</v>
      </c>
      <c r="R30" s="109">
        <f t="shared" si="6"/>
        <v>6.2126981687198435E-2</v>
      </c>
      <c r="S30" s="109">
        <f t="shared" si="7"/>
        <v>5.7751620403367086E-2</v>
      </c>
      <c r="T30" s="109">
        <f t="shared" si="8"/>
        <v>4.6405212202863089E-2</v>
      </c>
    </row>
    <row r="31" spans="2:20" x14ac:dyDescent="0.2">
      <c r="B31" s="32"/>
      <c r="C31" s="83" t="s">
        <v>100</v>
      </c>
      <c r="D31" s="104">
        <f>+'C6 Ejec. Nac 19-26'!D31+'C7 Ejec. Prop 19-26'!D31</f>
        <v>767.18309561633623</v>
      </c>
      <c r="E31" s="104">
        <f>+'C6 Ejec. Nac 19-26'!E31+'C7 Ejec. Prop 19-26'!E31</f>
        <v>1183.2314121215102</v>
      </c>
      <c r="F31" s="104">
        <f>+'C6 Ejec. Nac 19-26'!F31+'C7 Ejec. Prop 19-26'!F31</f>
        <v>1209.2015806744421</v>
      </c>
      <c r="G31" s="104">
        <f>+'C6 Ejec. Nac 19-26'!G31+'C7 Ejec. Prop 19-26'!G31</f>
        <v>1603.3816033990092</v>
      </c>
      <c r="H31" s="104">
        <f>+'C6 Ejec. Nac 19-26'!H31+'C7 Ejec. Prop 19-26'!H31</f>
        <v>4704.8748365894126</v>
      </c>
      <c r="I31" s="104">
        <f>+'C6 Ejec. Nac 19-26'!I31+'C7 Ejec. Prop 19-26'!I31</f>
        <v>1590.2987268644761</v>
      </c>
      <c r="J31" s="104">
        <f>+'C6 Ejec. Nac 19-26'!J31+'C7 Ejec. Prop 19-26'!J31</f>
        <v>2022.1538919355123</v>
      </c>
      <c r="K31" s="104">
        <f>2665.328141553*Deflactores!$AA$5</f>
        <v>2665.328141553</v>
      </c>
      <c r="L31" s="6"/>
      <c r="M31" s="109">
        <f t="shared" si="1"/>
        <v>0.19697839146531212</v>
      </c>
      <c r="N31" s="109">
        <f t="shared" si="2"/>
        <v>0.24998348295549394</v>
      </c>
      <c r="O31" s="109">
        <f t="shared" si="3"/>
        <v>0.24256401188392274</v>
      </c>
      <c r="P31" s="109">
        <f t="shared" si="4"/>
        <v>0.35487686623213732</v>
      </c>
      <c r="Q31" s="109">
        <f t="shared" si="5"/>
        <v>0.9483453323443416</v>
      </c>
      <c r="R31" s="109">
        <f t="shared" si="6"/>
        <v>0.30030158400657481</v>
      </c>
      <c r="S31" s="109">
        <f t="shared" si="7"/>
        <v>0.37358988443363023</v>
      </c>
      <c r="T31" s="109">
        <f t="shared" si="8"/>
        <v>0.47953225242471798</v>
      </c>
    </row>
    <row r="32" spans="2:20" x14ac:dyDescent="0.2">
      <c r="B32" s="34" t="s">
        <v>45</v>
      </c>
      <c r="C32" s="76" t="s">
        <v>46</v>
      </c>
      <c r="D32" s="103">
        <f>+'C6 Ejec. Nac 19-26'!D32+'C7 Ejec. Prop 19-26'!D32</f>
        <v>65010.034225063275</v>
      </c>
      <c r="E32" s="103">
        <f>+'C6 Ejec. Nac 19-26'!E32+'C7 Ejec. Prop 19-26'!E32</f>
        <v>66989.632603454593</v>
      </c>
      <c r="F32" s="103">
        <f>+'C6 Ejec. Nac 19-26'!F32+'C7 Ejec. Prop 19-26'!F32</f>
        <v>86334.552475351986</v>
      </c>
      <c r="G32" s="103">
        <f>+'C6 Ejec. Nac 19-26'!G32+'C7 Ejec. Prop 19-26'!G32</f>
        <v>89274.398698657344</v>
      </c>
      <c r="H32" s="103">
        <f>+'C6 Ejec. Nac 19-26'!H32+'C7 Ejec. Prop 19-26'!H32</f>
        <v>97703.799607280118</v>
      </c>
      <c r="I32" s="103">
        <f>+'C6 Ejec. Nac 19-26'!I32+'C7 Ejec. Prop 19-26'!I32</f>
        <v>100968.96404623069</v>
      </c>
      <c r="J32" s="103">
        <f>+'C6 Ejec. Nac 19-26'!J32+'C7 Ejec. Prop 19-26'!J32</f>
        <v>82832.564379332718</v>
      </c>
      <c r="K32" s="103">
        <f>89472.089093145*Deflactores!$AA$5</f>
        <v>89472.089093144998</v>
      </c>
      <c r="L32" s="117"/>
      <c r="M32" s="113">
        <f t="shared" si="1"/>
        <v>16.691676398930774</v>
      </c>
      <c r="N32" s="113">
        <f t="shared" si="2"/>
        <v>14.153023245127264</v>
      </c>
      <c r="O32" s="113">
        <f t="shared" si="3"/>
        <v>17.318580911004144</v>
      </c>
      <c r="P32" s="113">
        <f t="shared" si="4"/>
        <v>19.759125823681941</v>
      </c>
      <c r="Q32" s="113">
        <f t="shared" si="5"/>
        <v>19.693816632333306</v>
      </c>
      <c r="R32" s="113">
        <f t="shared" si="6"/>
        <v>19.066317117897004</v>
      </c>
      <c r="S32" s="113">
        <f t="shared" si="7"/>
        <v>15.303191452059384</v>
      </c>
      <c r="T32" s="113">
        <f t="shared" si="8"/>
        <v>16.097362175818869</v>
      </c>
    </row>
    <row r="33" spans="1:20" ht="14.25" customHeight="1" x14ac:dyDescent="0.2">
      <c r="B33" s="36" t="s">
        <v>47</v>
      </c>
      <c r="C33" s="78" t="s">
        <v>48</v>
      </c>
      <c r="D33" s="105">
        <f t="shared" ref="D33:I33" si="12">+D14+D32</f>
        <v>308699.22812543169</v>
      </c>
      <c r="E33" s="105">
        <f t="shared" si="12"/>
        <v>391257.32281933457</v>
      </c>
      <c r="F33" s="105">
        <f t="shared" si="12"/>
        <v>396307.36952100648</v>
      </c>
      <c r="G33" s="105">
        <f t="shared" si="12"/>
        <v>359999.44325265475</v>
      </c>
      <c r="H33" s="105">
        <f t="shared" si="12"/>
        <v>404085.55124829465</v>
      </c>
      <c r="I33" s="105">
        <f t="shared" si="12"/>
        <v>424329.52496290882</v>
      </c>
      <c r="J33" s="105">
        <f>(+J14+J32)</f>
        <v>421877.68320322793</v>
      </c>
      <c r="K33" s="105">
        <f>(+K14+K32)</f>
        <v>455368.61826068297</v>
      </c>
      <c r="L33" s="117"/>
      <c r="M33" s="112">
        <f t="shared" si="1"/>
        <v>79.260189321403175</v>
      </c>
      <c r="N33" s="112">
        <f t="shared" si="2"/>
        <v>82.661656281463792</v>
      </c>
      <c r="O33" s="112">
        <f t="shared" si="3"/>
        <v>79.498660129572713</v>
      </c>
      <c r="P33" s="112">
        <f t="shared" si="4"/>
        <v>79.678770166744712</v>
      </c>
      <c r="Q33" s="112">
        <f t="shared" si="5"/>
        <v>81.450125604595939</v>
      </c>
      <c r="R33" s="112">
        <f t="shared" si="6"/>
        <v>80.127605169099866</v>
      </c>
      <c r="S33" s="112">
        <f t="shared" si="7"/>
        <v>77.941266261473956</v>
      </c>
      <c r="T33" s="112">
        <f t="shared" si="8"/>
        <v>81.927600505821147</v>
      </c>
    </row>
    <row r="34" spans="1:20" ht="13.5" customHeight="1" x14ac:dyDescent="0.2">
      <c r="B34" s="38" t="s">
        <v>49</v>
      </c>
      <c r="C34" s="79" t="s">
        <v>50</v>
      </c>
      <c r="D34" s="106">
        <f t="shared" ref="D34:K34" si="13">+D14+D22+D32</f>
        <v>389475.76427510689</v>
      </c>
      <c r="E34" s="106">
        <f t="shared" si="13"/>
        <v>473323.8364920966</v>
      </c>
      <c r="F34" s="106">
        <f t="shared" si="13"/>
        <v>498508.23759177304</v>
      </c>
      <c r="G34" s="106">
        <f t="shared" si="13"/>
        <v>451813.50377180724</v>
      </c>
      <c r="H34" s="106">
        <f t="shared" si="13"/>
        <v>496114.09221141035</v>
      </c>
      <c r="I34" s="106">
        <f t="shared" si="13"/>
        <v>529567.21228272247</v>
      </c>
      <c r="J34" s="106">
        <f t="shared" si="13"/>
        <v>541276.40393720462</v>
      </c>
      <c r="K34" s="106">
        <f t="shared" si="13"/>
        <v>555818.32672900998</v>
      </c>
      <c r="L34" s="117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ht="13.5" customHeight="1" x14ac:dyDescent="0.2">
      <c r="B35" s="72" t="str">
        <f>+'C1 Aprop Resumen 2000-2026'!B20</f>
        <v>* Información con corte a 30 de Junio</v>
      </c>
      <c r="C35" s="68"/>
      <c r="D35" s="71"/>
      <c r="E35" s="151"/>
      <c r="F35" s="151"/>
      <c r="G35" s="151"/>
      <c r="H35" s="151"/>
      <c r="I35" s="151"/>
      <c r="J35" s="152"/>
      <c r="K35" s="152"/>
      <c r="M35" s="111"/>
      <c r="N35" s="111"/>
      <c r="O35" s="111"/>
      <c r="P35" s="111"/>
      <c r="Q35" s="111"/>
      <c r="R35" s="111"/>
      <c r="S35" s="111"/>
    </row>
    <row r="36" spans="1:20" x14ac:dyDescent="0.2">
      <c r="B36" s="1" t="s">
        <v>52</v>
      </c>
      <c r="E36" s="153"/>
      <c r="F36" s="153"/>
      <c r="G36" s="153"/>
      <c r="H36" s="153"/>
      <c r="I36" s="153"/>
      <c r="J36" s="153"/>
      <c r="K36" s="152"/>
    </row>
    <row r="38" spans="1:20" ht="14.25" customHeight="1" x14ac:dyDescent="0.2"/>
    <row r="42" spans="1:20" ht="18" customHeight="1" x14ac:dyDescent="0.2">
      <c r="C42" s="137"/>
      <c r="D42" s="177" t="s">
        <v>101</v>
      </c>
      <c r="E42" s="160"/>
      <c r="F42" s="160"/>
      <c r="G42" s="160"/>
      <c r="H42" s="160"/>
      <c r="I42" s="160"/>
      <c r="J42" s="160"/>
      <c r="K42" s="170"/>
      <c r="L42" s="170"/>
      <c r="M42" s="171"/>
      <c r="N42" s="171"/>
      <c r="O42" s="171"/>
      <c r="P42" s="171"/>
      <c r="Q42" s="171"/>
      <c r="R42" s="171"/>
      <c r="S42" s="171"/>
      <c r="T42" s="160"/>
    </row>
    <row r="43" spans="1:20" ht="13.5" customHeight="1" x14ac:dyDescent="0.2">
      <c r="B43" s="93"/>
      <c r="C43" s="93"/>
      <c r="D43" s="93"/>
      <c r="E43" s="93"/>
      <c r="F43" s="93"/>
      <c r="G43" s="93"/>
      <c r="H43" s="93"/>
      <c r="I43" s="93"/>
      <c r="M43" s="3"/>
      <c r="N43" s="3"/>
      <c r="O43" s="3"/>
      <c r="P43" s="3"/>
      <c r="Q43" s="3"/>
      <c r="R43" s="3"/>
      <c r="S43" s="3"/>
    </row>
    <row r="44" spans="1:20" ht="13.5" customHeight="1" thickBot="1" x14ac:dyDescent="0.3">
      <c r="B44" s="92"/>
      <c r="C44" s="92"/>
      <c r="D44" s="173"/>
      <c r="E44" s="156"/>
      <c r="F44" s="156"/>
      <c r="G44" s="156"/>
      <c r="H44" s="156"/>
      <c r="I44" s="156"/>
      <c r="J44" s="156"/>
      <c r="K44" s="156"/>
      <c r="M44" s="173" t="s">
        <v>102</v>
      </c>
      <c r="N44" s="156"/>
      <c r="O44" s="156"/>
      <c r="P44" s="156"/>
      <c r="Q44" s="156"/>
      <c r="R44" s="156"/>
      <c r="S44" s="156"/>
      <c r="T44" s="156"/>
    </row>
    <row r="45" spans="1:20" x14ac:dyDescent="0.2">
      <c r="A45" s="17"/>
      <c r="B45" s="49"/>
      <c r="C45" s="175" t="s">
        <v>38</v>
      </c>
      <c r="D45" s="155">
        <v>2019</v>
      </c>
      <c r="E45" s="155">
        <v>2020</v>
      </c>
      <c r="F45" s="155">
        <v>2021</v>
      </c>
      <c r="G45" s="155">
        <v>2022</v>
      </c>
      <c r="H45" s="155">
        <v>2023</v>
      </c>
      <c r="I45" s="155">
        <v>2024</v>
      </c>
      <c r="J45" s="174">
        <v>2025</v>
      </c>
      <c r="K45" s="155" t="s">
        <v>36</v>
      </c>
      <c r="L45" s="114"/>
      <c r="M45" s="155">
        <v>2019</v>
      </c>
      <c r="N45" s="155">
        <v>2020</v>
      </c>
      <c r="O45" s="155">
        <v>2021</v>
      </c>
      <c r="P45" s="155">
        <v>2022</v>
      </c>
      <c r="Q45" s="155">
        <v>2023</v>
      </c>
      <c r="R45" s="155">
        <v>2024</v>
      </c>
      <c r="S45" s="174">
        <v>2025</v>
      </c>
      <c r="T45" s="155" t="s">
        <v>36</v>
      </c>
    </row>
    <row r="46" spans="1:20" ht="12" customHeight="1" thickBot="1" x14ac:dyDescent="0.25">
      <c r="A46" s="17"/>
      <c r="B46" s="84"/>
      <c r="C46" s="156"/>
      <c r="D46" s="156"/>
      <c r="E46" s="156"/>
      <c r="F46" s="156"/>
      <c r="G46" s="156"/>
      <c r="H46" s="156"/>
      <c r="I46" s="156"/>
      <c r="J46" s="156"/>
      <c r="K46" s="156"/>
      <c r="L46" s="114"/>
      <c r="M46" s="156"/>
      <c r="N46" s="156"/>
      <c r="O46" s="156"/>
      <c r="P46" s="156"/>
      <c r="Q46" s="156"/>
      <c r="R46" s="156"/>
      <c r="S46" s="156"/>
      <c r="T46" s="156"/>
    </row>
    <row r="47" spans="1:20" x14ac:dyDescent="0.2">
      <c r="A47" s="18"/>
      <c r="B47" s="34" t="s">
        <v>39</v>
      </c>
      <c r="C47" s="76" t="s">
        <v>40</v>
      </c>
      <c r="D47" s="103">
        <f t="shared" ref="D47:K47" si="14">+SUM(D48:D54)</f>
        <v>241704.6112056642</v>
      </c>
      <c r="E47" s="103">
        <f t="shared" si="14"/>
        <v>291491.54318944935</v>
      </c>
      <c r="F47" s="103">
        <f t="shared" si="14"/>
        <v>300952.06620819058</v>
      </c>
      <c r="G47" s="103">
        <f t="shared" si="14"/>
        <v>260551.1687664745</v>
      </c>
      <c r="H47" s="103">
        <f t="shared" si="14"/>
        <v>299391.67011358222</v>
      </c>
      <c r="I47" s="103">
        <f t="shared" si="14"/>
        <v>310276.60653213313</v>
      </c>
      <c r="J47" s="103">
        <f t="shared" si="14"/>
        <v>334479.41030970309</v>
      </c>
      <c r="K47" s="103">
        <f t="shared" si="14"/>
        <v>188162.4956172829</v>
      </c>
      <c r="M47" s="119">
        <f>+D47/$D$14*100</f>
        <v>99.185609069101517</v>
      </c>
      <c r="N47" s="119">
        <f>+E47/$E$14*100</f>
        <v>89.892256300771123</v>
      </c>
      <c r="O47" s="119">
        <f>+F47/$F$14*100</f>
        <v>97.089825190660079</v>
      </c>
      <c r="P47" s="119">
        <f>+G47/$G$14*100</f>
        <v>96.241989430906287</v>
      </c>
      <c r="Q47" s="119">
        <f>+H47/$H$14*100</f>
        <v>97.718505919496621</v>
      </c>
      <c r="R47" s="119">
        <f>+I47/$I$14*100</f>
        <v>95.95375689989713</v>
      </c>
      <c r="S47" s="119">
        <f>+J47/$J$14*100</f>
        <v>98.653362558343261</v>
      </c>
      <c r="T47" s="119">
        <f>+K47/$K$14*100</f>
        <v>51.425056161471915</v>
      </c>
    </row>
    <row r="48" spans="1:20" x14ac:dyDescent="0.2">
      <c r="A48" s="19"/>
      <c r="B48" s="40"/>
      <c r="C48" s="77" t="s">
        <v>92</v>
      </c>
      <c r="D48" s="104">
        <f>+'C6 Ejec. Nac 19-26'!D48+'C7 Ejec. Prop 19-26'!D48</f>
        <v>48215.444313858927</v>
      </c>
      <c r="E48" s="104">
        <f>+'C6 Ejec. Nac 19-26'!E48+'C7 Ejec. Prop 19-26'!E48</f>
        <v>49304.993106643553</v>
      </c>
      <c r="F48" s="104">
        <f>+'C6 Ejec. Nac 19-26'!F48+'C7 Ejec. Prop 19-26'!F48</f>
        <v>49490.78870420537</v>
      </c>
      <c r="G48" s="104">
        <f>+'C6 Ejec. Nac 19-26'!G48+'C7 Ejec. Prop 19-26'!G48</f>
        <v>48410.940443038613</v>
      </c>
      <c r="H48" s="104">
        <f>+'C6 Ejec. Nac 19-26'!H48+'C7 Ejec. Prop 19-26'!H48</f>
        <v>51400.054895949572</v>
      </c>
      <c r="I48" s="104">
        <f>+'C6 Ejec. Nac 19-26'!I48+'C7 Ejec. Prop 19-26'!I48</f>
        <v>55729.107321830808</v>
      </c>
      <c r="J48" s="104">
        <f>+'C6 Ejec. Nac 19-26'!J48+'C7 Ejec. Prop 19-26'!J48</f>
        <v>59809.541329717184</v>
      </c>
      <c r="K48" s="104">
        <f>30096.2807922017*Deflactores!$AA$5</f>
        <v>30096.280792201698</v>
      </c>
      <c r="M48" s="109">
        <f>+D48/$D$15*100</f>
        <v>99.048608364141757</v>
      </c>
      <c r="N48" s="109">
        <f>+E48/$E$15*100</f>
        <v>97.498893304030574</v>
      </c>
      <c r="O48" s="109">
        <f>+F48/$F$15*100</f>
        <v>97.147194589313258</v>
      </c>
      <c r="P48" s="109">
        <f>+G48/$G$15*100</f>
        <v>97.744894526419259</v>
      </c>
      <c r="Q48" s="109">
        <f>+H48/$H$15*100</f>
        <v>96.558018591796255</v>
      </c>
      <c r="R48" s="109">
        <f>+I48/$I$15*100</f>
        <v>97.872125669858264</v>
      </c>
      <c r="S48" s="109">
        <f>+J48/$J$15*100</f>
        <v>98.234848161217897</v>
      </c>
      <c r="T48" s="109">
        <f>+K48/$K$15*100</f>
        <v>45.051990995854105</v>
      </c>
    </row>
    <row r="49" spans="1:20" x14ac:dyDescent="0.2">
      <c r="A49" s="19"/>
      <c r="B49" s="40"/>
      <c r="C49" s="77" t="s">
        <v>93</v>
      </c>
      <c r="D49" s="104">
        <f>+'C6 Ejec. Nac 19-26'!D49+'C7 Ejec. Prop 19-26'!D49</f>
        <v>14865.160498578922</v>
      </c>
      <c r="E49" s="104">
        <f>+'C6 Ejec. Nac 19-26'!E49+'C7 Ejec. Prop 19-26'!E49</f>
        <v>14603.356907807554</v>
      </c>
      <c r="F49" s="104">
        <f>+'C6 Ejec. Nac 19-26'!F49+'C7 Ejec. Prop 19-26'!F49</f>
        <v>15411.229882809748</v>
      </c>
      <c r="G49" s="104">
        <f>+'C6 Ejec. Nac 19-26'!G49+'C7 Ejec. Prop 19-26'!G49</f>
        <v>16721.187134390537</v>
      </c>
      <c r="H49" s="104">
        <f>+'C6 Ejec. Nac 19-26'!H49+'C7 Ejec. Prop 19-26'!H49</f>
        <v>18025.598929173877</v>
      </c>
      <c r="I49" s="104">
        <f>+'C6 Ejec. Nac 19-26'!I49+'C7 Ejec. Prop 19-26'!I49</f>
        <v>18359.018916664154</v>
      </c>
      <c r="J49" s="104">
        <f>+'C6 Ejec. Nac 19-26'!J49+'C7 Ejec. Prop 19-26'!J49</f>
        <v>21040.260424770135</v>
      </c>
      <c r="K49" s="104">
        <f>14537.1579102409*Deflactores!$AA$5</f>
        <v>14537.1579102409</v>
      </c>
      <c r="L49" s="6"/>
      <c r="M49" s="109">
        <f>+D49/$D$16*100</f>
        <v>98.400691562306406</v>
      </c>
      <c r="N49" s="109">
        <f>+E49/$E$16*100</f>
        <v>97.346472553625489</v>
      </c>
      <c r="O49" s="109">
        <f>+F49/$F$16*100</f>
        <v>97.296153642103789</v>
      </c>
      <c r="P49" s="109">
        <f>+G49/$G$16*100</f>
        <v>96.722751496641749</v>
      </c>
      <c r="Q49" s="109">
        <f>+H49/$H$16*100</f>
        <v>96.465017434068528</v>
      </c>
      <c r="R49" s="109">
        <f>+I49/$I$16*100</f>
        <v>96.852378960511885</v>
      </c>
      <c r="S49" s="109">
        <f>+J49/$J$16*100</f>
        <v>98.033628375815795</v>
      </c>
      <c r="T49" s="109">
        <f>+K49/$K$16*100</f>
        <v>70.039305495453831</v>
      </c>
    </row>
    <row r="50" spans="1:20" x14ac:dyDescent="0.2">
      <c r="A50" s="19"/>
      <c r="B50" s="40"/>
      <c r="C50" s="77" t="s">
        <v>58</v>
      </c>
      <c r="D50" s="104">
        <f>+'C6 Ejec. Nac 19-26'!D50+'C7 Ejec. Prop 19-26'!D50</f>
        <v>174710.21776192123</v>
      </c>
      <c r="E50" s="104">
        <f>+'C6 Ejec. Nac 19-26'!E50+'C7 Ejec. Prop 19-26'!E50</f>
        <v>223425.97660352319</v>
      </c>
      <c r="F50" s="104">
        <f>+'C6 Ejec. Nac 19-26'!F50+'C7 Ejec. Prop 19-26'!F50</f>
        <v>230344.28961194892</v>
      </c>
      <c r="G50" s="104">
        <f>+'C6 Ejec. Nac 19-26'!G50+'C7 Ejec. Prop 19-26'!G50</f>
        <v>190619.90186031925</v>
      </c>
      <c r="H50" s="104">
        <f>+'C6 Ejec. Nac 19-26'!H50+'C7 Ejec. Prop 19-26'!H50</f>
        <v>225489.01369377098</v>
      </c>
      <c r="I50" s="104">
        <f>+'C6 Ejec. Nac 19-26'!I50+'C7 Ejec. Prop 19-26'!I50</f>
        <v>231676.7972734964</v>
      </c>
      <c r="J50" s="104">
        <f>+'C6 Ejec. Nac 19-26'!J50+'C7 Ejec. Prop 19-26'!J50</f>
        <v>249193.22636601815</v>
      </c>
      <c r="K50" s="104">
        <f>141024.871461246*Deflactores!$AA$5</f>
        <v>141024.87146124599</v>
      </c>
      <c r="L50" s="6"/>
      <c r="M50" s="109">
        <f t="shared" ref="M50:M67" si="15">+D50/D17*100</f>
        <v>99.354411546262611</v>
      </c>
      <c r="N50" s="109">
        <f t="shared" ref="N50:N67" si="16">+E50/E17*100</f>
        <v>87.810037548806079</v>
      </c>
      <c r="O50" s="109">
        <f t="shared" ref="O50:O67" si="17">+F50/F17*100</f>
        <v>97.250526608900415</v>
      </c>
      <c r="P50" s="109">
        <f t="shared" ref="P50:P67" si="18">+G50/G17*100</f>
        <v>95.899937233174271</v>
      </c>
      <c r="Q50" s="109">
        <f>+H50/$H$17*100</f>
        <v>98.264206905382906</v>
      </c>
      <c r="R50" s="109">
        <f>+I50/$I$17*100</f>
        <v>95.495128198704421</v>
      </c>
      <c r="S50" s="109">
        <f>+J50/$J$17*100</f>
        <v>98.872271330347701</v>
      </c>
      <c r="T50" s="109">
        <f>+K50/$K$17*100</f>
        <v>51.532422068677583</v>
      </c>
    </row>
    <row r="51" spans="1:20" x14ac:dyDescent="0.2">
      <c r="A51" s="19"/>
      <c r="B51" s="40"/>
      <c r="C51" s="77" t="s">
        <v>94</v>
      </c>
      <c r="D51" s="104">
        <f>+'C6 Ejec. Nac 19-26'!D51+'C7 Ejec. Prop 19-26'!D51</f>
        <v>2173.841681314098</v>
      </c>
      <c r="E51" s="104">
        <f>+'C6 Ejec. Nac 19-26'!E51+'C7 Ejec. Prop 19-26'!E51</f>
        <v>2004.0017626004603</v>
      </c>
      <c r="F51" s="104">
        <f>+'C6 Ejec. Nac 19-26'!F51+'C7 Ejec. Prop 19-26'!F51</f>
        <v>2133.6302468523477</v>
      </c>
      <c r="G51" s="104">
        <f>+'C6 Ejec. Nac 19-26'!G51+'C7 Ejec. Prop 19-26'!G51</f>
        <v>2230.2219399366923</v>
      </c>
      <c r="H51" s="104">
        <f>+'C6 Ejec. Nac 19-26'!H51+'C7 Ejec. Prop 19-26'!H51</f>
        <v>1983.3046744812777</v>
      </c>
      <c r="I51" s="104">
        <f>+'C6 Ejec. Nac 19-26'!I51+'C7 Ejec. Prop 19-26'!I51</f>
        <v>2172.694792000811</v>
      </c>
      <c r="J51" s="104">
        <f>+'C6 Ejec. Nac 19-26'!J51+'C7 Ejec. Prop 19-26'!J51</f>
        <v>2081.9737192130201</v>
      </c>
      <c r="K51" s="104">
        <f>1468.83627315728*Deflactores!$AA$5</f>
        <v>1468.8362731572799</v>
      </c>
      <c r="L51" s="6"/>
      <c r="M51" s="109">
        <f t="shared" si="15"/>
        <v>96.44717398527753</v>
      </c>
      <c r="N51" s="109">
        <f t="shared" si="16"/>
        <v>97.107068742107387</v>
      </c>
      <c r="O51" s="109">
        <f t="shared" si="17"/>
        <v>81.503331883101126</v>
      </c>
      <c r="P51" s="109">
        <f t="shared" si="18"/>
        <v>91.977568895192007</v>
      </c>
      <c r="Q51" s="109">
        <f>+H51/$H$18*100</f>
        <v>90.265413672734084</v>
      </c>
      <c r="R51" s="109">
        <f>+I51/$I$18*100</f>
        <v>93.477994602620129</v>
      </c>
      <c r="S51" s="109">
        <f>+J51/$J$18*100</f>
        <v>96.904038902558483</v>
      </c>
      <c r="T51" s="109">
        <f>+K51/$K$18*100</f>
        <v>66.575838701073891</v>
      </c>
    </row>
    <row r="52" spans="1:20" x14ac:dyDescent="0.2">
      <c r="A52" s="19"/>
      <c r="B52" s="40"/>
      <c r="C52" s="77" t="s">
        <v>95</v>
      </c>
      <c r="D52" s="104">
        <f>+'C6 Ejec. Nac 19-26'!D52+'C7 Ejec. Prop 19-26'!D52</f>
        <v>570.18939784094096</v>
      </c>
      <c r="E52" s="104">
        <f>+'C6 Ejec. Nac 19-26'!E52+'C7 Ejec. Prop 19-26'!E52</f>
        <v>637.23398117779243</v>
      </c>
      <c r="F52" s="104">
        <f>+'C6 Ejec. Nac 19-26'!F52+'C7 Ejec. Prop 19-26'!F52</f>
        <v>827.98738186713899</v>
      </c>
      <c r="G52" s="104">
        <f>+'C6 Ejec. Nac 19-26'!G52+'C7 Ejec. Prop 19-26'!G52</f>
        <v>812.29179560261707</v>
      </c>
      <c r="H52" s="104">
        <f>+'C6 Ejec. Nac 19-26'!H52+'C7 Ejec. Prop 19-26'!H52</f>
        <v>789.53368671221233</v>
      </c>
      <c r="I52" s="104">
        <f>+'C6 Ejec. Nac 19-26'!I52+'C7 Ejec. Prop 19-26'!I52</f>
        <v>714.6033075671827</v>
      </c>
      <c r="J52" s="104">
        <f>+'C6 Ejec. Nac 19-26'!J52+'C7 Ejec. Prop 19-26'!J52</f>
        <v>731.28424729951553</v>
      </c>
      <c r="K52" s="104">
        <f>643.16157048666*Deflactores!$AA$5</f>
        <v>643.16157048666003</v>
      </c>
      <c r="L52" s="6"/>
      <c r="M52" s="109">
        <f t="shared" si="15"/>
        <v>98.645144539230017</v>
      </c>
      <c r="N52" s="109">
        <f t="shared" si="16"/>
        <v>98.388078857113399</v>
      </c>
      <c r="O52" s="109">
        <f t="shared" si="17"/>
        <v>98.620813097872187</v>
      </c>
      <c r="P52" s="109">
        <f t="shared" si="18"/>
        <v>98.798730934391372</v>
      </c>
      <c r="Q52" s="109">
        <f>+H52/$H$19*100</f>
        <v>88.321152528295798</v>
      </c>
      <c r="R52" s="109">
        <f>+I52/$I$19*100</f>
        <v>99.281634528293921</v>
      </c>
      <c r="S52" s="109">
        <f>+J52/$J$19*100</f>
        <v>97.09495713028511</v>
      </c>
      <c r="T52" s="109">
        <f>+K52/$K$19*100</f>
        <v>84.680587645011826</v>
      </c>
    </row>
    <row r="53" spans="1:20" x14ac:dyDescent="0.2">
      <c r="A53" s="19"/>
      <c r="B53" s="40"/>
      <c r="C53" s="77" t="s">
        <v>96</v>
      </c>
      <c r="D53" s="104">
        <f>+'C6 Ejec. Nac 19-26'!D53+'C7 Ejec. Prop 19-26'!D53</f>
        <v>417.32662010320342</v>
      </c>
      <c r="E53" s="104">
        <f>+'C6 Ejec. Nac 19-26'!E53+'C7 Ejec. Prop 19-26'!E53</f>
        <v>429.42835624318855</v>
      </c>
      <c r="F53" s="104">
        <f>+'C6 Ejec. Nac 19-26'!F53+'C7 Ejec. Prop 19-26'!F53</f>
        <v>658.97344611358665</v>
      </c>
      <c r="G53" s="104">
        <f>+'C6 Ejec. Nac 19-26'!G53+'C7 Ejec. Prop 19-26'!G53</f>
        <v>502.34706008393749</v>
      </c>
      <c r="H53" s="104">
        <f>+'C6 Ejec. Nac 19-26'!H53+'C7 Ejec. Prop 19-26'!H53</f>
        <v>569.38103281592612</v>
      </c>
      <c r="I53" s="104">
        <f>+'C6 Ejec. Nac 19-26'!I53+'C7 Ejec. Prop 19-26'!I53</f>
        <v>384.67569949455225</v>
      </c>
      <c r="J53" s="104">
        <f>+'C6 Ejec. Nac 19-26'!J53+'C7 Ejec. Prop 19-26'!J53</f>
        <v>349.34840740797125</v>
      </c>
      <c r="K53" s="104">
        <f>167.56239924962*Deflactores!$AA$5</f>
        <v>167.56239924962</v>
      </c>
      <c r="L53" s="6"/>
      <c r="M53" s="109">
        <f t="shared" si="15"/>
        <v>98.344452672353228</v>
      </c>
      <c r="N53" s="109">
        <f t="shared" si="16"/>
        <v>98.487356282036089</v>
      </c>
      <c r="O53" s="109">
        <f t="shared" si="17"/>
        <v>96.77869855821568</v>
      </c>
      <c r="P53" s="109">
        <f t="shared" si="18"/>
        <v>94.110621331054332</v>
      </c>
      <c r="Q53" s="109">
        <f>+H53/$H$20*100</f>
        <v>98.912573273201161</v>
      </c>
      <c r="R53" s="109">
        <f>+I53/$I$20*100</f>
        <v>97.372919886053765</v>
      </c>
      <c r="S53" s="109">
        <f>+J53/$J$20*100</f>
        <v>95.48236099057489</v>
      </c>
      <c r="T53" s="109">
        <f>+K53/$K$20*100</f>
        <v>44.36650082980664</v>
      </c>
    </row>
    <row r="54" spans="1:20" x14ac:dyDescent="0.2">
      <c r="A54" s="19"/>
      <c r="B54" s="40"/>
      <c r="C54" s="77" t="s">
        <v>97</v>
      </c>
      <c r="D54" s="104">
        <f>+'C6 Ejec. Nac 19-26'!D54+'C7 Ejec. Prop 19-26'!D54</f>
        <v>752.43093204687261</v>
      </c>
      <c r="E54" s="104">
        <f>+'C6 Ejec. Nac 19-26'!E54+'C7 Ejec. Prop 19-26'!E54</f>
        <v>1086.5524714536327</v>
      </c>
      <c r="F54" s="104">
        <f>+'C6 Ejec. Nac 19-26'!F54+'C7 Ejec. Prop 19-26'!F54</f>
        <v>2085.1669343934623</v>
      </c>
      <c r="G54" s="104">
        <f>+'C6 Ejec. Nac 19-26'!G54+'C7 Ejec. Prop 19-26'!G54</f>
        <v>1254.2785331028563</v>
      </c>
      <c r="H54" s="104">
        <f>+'C6 Ejec. Nac 19-26'!H54+'C7 Ejec. Prop 19-26'!H54</f>
        <v>1134.7832006783933</v>
      </c>
      <c r="I54" s="104">
        <f>+'C6 Ejec. Nac 19-26'!I54+'C7 Ejec. Prop 19-26'!I54</f>
        <v>1239.7092210792136</v>
      </c>
      <c r="J54" s="104">
        <f>+'C6 Ejec. Nac 19-26'!J54+'C7 Ejec. Prop 19-26'!J54</f>
        <v>1273.7758152770466</v>
      </c>
      <c r="K54" s="104">
        <f>224.62521070077*Deflactores!$AA$5</f>
        <v>224.62521070077</v>
      </c>
      <c r="L54" s="6"/>
      <c r="M54" s="109">
        <f t="shared" si="15"/>
        <v>93.806036264434184</v>
      </c>
      <c r="N54" s="109">
        <f t="shared" si="16"/>
        <v>98.18334098590546</v>
      </c>
      <c r="O54" s="109">
        <f t="shared" si="17"/>
        <v>95.02787509853809</v>
      </c>
      <c r="P54" s="109">
        <f t="shared" si="18"/>
        <v>92.282505389120544</v>
      </c>
      <c r="Q54" s="109">
        <f>+H54/$H$21*100</f>
        <v>85.685667221880209</v>
      </c>
      <c r="R54" s="109">
        <f>+I54/$I$21*100</f>
        <v>87.355096884283938</v>
      </c>
      <c r="S54" s="109">
        <f>+J54/$J$21*100</f>
        <v>91.273789023694931</v>
      </c>
      <c r="T54" s="109">
        <f>+K54/$K$21*100</f>
        <v>16.870039390779464</v>
      </c>
    </row>
    <row r="55" spans="1:20" x14ac:dyDescent="0.2">
      <c r="A55" s="20"/>
      <c r="B55" s="34" t="s">
        <v>41</v>
      </c>
      <c r="C55" s="76" t="s">
        <v>42</v>
      </c>
      <c r="D55" s="103">
        <f t="shared" ref="D55:K55" si="19">+D56+D60</f>
        <v>80254.402280980124</v>
      </c>
      <c r="E55" s="103">
        <f t="shared" si="19"/>
        <v>81483.687141409348</v>
      </c>
      <c r="F55" s="103">
        <f t="shared" si="19"/>
        <v>86448.172811542201</v>
      </c>
      <c r="G55" s="103">
        <f t="shared" si="19"/>
        <v>90731.245981990185</v>
      </c>
      <c r="H55" s="103">
        <f t="shared" si="19"/>
        <v>88232.508431266106</v>
      </c>
      <c r="I55" s="103">
        <f t="shared" si="19"/>
        <v>100942.28641362762</v>
      </c>
      <c r="J55" s="103">
        <f t="shared" si="19"/>
        <v>111387.68189505965</v>
      </c>
      <c r="K55" s="103">
        <f t="shared" si="19"/>
        <v>53877.205278768473</v>
      </c>
      <c r="L55" s="117"/>
      <c r="M55" s="119">
        <f t="shared" si="15"/>
        <v>99.353607008194061</v>
      </c>
      <c r="N55" s="119">
        <f t="shared" si="16"/>
        <v>99.289812000937857</v>
      </c>
      <c r="O55" s="119">
        <f t="shared" si="17"/>
        <v>84.586534775500382</v>
      </c>
      <c r="P55" s="119">
        <f t="shared" si="18"/>
        <v>98.820644102831693</v>
      </c>
      <c r="Q55" s="119">
        <f>+H55/$H$22*100</f>
        <v>95.875157323888232</v>
      </c>
      <c r="R55" s="119">
        <f>+I55/$I$22*100</f>
        <v>95.918381508012047</v>
      </c>
      <c r="S55" s="119">
        <f>+J55/$J$22*100</f>
        <v>93.290515350858854</v>
      </c>
      <c r="T55" s="119">
        <f>+K55/$K$22*100</f>
        <v>53.635999646287281</v>
      </c>
    </row>
    <row r="56" spans="1:20" x14ac:dyDescent="0.2">
      <c r="A56" s="20"/>
      <c r="B56" s="34"/>
      <c r="C56" s="76" t="s">
        <v>43</v>
      </c>
      <c r="D56" s="103">
        <f t="shared" ref="D56:K56" si="20">+SUM(D57:D59)</f>
        <v>21927.595835252581</v>
      </c>
      <c r="E56" s="103">
        <f t="shared" si="20"/>
        <v>22729.944177022597</v>
      </c>
      <c r="F56" s="103">
        <f t="shared" si="20"/>
        <v>29432.060199334974</v>
      </c>
      <c r="G56" s="103">
        <f t="shared" si="20"/>
        <v>21141.041456164261</v>
      </c>
      <c r="H56" s="103">
        <f t="shared" si="20"/>
        <v>29240.046135244254</v>
      </c>
      <c r="I56" s="103">
        <f t="shared" si="20"/>
        <v>40107.780758528264</v>
      </c>
      <c r="J56" s="103">
        <f t="shared" si="20"/>
        <v>50780.830536242145</v>
      </c>
      <c r="K56" s="103">
        <f t="shared" si="20"/>
        <v>18816.361027794352</v>
      </c>
      <c r="L56" s="117"/>
      <c r="M56" s="119">
        <f t="shared" si="15"/>
        <v>97.920436215609129</v>
      </c>
      <c r="N56" s="119">
        <f t="shared" si="16"/>
        <v>99.03890855638133</v>
      </c>
      <c r="O56" s="119">
        <f t="shared" si="17"/>
        <v>80.566235638046322</v>
      </c>
      <c r="P56" s="119">
        <f t="shared" si="18"/>
        <v>98.302711686827877</v>
      </c>
      <c r="Q56" s="119">
        <f>+H56/$H$23*100</f>
        <v>93.959294241296945</v>
      </c>
      <c r="R56" s="119">
        <f>+I56/$I$23*100</f>
        <v>96.59162358467897</v>
      </c>
      <c r="S56" s="119">
        <f>+J56/J23*100</f>
        <v>88.987220257333547</v>
      </c>
      <c r="T56" s="119">
        <f>+K56/K23*100</f>
        <v>48.993227572029753</v>
      </c>
    </row>
    <row r="57" spans="1:20" x14ac:dyDescent="0.2">
      <c r="A57" s="20"/>
      <c r="B57" s="32"/>
      <c r="C57" s="77" t="s">
        <v>98</v>
      </c>
      <c r="D57" s="104">
        <f>+'C6 Ejec. Nac 19-26'!D57+'C7 Ejec. Prop 19-26'!D57</f>
        <v>12303.517036912863</v>
      </c>
      <c r="E57" s="104">
        <f>+'C6 Ejec. Nac 19-26'!E57+'C7 Ejec. Prop 19-26'!E57</f>
        <v>9779.5210572701926</v>
      </c>
      <c r="F57" s="104">
        <f>+'C6 Ejec. Nac 19-26'!F57+'C7 Ejec. Prop 19-26'!F57</f>
        <v>15720.745303938267</v>
      </c>
      <c r="G57" s="104">
        <f>+'C6 Ejec. Nac 19-26'!G57+'C7 Ejec. Prop 19-26'!G57</f>
        <v>5459.3985094146947</v>
      </c>
      <c r="H57" s="104">
        <f>+'C6 Ejec. Nac 19-26'!H57+'C7 Ejec. Prop 19-26'!H57</f>
        <v>14736.693752411797</v>
      </c>
      <c r="I57" s="104">
        <f>+'C6 Ejec. Nac 19-26'!I57+'C7 Ejec. Prop 19-26'!I57</f>
        <v>20896.850787676867</v>
      </c>
      <c r="J57" s="104">
        <f>+'C6 Ejec. Nac 19-26'!J57+'C7 Ejec. Prop 19-26'!J57</f>
        <v>33878.997345685893</v>
      </c>
      <c r="K57" s="104">
        <f>8848.86520154034*Deflactores!$AA$5</f>
        <v>8848.8652015403404</v>
      </c>
      <c r="L57" s="6"/>
      <c r="M57" s="109">
        <f t="shared" si="15"/>
        <v>99.388399633902537</v>
      </c>
      <c r="N57" s="109">
        <f t="shared" si="16"/>
        <v>98.433201721859902</v>
      </c>
      <c r="O57" s="109">
        <f t="shared" si="17"/>
        <v>75.917390481882123</v>
      </c>
      <c r="P57" s="109">
        <f t="shared" si="18"/>
        <v>98.244261742361189</v>
      </c>
      <c r="Q57" s="109">
        <f t="shared" ref="Q57:Q67" si="21">+H57/H24*100</f>
        <v>95.285042047852386</v>
      </c>
      <c r="R57" s="109">
        <f>+I57/$I$24*100</f>
        <v>96.113574003752333</v>
      </c>
      <c r="S57" s="109">
        <f>+J57/$J$24*100</f>
        <v>92.714856987671055</v>
      </c>
      <c r="T57" s="109">
        <f>+K57/$K$24*100</f>
        <v>51.229329870283394</v>
      </c>
    </row>
    <row r="58" spans="1:20" x14ac:dyDescent="0.2">
      <c r="A58" s="20"/>
      <c r="B58" s="32"/>
      <c r="C58" s="77" t="s">
        <v>61</v>
      </c>
      <c r="D58" s="104">
        <f>+'C6 Ejec. Nac 19-26'!D58+'C7 Ejec. Prop 19-26'!D58</f>
        <v>9503.7651093247678</v>
      </c>
      <c r="E58" s="104">
        <f>+'C6 Ejec. Nac 19-26'!E58+'C7 Ejec. Prop 19-26'!E58</f>
        <v>12578.579715137696</v>
      </c>
      <c r="F58" s="104">
        <f>+'C6 Ejec. Nac 19-26'!F58+'C7 Ejec. Prop 19-26'!F58</f>
        <v>13525.002214046279</v>
      </c>
      <c r="G58" s="104">
        <f>+'C6 Ejec. Nac 19-26'!G58+'C7 Ejec. Prop 19-26'!G58</f>
        <v>15551.589122430167</v>
      </c>
      <c r="H58" s="104">
        <f>+'C6 Ejec. Nac 19-26'!H58+'C7 Ejec. Prop 19-26'!H58</f>
        <v>14398.335194633573</v>
      </c>
      <c r="I58" s="104">
        <f>+'C6 Ejec. Nac 19-26'!I58+'C7 Ejec. Prop 19-26'!I58</f>
        <v>19084.460576384106</v>
      </c>
      <c r="J58" s="104">
        <f>+'C6 Ejec. Nac 19-26'!J58+'C7 Ejec. Prop 19-26'!J58</f>
        <v>16659.505975095297</v>
      </c>
      <c r="K58" s="104">
        <f>9899.34083871873*Deflactores!$AA$5</f>
        <v>9899.3408387187301</v>
      </c>
      <c r="L58" s="6"/>
      <c r="M58" s="109">
        <f t="shared" si="15"/>
        <v>96.817670243193476</v>
      </c>
      <c r="N58" s="109">
        <f t="shared" si="16"/>
        <v>99.773939366644953</v>
      </c>
      <c r="O58" s="109">
        <f t="shared" si="17"/>
        <v>86.762291864065872</v>
      </c>
      <c r="P58" s="109">
        <f t="shared" si="18"/>
        <v>98.664159931872859</v>
      </c>
      <c r="Q58" s="109">
        <f t="shared" si="21"/>
        <v>93.025474680170845</v>
      </c>
      <c r="R58" s="109">
        <f>+I58/$I$25*100</f>
        <v>97.740382033882085</v>
      </c>
      <c r="S58" s="109">
        <f>+J58/$J$25*100</f>
        <v>83.663837569783212</v>
      </c>
      <c r="T58" s="109">
        <f>+K58/$K$25*100</f>
        <v>49.528743362089592</v>
      </c>
    </row>
    <row r="59" spans="1:20" x14ac:dyDescent="0.2">
      <c r="A59" s="20"/>
      <c r="B59" s="32"/>
      <c r="C59" s="77" t="s">
        <v>103</v>
      </c>
      <c r="D59" s="104">
        <f>+'C6 Ejec. Nac 19-26'!D59+'C7 Ejec. Prop 19-26'!D59</f>
        <v>120.31368901494963</v>
      </c>
      <c r="E59" s="104">
        <f>+'C6 Ejec. Nac 19-26'!E59+'C7 Ejec. Prop 19-26'!E59</f>
        <v>371.84340461470879</v>
      </c>
      <c r="F59" s="104">
        <f>+'C6 Ejec. Nac 19-26'!F59+'C7 Ejec. Prop 19-26'!F59</f>
        <v>186.31268135042782</v>
      </c>
      <c r="G59" s="104">
        <f>+'C6 Ejec. Nac 19-26'!G59+'C7 Ejec. Prop 19-26'!G59</f>
        <v>130.05382431939768</v>
      </c>
      <c r="H59" s="104">
        <f>+'C6 Ejec. Nac 19-26'!H59+'C7 Ejec. Prop 19-26'!H59</f>
        <v>105.0171881988839</v>
      </c>
      <c r="I59" s="104">
        <f>+'C6 Ejec. Nac 19-26'!I59+'C7 Ejec. Prop 19-26'!I59</f>
        <v>126.46939446729323</v>
      </c>
      <c r="J59" s="104">
        <f>+'C6 Ejec. Nac 19-26'!J59+'C7 Ejec. Prop 19-26'!J59</f>
        <v>242.32721546094834</v>
      </c>
      <c r="K59" s="104">
        <f>68.15498753528*Deflactores!$AA$5</f>
        <v>68.15498753528</v>
      </c>
      <c r="L59" s="6"/>
      <c r="M59" s="109">
        <f t="shared" si="15"/>
        <v>60.794391327100506</v>
      </c>
      <c r="N59" s="109">
        <f t="shared" si="16"/>
        <v>91.081179579682313</v>
      </c>
      <c r="O59" s="109">
        <f t="shared" si="17"/>
        <v>79.202590399289036</v>
      </c>
      <c r="P59" s="109">
        <f t="shared" si="18"/>
        <v>69.565773495565139</v>
      </c>
      <c r="Q59" s="109">
        <f t="shared" si="21"/>
        <v>59.613840996027697</v>
      </c>
      <c r="R59" s="109">
        <f>+I59/$I$26*100</f>
        <v>49.490000603946534</v>
      </c>
      <c r="S59" s="109">
        <f>+J59/$J$26*100</f>
        <v>39.608415930811503</v>
      </c>
      <c r="T59" s="109">
        <f>+K59/$K$26*100</f>
        <v>5.9475304078412758</v>
      </c>
    </row>
    <row r="60" spans="1:20" x14ac:dyDescent="0.2">
      <c r="A60" s="20"/>
      <c r="B60" s="34"/>
      <c r="C60" s="76" t="s">
        <v>44</v>
      </c>
      <c r="D60" s="103">
        <f t="shared" ref="D60:K60" si="22">+SUM(D61:D64)</f>
        <v>58326.806445727547</v>
      </c>
      <c r="E60" s="103">
        <f t="shared" si="22"/>
        <v>58753.742964386758</v>
      </c>
      <c r="F60" s="103">
        <f t="shared" si="22"/>
        <v>57016.112612207231</v>
      </c>
      <c r="G60" s="103">
        <f t="shared" si="22"/>
        <v>69590.204525825931</v>
      </c>
      <c r="H60" s="103">
        <f t="shared" si="22"/>
        <v>58992.462296021855</v>
      </c>
      <c r="I60" s="103">
        <f t="shared" si="22"/>
        <v>60834.505655099361</v>
      </c>
      <c r="J60" s="103">
        <f t="shared" si="22"/>
        <v>60606.851358817512</v>
      </c>
      <c r="K60" s="103">
        <f t="shared" si="22"/>
        <v>35060.844250974122</v>
      </c>
      <c r="L60" s="117"/>
      <c r="M60" s="119">
        <f t="shared" si="15"/>
        <v>99.903308989115999</v>
      </c>
      <c r="N60" s="119">
        <f t="shared" si="16"/>
        <v>99.387219894223364</v>
      </c>
      <c r="O60" s="119">
        <f t="shared" si="17"/>
        <v>86.823005256468178</v>
      </c>
      <c r="P60" s="119">
        <f t="shared" si="18"/>
        <v>98.97907111577689</v>
      </c>
      <c r="Q60" s="119">
        <f t="shared" si="21"/>
        <v>96.854024860672737</v>
      </c>
      <c r="R60" s="119">
        <f>+I60/$I$27*100</f>
        <v>95.479627446618153</v>
      </c>
      <c r="S60" s="119">
        <f>+J60/$J$27*100</f>
        <v>97.230117594529972</v>
      </c>
      <c r="T60" s="119">
        <f>+K60/$K$27*100</f>
        <v>56.509951686409245</v>
      </c>
    </row>
    <row r="61" spans="1:20" x14ac:dyDescent="0.2">
      <c r="A61" s="20"/>
      <c r="B61" s="32"/>
      <c r="C61" s="77" t="s">
        <v>98</v>
      </c>
      <c r="D61" s="104">
        <f>+'C6 Ejec. Nac 19-26'!D61+'C7 Ejec. Prop 19-26'!D61</f>
        <v>27871.868753143692</v>
      </c>
      <c r="E61" s="104">
        <f>+'C6 Ejec. Nac 19-26'!E61+'C7 Ejec. Prop 19-26'!E61</f>
        <v>24624.337322390522</v>
      </c>
      <c r="F61" s="104">
        <f>+'C6 Ejec. Nac 19-26'!F61+'C7 Ejec. Prop 19-26'!F61</f>
        <v>22265.837491937127</v>
      </c>
      <c r="G61" s="104">
        <f>+'C6 Ejec. Nac 19-26'!G61+'C7 Ejec. Prop 19-26'!G61</f>
        <v>33453.822536047534</v>
      </c>
      <c r="H61" s="104">
        <f>+'C6 Ejec. Nac 19-26'!H61+'C7 Ejec. Prop 19-26'!H61</f>
        <v>20090.410735864101</v>
      </c>
      <c r="I61" s="104">
        <f>+'C6 Ejec. Nac 19-26'!I61+'C7 Ejec. Prop 19-26'!I61</f>
        <v>13489.171628210106</v>
      </c>
      <c r="J61" s="104">
        <f>+'C6 Ejec. Nac 19-26'!J61+'C7 Ejec. Prop 19-26'!J61</f>
        <v>10867.833177224529</v>
      </c>
      <c r="K61" s="104">
        <f>603.79060194526*Deflactores!$AA$5</f>
        <v>603.79060194526005</v>
      </c>
      <c r="L61" s="6"/>
      <c r="M61" s="109">
        <f t="shared" si="15"/>
        <v>99.891241656671028</v>
      </c>
      <c r="N61" s="109">
        <f t="shared" si="16"/>
        <v>98.629961642662352</v>
      </c>
      <c r="O61" s="109">
        <f t="shared" si="17"/>
        <v>76.614889151609304</v>
      </c>
      <c r="P61" s="109">
        <f t="shared" si="18"/>
        <v>98.419926262060798</v>
      </c>
      <c r="Q61" s="109">
        <f t="shared" si="21"/>
        <v>97.958233185630732</v>
      </c>
      <c r="R61" s="109">
        <f>+I61/$I$28*100</f>
        <v>86.942815677852906</v>
      </c>
      <c r="S61" s="109">
        <f>+J61/$J$28*100</f>
        <v>98.698078978925636</v>
      </c>
      <c r="T61" s="109">
        <f>+K61/$K$28*100</f>
        <v>5.8377446865291578</v>
      </c>
    </row>
    <row r="62" spans="1:20" x14ac:dyDescent="0.2">
      <c r="A62" s="20"/>
      <c r="B62" s="32"/>
      <c r="C62" s="77" t="s">
        <v>61</v>
      </c>
      <c r="D62" s="104">
        <f>+'C6 Ejec. Nac 19-26'!D62+'C7 Ejec. Prop 19-26'!D62</f>
        <v>29446.612252664952</v>
      </c>
      <c r="E62" s="104">
        <f>+'C6 Ejec. Nac 19-26'!E62+'C7 Ejec. Prop 19-26'!E62</f>
        <v>32711.982291792952</v>
      </c>
      <c r="F62" s="104">
        <f>+'C6 Ejec. Nac 19-26'!F62+'C7 Ejec. Prop 19-26'!F62</f>
        <v>33308.037663893178</v>
      </c>
      <c r="G62" s="104">
        <f>+'C6 Ejec. Nac 19-26'!G62+'C7 Ejec. Prop 19-26'!G62</f>
        <v>34300.608281425208</v>
      </c>
      <c r="H62" s="104">
        <f>+'C6 Ejec. Nac 19-26'!H62+'C7 Ejec. Prop 19-26'!H62</f>
        <v>33958.724412616233</v>
      </c>
      <c r="I62" s="104">
        <f>+'C6 Ejec. Nac 19-26'!I62+'C7 Ejec. Prop 19-26'!I62</f>
        <v>45590.244535714432</v>
      </c>
      <c r="J62" s="104">
        <f>+'C6 Ejec. Nac 19-26'!J62+'C7 Ejec. Prop 19-26'!J62</f>
        <v>47551.585593332275</v>
      </c>
      <c r="K62" s="104">
        <f>34206.8318239497*Deflactores!$AA$5</f>
        <v>34206.831823949702</v>
      </c>
      <c r="L62" s="6"/>
      <c r="M62" s="109">
        <f t="shared" si="15"/>
        <v>99.947408675518034</v>
      </c>
      <c r="N62" s="109">
        <f t="shared" si="16"/>
        <v>99.953994750559431</v>
      </c>
      <c r="O62" s="109">
        <f t="shared" si="17"/>
        <v>95.211232895925633</v>
      </c>
      <c r="P62" s="109">
        <f t="shared" si="18"/>
        <v>99.679324468850211</v>
      </c>
      <c r="Q62" s="109">
        <f t="shared" si="21"/>
        <v>96.068262978996884</v>
      </c>
      <c r="R62" s="109">
        <f>+I62/$I$29*100</f>
        <v>98.508860107453842</v>
      </c>
      <c r="S62" s="109">
        <f>+J62/$J$29*100</f>
        <v>97.06886689186075</v>
      </c>
      <c r="T62" s="109">
        <f>+K62/$K$29*100</f>
        <v>70.128254255892557</v>
      </c>
    </row>
    <row r="63" spans="1:20" x14ac:dyDescent="0.2">
      <c r="A63" s="20"/>
      <c r="B63" s="32"/>
      <c r="C63" s="77" t="s">
        <v>103</v>
      </c>
      <c r="D63" s="104">
        <f>+'C6 Ejec. Nac 19-26'!D63+'C7 Ejec. Prop 19-26'!D63</f>
        <v>246.4616231091249</v>
      </c>
      <c r="E63" s="104">
        <f>+'C6 Ejec. Nac 19-26'!E63+'C7 Ejec. Prop 19-26'!E63</f>
        <v>234.19193808176965</v>
      </c>
      <c r="F63" s="104">
        <f>+'C6 Ejec. Nac 19-26'!F63+'C7 Ejec. Prop 19-26'!F63</f>
        <v>233.03587570247961</v>
      </c>
      <c r="G63" s="104">
        <f>+'C6 Ejec. Nac 19-26'!G63+'C7 Ejec. Prop 19-26'!G63</f>
        <v>232.392159595262</v>
      </c>
      <c r="H63" s="104">
        <f>+'C6 Ejec. Nac 19-26'!H63+'C7 Ejec. Prop 19-26'!H63</f>
        <v>238.45338321533606</v>
      </c>
      <c r="I63" s="104">
        <f>+'C6 Ejec. Nac 19-26'!I63+'C7 Ejec. Prop 19-26'!I63</f>
        <v>164.79076431034534</v>
      </c>
      <c r="J63" s="104">
        <f>+'C6 Ejec. Nac 19-26'!J63+'C7 Ejec. Prop 19-26'!J63</f>
        <v>165.27869632519003</v>
      </c>
      <c r="K63" s="104">
        <f>44.78317164316*Deflactores!$AA$5</f>
        <v>44.783171643160003</v>
      </c>
      <c r="L63" s="6"/>
      <c r="M63" s="109">
        <f t="shared" si="15"/>
        <v>97.898106351678791</v>
      </c>
      <c r="N63" s="109">
        <f t="shared" si="16"/>
        <v>97.849973651726913</v>
      </c>
      <c r="O63" s="109">
        <f t="shared" si="17"/>
        <v>56.176440462735535</v>
      </c>
      <c r="P63" s="109">
        <f t="shared" si="18"/>
        <v>76.758409079206785</v>
      </c>
      <c r="Q63" s="109">
        <f t="shared" si="21"/>
        <v>68.904803532376818</v>
      </c>
      <c r="R63" s="109">
        <f>+I63/$I$30*100</f>
        <v>50.087750210487926</v>
      </c>
      <c r="S63" s="109">
        <f>+J63/$J$30*100</f>
        <v>52.872958163011518</v>
      </c>
      <c r="T63" s="109">
        <f>+K63/$K$30*100</f>
        <v>17.362618491365915</v>
      </c>
    </row>
    <row r="64" spans="1:20" x14ac:dyDescent="0.2">
      <c r="A64" s="20"/>
      <c r="B64" s="32"/>
      <c r="C64" s="77" t="s">
        <v>104</v>
      </c>
      <c r="D64" s="104">
        <f>+'C6 Ejec. Nac 19-26'!D64+'C7 Ejec. Prop 19-26'!D64</f>
        <v>761.86381680977763</v>
      </c>
      <c r="E64" s="104">
        <f>+'C6 Ejec. Nac 19-26'!E64+'C7 Ejec. Prop 19-26'!E64</f>
        <v>1183.2314121215102</v>
      </c>
      <c r="F64" s="104">
        <f>+'C6 Ejec. Nac 19-26'!F64+'C7 Ejec. Prop 19-26'!F64</f>
        <v>1209.2015806744421</v>
      </c>
      <c r="G64" s="104">
        <f>+'C6 Ejec. Nac 19-26'!G64+'C7 Ejec. Prop 19-26'!G64</f>
        <v>1603.3815487579266</v>
      </c>
      <c r="H64" s="104">
        <f>+'C6 Ejec. Nac 19-26'!H64+'C7 Ejec. Prop 19-26'!H64</f>
        <v>4704.8737643261884</v>
      </c>
      <c r="I64" s="104">
        <f>+'C6 Ejec. Nac 19-26'!I64+'C7 Ejec. Prop 19-26'!I64</f>
        <v>1590.2987268644761</v>
      </c>
      <c r="J64" s="104">
        <f>+'C6 Ejec. Nac 19-26'!J64+'C7 Ejec. Prop 19-26'!J64</f>
        <v>2022.1538919355123</v>
      </c>
      <c r="K64" s="104">
        <f>205.438653436*Deflactores!$AA$5</f>
        <v>205.43865343600001</v>
      </c>
      <c r="L64" s="6"/>
      <c r="M64" s="109">
        <f t="shared" si="15"/>
        <v>99.306648069156793</v>
      </c>
      <c r="N64" s="109">
        <f t="shared" si="16"/>
        <v>100</v>
      </c>
      <c r="O64" s="109">
        <f t="shared" si="17"/>
        <v>100</v>
      </c>
      <c r="P64" s="109">
        <f t="shared" si="18"/>
        <v>99.999996592134863</v>
      </c>
      <c r="Q64" s="109">
        <f t="shared" si="21"/>
        <v>99.999977209527117</v>
      </c>
      <c r="R64" s="109">
        <f>+I64/$I$31*100</f>
        <v>100</v>
      </c>
      <c r="S64" s="109">
        <f>+J64/$J$31*100</f>
        <v>100</v>
      </c>
      <c r="T64" s="109">
        <f>+K64/$K$31*100</f>
        <v>7.707818419547305</v>
      </c>
    </row>
    <row r="65" spans="1:20" x14ac:dyDescent="0.2">
      <c r="A65" s="20"/>
      <c r="B65" s="34" t="s">
        <v>45</v>
      </c>
      <c r="C65" s="76" t="s">
        <v>46</v>
      </c>
      <c r="D65" s="103">
        <f>+'C6 Ejec. Nac 19-26'!D65+'C7 Ejec. Prop 19-26'!D65</f>
        <v>62838.700918444534</v>
      </c>
      <c r="E65" s="103">
        <f>+'C6 Ejec. Nac 19-26'!E65+'C7 Ejec. Prop 19-26'!E65</f>
        <v>64311.225579648955</v>
      </c>
      <c r="F65" s="103">
        <f>+'C6 Ejec. Nac 19-26'!F65+'C7 Ejec. Prop 19-26'!F65</f>
        <v>81850.059550194346</v>
      </c>
      <c r="G65" s="103">
        <f>+'C6 Ejec. Nac 19-26'!G65+'C7 Ejec. Prop 19-26'!G65</f>
        <v>84508.212027522284</v>
      </c>
      <c r="H65" s="103">
        <f>+'C6 Ejec. Nac 19-26'!H65+'C7 Ejec. Prop 19-26'!H65</f>
        <v>87935.152861916955</v>
      </c>
      <c r="I65" s="103">
        <f>+'C6 Ejec. Nac 19-26'!I65+'C7 Ejec. Prop 19-26'!I65</f>
        <v>97473.350574830169</v>
      </c>
      <c r="J65" s="103">
        <f>+'C6 Ejec. Nac 19-26'!J65+'C7 Ejec. Prop 19-26'!J65</f>
        <v>80659.833210044482</v>
      </c>
      <c r="K65" s="103">
        <f>55768.1000785145*Deflactores!$AA$5</f>
        <v>55768.100078514501</v>
      </c>
      <c r="L65" s="117"/>
      <c r="M65" s="113">
        <f t="shared" si="15"/>
        <v>96.660002824946005</v>
      </c>
      <c r="N65" s="113">
        <f t="shared" si="16"/>
        <v>96.001758899529307</v>
      </c>
      <c r="O65" s="113">
        <f t="shared" si="17"/>
        <v>94.805680001135201</v>
      </c>
      <c r="P65" s="113">
        <f t="shared" si="18"/>
        <v>94.661194317059298</v>
      </c>
      <c r="Q65" s="113">
        <f t="shared" si="21"/>
        <v>90.001773948783793</v>
      </c>
      <c r="R65" s="113">
        <f>+I65/$I$32*100</f>
        <v>96.537932715839318</v>
      </c>
      <c r="S65" s="113">
        <f>+J65/$J$32*100</f>
        <v>97.376960153813201</v>
      </c>
      <c r="T65" s="113">
        <f>+K65/$K$32*100</f>
        <v>62.330164237539009</v>
      </c>
    </row>
    <row r="66" spans="1:20" x14ac:dyDescent="0.2">
      <c r="A66" s="21"/>
      <c r="B66" s="36" t="s">
        <v>47</v>
      </c>
      <c r="C66" s="78" t="s">
        <v>48</v>
      </c>
      <c r="D66" s="105">
        <f t="shared" ref="D66:K66" si="23">+D47+D65</f>
        <v>304543.31212410872</v>
      </c>
      <c r="E66" s="105">
        <f t="shared" si="23"/>
        <v>355802.76876909833</v>
      </c>
      <c r="F66" s="105">
        <f t="shared" si="23"/>
        <v>382802.12575838494</v>
      </c>
      <c r="G66" s="105">
        <f t="shared" si="23"/>
        <v>345059.3807939968</v>
      </c>
      <c r="H66" s="105">
        <f t="shared" si="23"/>
        <v>387326.82297549921</v>
      </c>
      <c r="I66" s="105">
        <f t="shared" si="23"/>
        <v>407749.95710696327</v>
      </c>
      <c r="J66" s="105">
        <f t="shared" si="23"/>
        <v>415139.24351974757</v>
      </c>
      <c r="K66" s="105">
        <f t="shared" si="23"/>
        <v>243930.59569579741</v>
      </c>
      <c r="L66" s="117"/>
      <c r="M66" s="112">
        <f t="shared" si="15"/>
        <v>98.653732946933602</v>
      </c>
      <c r="N66" s="112">
        <f t="shared" si="16"/>
        <v>90.938302753094391</v>
      </c>
      <c r="O66" s="112">
        <f t="shared" si="17"/>
        <v>96.592229970655225</v>
      </c>
      <c r="P66" s="112">
        <f t="shared" si="18"/>
        <v>95.849976232276362</v>
      </c>
      <c r="Q66" s="112">
        <f t="shared" si="21"/>
        <v>95.852678171485067</v>
      </c>
      <c r="R66" s="112">
        <f>+I66/$I$33*100</f>
        <v>96.092761196055164</v>
      </c>
      <c r="S66" s="112">
        <f>+J66/$J$33*100</f>
        <v>98.402750381978777</v>
      </c>
      <c r="T66" s="112">
        <f>+K66/$K$33*100</f>
        <v>53.567722041872344</v>
      </c>
    </row>
    <row r="67" spans="1:20" x14ac:dyDescent="0.2">
      <c r="A67" s="20"/>
      <c r="B67" s="38" t="s">
        <v>49</v>
      </c>
      <c r="C67" s="79" t="s">
        <v>63</v>
      </c>
      <c r="D67" s="106">
        <f t="shared" ref="D67:K67" si="24">+D47+D55+D65</f>
        <v>384797.71440508886</v>
      </c>
      <c r="E67" s="106">
        <f t="shared" si="24"/>
        <v>437286.45591050771</v>
      </c>
      <c r="F67" s="106">
        <f t="shared" si="24"/>
        <v>469250.29856992717</v>
      </c>
      <c r="G67" s="106">
        <f t="shared" si="24"/>
        <v>435790.62677598698</v>
      </c>
      <c r="H67" s="106">
        <f t="shared" si="24"/>
        <v>475559.33140676527</v>
      </c>
      <c r="I67" s="106">
        <f t="shared" si="24"/>
        <v>508692.24352059094</v>
      </c>
      <c r="J67" s="106">
        <f t="shared" si="24"/>
        <v>526526.92541480716</v>
      </c>
      <c r="K67" s="106">
        <f t="shared" si="24"/>
        <v>297807.80097456585</v>
      </c>
      <c r="L67" s="117"/>
      <c r="M67" s="107">
        <f t="shared" si="15"/>
        <v>98.798885502227634</v>
      </c>
      <c r="N67" s="107">
        <f t="shared" si="16"/>
        <v>92.386316132170833</v>
      </c>
      <c r="O67" s="107">
        <f t="shared" si="17"/>
        <v>94.130901594888968</v>
      </c>
      <c r="P67" s="107">
        <f t="shared" si="18"/>
        <v>96.453652477834567</v>
      </c>
      <c r="Q67" s="107">
        <f t="shared" si="21"/>
        <v>95.856848026020998</v>
      </c>
      <c r="R67" s="107">
        <f>+I67/$I$34*100</f>
        <v>96.058107775942347</v>
      </c>
      <c r="S67" s="107">
        <f>+J67/$J$34*100</f>
        <v>97.275056068376372</v>
      </c>
      <c r="T67" s="107">
        <f>+K67/$K$34*100</f>
        <v>53.580061443307258</v>
      </c>
    </row>
    <row r="68" spans="1:20" s="5" customFormat="1" x14ac:dyDescent="0.2">
      <c r="A68" s="32"/>
      <c r="B68" s="72" t="str">
        <f>+'C1 Aprop Resumen 2000-2026'!B20</f>
        <v>* Información con corte a 30 de Junio</v>
      </c>
      <c r="C68" s="68"/>
      <c r="D68" s="108"/>
      <c r="E68" s="108"/>
      <c r="F68" s="108"/>
      <c r="G68" s="108"/>
      <c r="H68" s="108"/>
      <c r="I68" s="108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</row>
    <row r="74" spans="1:20" ht="18" customHeight="1" x14ac:dyDescent="0.2">
      <c r="C74" s="131"/>
      <c r="D74" s="164" t="s">
        <v>105</v>
      </c>
      <c r="E74" s="160"/>
      <c r="F74" s="160"/>
      <c r="G74" s="160"/>
      <c r="H74" s="160"/>
      <c r="I74" s="160"/>
      <c r="J74" s="160"/>
      <c r="K74" s="170"/>
      <c r="L74" s="170"/>
      <c r="M74" s="171"/>
      <c r="N74" s="171"/>
      <c r="O74" s="171"/>
      <c r="P74" s="171"/>
      <c r="Q74" s="171"/>
      <c r="R74" s="171"/>
      <c r="S74" s="171"/>
      <c r="T74" s="160"/>
    </row>
    <row r="75" spans="1:20" x14ac:dyDescent="0.2">
      <c r="B75" s="2"/>
      <c r="C75" s="2"/>
      <c r="D75" s="2"/>
      <c r="E75" s="2"/>
      <c r="F75" s="2"/>
      <c r="G75" s="2"/>
      <c r="H75" s="2"/>
      <c r="I75" s="2"/>
      <c r="M75" s="176"/>
      <c r="N75" s="171"/>
      <c r="O75" s="171"/>
      <c r="P75" s="171"/>
      <c r="Q75" s="171"/>
      <c r="R75" s="171"/>
      <c r="S75" s="171"/>
    </row>
    <row r="76" spans="1:20" ht="12" customHeight="1" thickBot="1" x14ac:dyDescent="0.3">
      <c r="B76" s="92"/>
      <c r="C76" s="92"/>
      <c r="D76" s="173"/>
      <c r="E76" s="156"/>
      <c r="F76" s="156"/>
      <c r="G76" s="156"/>
      <c r="H76" s="156"/>
      <c r="I76" s="156"/>
      <c r="J76" s="156"/>
      <c r="K76" s="156"/>
      <c r="M76" s="173" t="s">
        <v>106</v>
      </c>
      <c r="N76" s="156"/>
      <c r="O76" s="156"/>
      <c r="P76" s="156"/>
      <c r="Q76" s="156"/>
      <c r="R76" s="156"/>
      <c r="S76" s="156"/>
      <c r="T76" s="156"/>
    </row>
    <row r="77" spans="1:20" x14ac:dyDescent="0.2">
      <c r="B77" s="49"/>
      <c r="C77" s="175" t="s">
        <v>38</v>
      </c>
      <c r="D77" s="155">
        <v>2019</v>
      </c>
      <c r="E77" s="155">
        <v>2020</v>
      </c>
      <c r="F77" s="155">
        <v>2021</v>
      </c>
      <c r="G77" s="155">
        <v>2022</v>
      </c>
      <c r="H77" s="155">
        <v>2023</v>
      </c>
      <c r="I77" s="155">
        <v>2024</v>
      </c>
      <c r="J77" s="155">
        <v>2025</v>
      </c>
      <c r="K77" s="155" t="s">
        <v>36</v>
      </c>
      <c r="L77" s="114"/>
      <c r="M77" s="155">
        <v>2019</v>
      </c>
      <c r="N77" s="155">
        <v>2020</v>
      </c>
      <c r="O77" s="155">
        <v>2021</v>
      </c>
      <c r="P77" s="155">
        <v>2022</v>
      </c>
      <c r="Q77" s="155">
        <v>2023</v>
      </c>
      <c r="R77" s="155">
        <v>2024</v>
      </c>
      <c r="S77" s="155">
        <v>2025</v>
      </c>
      <c r="T77" s="155" t="s">
        <v>36</v>
      </c>
    </row>
    <row r="78" spans="1:20" ht="12" customHeight="1" thickBot="1" x14ac:dyDescent="0.25">
      <c r="B78" s="84"/>
      <c r="C78" s="156"/>
      <c r="D78" s="156"/>
      <c r="E78" s="156"/>
      <c r="F78" s="156"/>
      <c r="G78" s="156"/>
      <c r="H78" s="156"/>
      <c r="I78" s="156"/>
      <c r="J78" s="156"/>
      <c r="K78" s="156"/>
      <c r="L78" s="114"/>
      <c r="M78" s="156"/>
      <c r="N78" s="156"/>
      <c r="O78" s="156"/>
      <c r="P78" s="156"/>
      <c r="Q78" s="156"/>
      <c r="R78" s="156"/>
      <c r="S78" s="156"/>
      <c r="T78" s="156"/>
    </row>
    <row r="79" spans="1:20" x14ac:dyDescent="0.2">
      <c r="B79" s="34" t="s">
        <v>39</v>
      </c>
      <c r="C79" s="76" t="s">
        <v>40</v>
      </c>
      <c r="D79" s="41">
        <f t="shared" ref="D79:K79" si="25">+SUM(D80:D86)</f>
        <v>229795.03363724114</v>
      </c>
      <c r="E79" s="41">
        <f t="shared" si="25"/>
        <v>273579.24842338351</v>
      </c>
      <c r="F79" s="41">
        <f t="shared" si="25"/>
        <v>289608.88110585685</v>
      </c>
      <c r="G79" s="41">
        <f t="shared" si="25"/>
        <v>240995.42892362317</v>
      </c>
      <c r="H79" s="41">
        <f t="shared" si="25"/>
        <v>276875.23592998047</v>
      </c>
      <c r="I79" s="41">
        <f t="shared" si="25"/>
        <v>290127.67775708431</v>
      </c>
      <c r="J79" s="41">
        <f t="shared" si="25"/>
        <v>311526.67793387437</v>
      </c>
      <c r="K79" s="41">
        <f t="shared" si="25"/>
        <v>153054.39175156306</v>
      </c>
      <c r="M79" s="46">
        <f>+D79/$D$14*100</f>
        <v>94.298409362867417</v>
      </c>
      <c r="N79" s="46">
        <f>+E79/$E$14*100</f>
        <v>84.368334150482013</v>
      </c>
      <c r="O79" s="46">
        <f>+F79/$F$14*100</f>
        <v>93.430412339415454</v>
      </c>
      <c r="P79" s="46">
        <f>+G79/$G$14*100</f>
        <v>89.018520366539448</v>
      </c>
      <c r="Q79" s="46">
        <f>+H79/$H$14*100</f>
        <v>90.36936255080667</v>
      </c>
      <c r="R79" s="46">
        <f>+I79/$I$14*100</f>
        <v>89.722654158755887</v>
      </c>
      <c r="S79" s="46">
        <f>+J79/$J$14*100</f>
        <v>91.88354606446515</v>
      </c>
      <c r="T79" s="46">
        <f>+K79/$K$14*100</f>
        <v>41.829965454928377</v>
      </c>
    </row>
    <row r="80" spans="1:20" x14ac:dyDescent="0.2">
      <c r="B80" s="40"/>
      <c r="C80" s="77" t="s">
        <v>92</v>
      </c>
      <c r="D80" s="42">
        <f>+'C6 Ejec. Nac 19-26'!D80+'C7 Ejec. Prop 19-26'!D80</f>
        <v>47764.445856366852</v>
      </c>
      <c r="E80" s="42">
        <f>+'C6 Ejec. Nac 19-26'!E80+'C7 Ejec. Prop 19-26'!E80</f>
        <v>48788.944380991779</v>
      </c>
      <c r="F80" s="42">
        <f>+'C6 Ejec. Nac 19-26'!F80+'C7 Ejec. Prop 19-26'!F80</f>
        <v>49031.788597611681</v>
      </c>
      <c r="G80" s="42">
        <f>+'C6 Ejec. Nac 19-26'!G80+'C7 Ejec. Prop 19-26'!G80</f>
        <v>47959.733619382787</v>
      </c>
      <c r="H80" s="42">
        <f>+'C6 Ejec. Nac 19-26'!H80+'C7 Ejec. Prop 19-26'!H80</f>
        <v>50810.556605135695</v>
      </c>
      <c r="I80" s="42">
        <f>+'C6 Ejec. Nac 19-26'!I80+'C7 Ejec. Prop 19-26'!I80</f>
        <v>55201.11811263681</v>
      </c>
      <c r="J80" s="42">
        <f>+'C6 Ejec. Nac 19-26'!J80+'C7 Ejec. Prop 19-26'!J80</f>
        <v>58983.637835514441</v>
      </c>
      <c r="K80" s="42">
        <f>28781.6481061125*Deflactores!$AA$5</f>
        <v>28781.648106112501</v>
      </c>
      <c r="L80" s="5">
        <v>1000000000</v>
      </c>
      <c r="M80" s="47">
        <f t="shared" ref="M80:M99" si="26">+D80/D15*100</f>
        <v>98.122125776981932</v>
      </c>
      <c r="N80" s="47">
        <f t="shared" ref="N80:N99" si="27">+E80/E15*100</f>
        <v>96.478425061936377</v>
      </c>
      <c r="O80" s="47">
        <f t="shared" ref="O80:O99" si="28">+F80/F15*100</f>
        <v>96.246207277547441</v>
      </c>
      <c r="P80" s="47">
        <f t="shared" ref="P80:P99" si="29">+G80/G15*100</f>
        <v>96.833878070547428</v>
      </c>
      <c r="Q80" s="47">
        <f t="shared" ref="Q80:Q99" si="30">+H80/H15*100</f>
        <v>95.45061146860418</v>
      </c>
      <c r="R80" s="47">
        <f t="shared" ref="R80:R99" si="31">+I80/I15*100</f>
        <v>96.944864697667498</v>
      </c>
      <c r="S80" s="47">
        <f t="shared" ref="S80:S99" si="32">+J80/J15*100</f>
        <v>96.878333756575344</v>
      </c>
      <c r="T80" s="47">
        <f t="shared" ref="T80:T99" si="33">+K80/K15*100</f>
        <v>43.084079400880796</v>
      </c>
    </row>
    <row r="81" spans="2:20" x14ac:dyDescent="0.2">
      <c r="B81" s="40"/>
      <c r="C81" s="77" t="s">
        <v>93</v>
      </c>
      <c r="D81" s="42">
        <f>+'C6 Ejec. Nac 19-26'!D81+'C7 Ejec. Prop 19-26'!D81</f>
        <v>13420.794039052993</v>
      </c>
      <c r="E81" s="42">
        <f>+'C6 Ejec. Nac 19-26'!E81+'C7 Ejec. Prop 19-26'!E81</f>
        <v>12978.59135544158</v>
      </c>
      <c r="F81" s="42">
        <f>+'C6 Ejec. Nac 19-26'!F81+'C7 Ejec. Prop 19-26'!F81</f>
        <v>13936.22246916006</v>
      </c>
      <c r="G81" s="42">
        <f>+'C6 Ejec. Nac 19-26'!G81+'C7 Ejec. Prop 19-26'!G81</f>
        <v>15058.53163871335</v>
      </c>
      <c r="H81" s="42">
        <f>+'C6 Ejec. Nac 19-26'!H81+'C7 Ejec. Prop 19-26'!H81</f>
        <v>14716.019123559219</v>
      </c>
      <c r="I81" s="42">
        <f>+'C6 Ejec. Nac 19-26'!I81+'C7 Ejec. Prop 19-26'!I81</f>
        <v>13671.728332270093</v>
      </c>
      <c r="J81" s="42">
        <f>+'C6 Ejec. Nac 19-26'!J81+'C7 Ejec. Prop 19-26'!J81</f>
        <v>16210.819015048715</v>
      </c>
      <c r="K81" s="42">
        <f>7340.21898362402*Deflactores!$AA$5</f>
        <v>7340.2189836240204</v>
      </c>
      <c r="L81" s="42"/>
      <c r="M81" s="47">
        <f t="shared" si="26"/>
        <v>88.839633778884661</v>
      </c>
      <c r="N81" s="47">
        <f t="shared" si="27"/>
        <v>86.515730262795842</v>
      </c>
      <c r="O81" s="47">
        <f t="shared" si="28"/>
        <v>87.983947605791172</v>
      </c>
      <c r="P81" s="47">
        <f t="shared" si="29"/>
        <v>87.105215789373801</v>
      </c>
      <c r="Q81" s="47">
        <f t="shared" si="30"/>
        <v>78.753612953003056</v>
      </c>
      <c r="R81" s="47">
        <f t="shared" si="31"/>
        <v>72.12473713833873</v>
      </c>
      <c r="S81" s="47">
        <f t="shared" si="32"/>
        <v>75.531641477116167</v>
      </c>
      <c r="T81" s="47">
        <f t="shared" si="33"/>
        <v>35.364810850366077</v>
      </c>
    </row>
    <row r="82" spans="2:20" x14ac:dyDescent="0.2">
      <c r="B82" s="40"/>
      <c r="C82" s="77" t="s">
        <v>58</v>
      </c>
      <c r="D82" s="42">
        <f>+'C6 Ejec. Nac 19-26'!D82+'C7 Ejec. Prop 19-26'!D82</f>
        <v>164826.85437643246</v>
      </c>
      <c r="E82" s="42">
        <f>+'C6 Ejec. Nac 19-26'!E82+'C7 Ejec. Prop 19-26'!E82</f>
        <v>207913.41891647078</v>
      </c>
      <c r="F82" s="42">
        <f>+'C6 Ejec. Nac 19-26'!F82+'C7 Ejec. Prop 19-26'!F82</f>
        <v>221314.04311809235</v>
      </c>
      <c r="G82" s="42">
        <f>+'C6 Ejec. Nac 19-26'!G82+'C7 Ejec. Prop 19-26'!G82</f>
        <v>173461.75492925334</v>
      </c>
      <c r="H82" s="42">
        <f>+'C6 Ejec. Nac 19-26'!H82+'C7 Ejec. Prop 19-26'!H82</f>
        <v>207074.81245209844</v>
      </c>
      <c r="I82" s="42">
        <f>+'C6 Ejec. Nac 19-26'!I82+'C7 Ejec. Prop 19-26'!I82</f>
        <v>216916.99633001935</v>
      </c>
      <c r="J82" s="42">
        <f>+'C6 Ejec. Nac 19-26'!J82+'C7 Ejec. Prop 19-26'!J82</f>
        <v>232091.15614964976</v>
      </c>
      <c r="K82" s="42">
        <f>115739.894554415*Deflactores!$AA$5</f>
        <v>115739.894554415</v>
      </c>
      <c r="L82" s="42"/>
      <c r="M82" s="47">
        <f t="shared" si="26"/>
        <v>93.733928864469888</v>
      </c>
      <c r="N82" s="47">
        <f t="shared" si="27"/>
        <v>81.713350432628502</v>
      </c>
      <c r="O82" s="47">
        <f t="shared" si="28"/>
        <v>93.437989174544271</v>
      </c>
      <c r="P82" s="47">
        <f t="shared" si="29"/>
        <v>87.267757709062707</v>
      </c>
      <c r="Q82" s="47">
        <f t="shared" si="30"/>
        <v>90.239616921294214</v>
      </c>
      <c r="R82" s="47">
        <f t="shared" si="31"/>
        <v>89.411268701886598</v>
      </c>
      <c r="S82" s="47">
        <f t="shared" si="32"/>
        <v>92.086691515831433</v>
      </c>
      <c r="T82" s="47">
        <f t="shared" si="33"/>
        <v>42.292944744866325</v>
      </c>
    </row>
    <row r="83" spans="2:20" x14ac:dyDescent="0.2">
      <c r="B83" s="40"/>
      <c r="C83" s="77" t="s">
        <v>94</v>
      </c>
      <c r="D83" s="42">
        <f>+'C6 Ejec. Nac 19-26'!D83+'C7 Ejec. Prop 19-26'!D83</f>
        <v>2073.6387708201169</v>
      </c>
      <c r="E83" s="42">
        <f>+'C6 Ejec. Nac 19-26'!E83+'C7 Ejec. Prop 19-26'!E83</f>
        <v>1824.6934721984867</v>
      </c>
      <c r="F83" s="42">
        <f>+'C6 Ejec. Nac 19-26'!F83+'C7 Ejec. Prop 19-26'!F83</f>
        <v>1985.2826070186668</v>
      </c>
      <c r="G83" s="42">
        <f>+'C6 Ejec. Nac 19-26'!G83+'C7 Ejec. Prop 19-26'!G83</f>
        <v>1995.4864631199641</v>
      </c>
      <c r="H83" s="42">
        <f>+'C6 Ejec. Nac 19-26'!H83+'C7 Ejec. Prop 19-26'!H83</f>
        <v>1846.5266569266594</v>
      </c>
      <c r="I83" s="42">
        <f>+'C6 Ejec. Nac 19-26'!I83+'C7 Ejec. Prop 19-26'!I83</f>
        <v>2019.3632103674231</v>
      </c>
      <c r="J83" s="42">
        <f>+'C6 Ejec. Nac 19-26'!J83+'C7 Ejec. Prop 19-26'!J83</f>
        <v>1941.5011880609459</v>
      </c>
      <c r="K83" s="42">
        <f>737.39006067689*Deflactores!$AA$5</f>
        <v>737.39006067689002</v>
      </c>
      <c r="L83" s="42"/>
      <c r="M83" s="47">
        <f t="shared" si="26"/>
        <v>92.001455778051849</v>
      </c>
      <c r="N83" s="47">
        <f t="shared" si="27"/>
        <v>88.41840249088628</v>
      </c>
      <c r="O83" s="47">
        <f t="shared" si="28"/>
        <v>75.836545455941916</v>
      </c>
      <c r="P83" s="47">
        <f t="shared" si="29"/>
        <v>82.296739330906931</v>
      </c>
      <c r="Q83" s="47">
        <f t="shared" si="30"/>
        <v>84.040286240342382</v>
      </c>
      <c r="R83" s="47">
        <f t="shared" si="31"/>
        <v>86.881058478362277</v>
      </c>
      <c r="S83" s="47">
        <f t="shared" si="32"/>
        <v>90.365841278888738</v>
      </c>
      <c r="T83" s="47">
        <f t="shared" si="33"/>
        <v>33.422623498992934</v>
      </c>
    </row>
    <row r="84" spans="2:20" x14ac:dyDescent="0.2">
      <c r="B84" s="40"/>
      <c r="C84" s="77" t="s">
        <v>95</v>
      </c>
      <c r="D84" s="42">
        <f>+'C6 Ejec. Nac 19-26'!D84+'C7 Ejec. Prop 19-26'!D84</f>
        <v>569.79745098151034</v>
      </c>
      <c r="E84" s="42">
        <f>+'C6 Ejec. Nac 19-26'!E84+'C7 Ejec. Prop 19-26'!E84</f>
        <v>632.6214077746273</v>
      </c>
      <c r="F84" s="42">
        <f>+'C6 Ejec. Nac 19-26'!F84+'C7 Ejec. Prop 19-26'!F84</f>
        <v>710.03702084878955</v>
      </c>
      <c r="G84" s="42">
        <f>+'C6 Ejec. Nac 19-26'!G84+'C7 Ejec. Prop 19-26'!G84</f>
        <v>811.37780343594841</v>
      </c>
      <c r="H84" s="42">
        <f>+'C6 Ejec. Nac 19-26'!H84+'C7 Ejec. Prop 19-26'!H84</f>
        <v>784.42282600916599</v>
      </c>
      <c r="I84" s="42">
        <f>+'C6 Ejec. Nac 19-26'!I84+'C7 Ejec. Prop 19-26'!I84</f>
        <v>709.41145212605966</v>
      </c>
      <c r="J84" s="42">
        <f>+'C6 Ejec. Nac 19-26'!J84+'C7 Ejec. Prop 19-26'!J84</f>
        <v>717.50726928533459</v>
      </c>
      <c r="K84" s="42">
        <f>66.19655988042*Deflactores!$AA$5</f>
        <v>66.196559880419997</v>
      </c>
      <c r="L84" s="42"/>
      <c r="M84" s="47">
        <f t="shared" si="26"/>
        <v>98.577336097426937</v>
      </c>
      <c r="N84" s="47">
        <f t="shared" si="27"/>
        <v>97.675903660671366</v>
      </c>
      <c r="O84" s="47">
        <f t="shared" si="28"/>
        <v>84.57185442583804</v>
      </c>
      <c r="P84" s="47">
        <f t="shared" si="29"/>
        <v>98.687562427409418</v>
      </c>
      <c r="Q84" s="47">
        <f t="shared" si="30"/>
        <v>87.749426311540759</v>
      </c>
      <c r="R84" s="47">
        <f t="shared" si="31"/>
        <v>98.560316995935793</v>
      </c>
      <c r="S84" s="47">
        <f t="shared" si="32"/>
        <v>95.265743531590019</v>
      </c>
      <c r="T84" s="47">
        <f t="shared" si="33"/>
        <v>8.7156382594666315</v>
      </c>
    </row>
    <row r="85" spans="2:20" x14ac:dyDescent="0.2">
      <c r="B85" s="40"/>
      <c r="C85" s="77" t="s">
        <v>96</v>
      </c>
      <c r="D85" s="42">
        <f>+'C6 Ejec. Nac 19-26'!D85+'C7 Ejec. Prop 19-26'!D85</f>
        <v>388.87912636535339</v>
      </c>
      <c r="E85" s="42">
        <f>+'C6 Ejec. Nac 19-26'!E85+'C7 Ejec. Prop 19-26'!E85</f>
        <v>356.87106871131539</v>
      </c>
      <c r="F85" s="42">
        <f>+'C6 Ejec. Nac 19-26'!F85+'C7 Ejec. Prop 19-26'!F85</f>
        <v>620.15406477366446</v>
      </c>
      <c r="G85" s="42">
        <f>+'C6 Ejec. Nac 19-26'!G85+'C7 Ejec. Prop 19-26'!G85</f>
        <v>455.6430485556902</v>
      </c>
      <c r="H85" s="42">
        <f>+'C6 Ejec. Nac 19-26'!H85+'C7 Ejec. Prop 19-26'!H85</f>
        <v>518.73714220437989</v>
      </c>
      <c r="I85" s="42">
        <f>+'C6 Ejec. Nac 19-26'!I85+'C7 Ejec. Prop 19-26'!I85</f>
        <v>372.88356008477331</v>
      </c>
      <c r="J85" s="42">
        <f>+'C6 Ejec. Nac 19-26'!J85+'C7 Ejec. Prop 19-26'!J85</f>
        <v>312.73015468858495</v>
      </c>
      <c r="K85" s="42">
        <f>165.25624469262*Deflactores!$AA$5</f>
        <v>165.25624469261999</v>
      </c>
      <c r="L85" s="42"/>
      <c r="M85" s="47">
        <f t="shared" si="26"/>
        <v>91.640702978990248</v>
      </c>
      <c r="N85" s="47">
        <f t="shared" si="27"/>
        <v>81.8466866007752</v>
      </c>
      <c r="O85" s="47">
        <f t="shared" si="28"/>
        <v>91.077574746520881</v>
      </c>
      <c r="P85" s="47">
        <f t="shared" si="29"/>
        <v>85.361005989737009</v>
      </c>
      <c r="Q85" s="47">
        <f t="shared" si="30"/>
        <v>90.114743257367095</v>
      </c>
      <c r="R85" s="47">
        <f t="shared" si="31"/>
        <v>94.387976861208898</v>
      </c>
      <c r="S85" s="47">
        <f t="shared" si="32"/>
        <v>85.474022177930948</v>
      </c>
      <c r="T85" s="47">
        <f t="shared" si="33"/>
        <v>43.755886464501557</v>
      </c>
    </row>
    <row r="86" spans="2:20" x14ac:dyDescent="0.2">
      <c r="B86" s="40"/>
      <c r="C86" s="77" t="s">
        <v>97</v>
      </c>
      <c r="D86" s="42">
        <f>+'C6 Ejec. Nac 19-26'!D86+'C7 Ejec. Prop 19-26'!D86</f>
        <v>750.62401722186928</v>
      </c>
      <c r="E86" s="42">
        <f>+'C6 Ejec. Nac 19-26'!E86+'C7 Ejec. Prop 19-26'!E86</f>
        <v>1084.1078217949287</v>
      </c>
      <c r="F86" s="42">
        <f>+'C6 Ejec. Nac 19-26'!F86+'C7 Ejec. Prop 19-26'!F86</f>
        <v>2011.3532283516886</v>
      </c>
      <c r="G86" s="42">
        <f>+'C6 Ejec. Nac 19-26'!G86+'C7 Ejec. Prop 19-26'!G86</f>
        <v>1252.901421162104</v>
      </c>
      <c r="H86" s="42">
        <f>+'C6 Ejec. Nac 19-26'!H86+'C7 Ejec. Prop 19-26'!H86</f>
        <v>1124.1611240469072</v>
      </c>
      <c r="I86" s="42">
        <f>+'C6 Ejec. Nac 19-26'!I86+'C7 Ejec. Prop 19-26'!I86</f>
        <v>1236.1767595797919</v>
      </c>
      <c r="J86" s="42">
        <f>+'C6 Ejec. Nac 19-26'!J86+'C7 Ejec. Prop 19-26'!J86</f>
        <v>1269.3263216265707</v>
      </c>
      <c r="K86" s="42">
        <f>223.787242161579*Deflactores!$AA$5</f>
        <v>223.787242161579</v>
      </c>
      <c r="L86" s="42"/>
      <c r="M86" s="47">
        <f t="shared" si="26"/>
        <v>93.580767059804444</v>
      </c>
      <c r="N86" s="47">
        <f t="shared" si="27"/>
        <v>97.96243690870935</v>
      </c>
      <c r="O86" s="47">
        <f t="shared" si="28"/>
        <v>91.66394316455208</v>
      </c>
      <c r="P86" s="47">
        <f t="shared" si="29"/>
        <v>92.181185517385586</v>
      </c>
      <c r="Q86" s="47">
        <f t="shared" si="30"/>
        <v>84.883611179010771</v>
      </c>
      <c r="R86" s="47">
        <f t="shared" si="31"/>
        <v>87.106184872277311</v>
      </c>
      <c r="S86" s="47">
        <f t="shared" si="32"/>
        <v>90.954955725209459</v>
      </c>
      <c r="T86" s="47">
        <f t="shared" si="33"/>
        <v>16.807105394099914</v>
      </c>
    </row>
    <row r="87" spans="2:20" x14ac:dyDescent="0.2">
      <c r="B87" s="34" t="s">
        <v>41</v>
      </c>
      <c r="C87" s="76" t="s">
        <v>42</v>
      </c>
      <c r="D87" s="41">
        <f t="shared" ref="D87:K87" si="34">+D88+D92</f>
        <v>80186.817141754611</v>
      </c>
      <c r="E87" s="41">
        <f t="shared" si="34"/>
        <v>69309.351487859152</v>
      </c>
      <c r="F87" s="41">
        <f t="shared" si="34"/>
        <v>79119.627448343163</v>
      </c>
      <c r="G87" s="41">
        <f t="shared" si="34"/>
        <v>88124.977507939562</v>
      </c>
      <c r="H87" s="41">
        <f t="shared" si="34"/>
        <v>88043.709028719793</v>
      </c>
      <c r="I87" s="41">
        <f t="shared" si="34"/>
        <v>92256.522652724962</v>
      </c>
      <c r="J87" s="41">
        <f t="shared" si="34"/>
        <v>110761.28456322767</v>
      </c>
      <c r="K87" s="41">
        <f t="shared" si="34"/>
        <v>49425.048264436286</v>
      </c>
      <c r="L87" s="71"/>
      <c r="M87" s="46">
        <f t="shared" si="26"/>
        <v>99.269937736835018</v>
      </c>
      <c r="N87" s="46">
        <f t="shared" si="27"/>
        <v>84.455094271737082</v>
      </c>
      <c r="O87" s="46">
        <f t="shared" si="28"/>
        <v>77.41580765591803</v>
      </c>
      <c r="P87" s="46">
        <f t="shared" si="29"/>
        <v>95.982006470083761</v>
      </c>
      <c r="Q87" s="46">
        <f t="shared" si="30"/>
        <v>95.670004226196539</v>
      </c>
      <c r="R87" s="46">
        <f t="shared" si="31"/>
        <v>87.664908838561487</v>
      </c>
      <c r="S87" s="46">
        <f t="shared" si="32"/>
        <v>92.765888849015838</v>
      </c>
      <c r="T87" s="46">
        <f t="shared" si="33"/>
        <v>49.203774722771435</v>
      </c>
    </row>
    <row r="88" spans="2:20" x14ac:dyDescent="0.2">
      <c r="B88" s="34"/>
      <c r="C88" s="76" t="s">
        <v>43</v>
      </c>
      <c r="D88" s="41">
        <f t="shared" ref="D88:K88" si="35">+SUM(D89:D91)</f>
        <v>21926.039621444277</v>
      </c>
      <c r="E88" s="41">
        <f t="shared" si="35"/>
        <v>22728.52175071188</v>
      </c>
      <c r="F88" s="41">
        <f t="shared" si="35"/>
        <v>29430.894855465744</v>
      </c>
      <c r="G88" s="41">
        <f t="shared" si="35"/>
        <v>19438.081214496335</v>
      </c>
      <c r="H88" s="41">
        <f t="shared" si="35"/>
        <v>29229.471003748546</v>
      </c>
      <c r="I88" s="41">
        <f t="shared" si="35"/>
        <v>35595.738836550736</v>
      </c>
      <c r="J88" s="41">
        <f t="shared" si="35"/>
        <v>50768.289815977427</v>
      </c>
      <c r="K88" s="41">
        <f t="shared" si="35"/>
        <v>14576.990337070189</v>
      </c>
      <c r="L88" s="71"/>
      <c r="M88" s="46">
        <f t="shared" si="26"/>
        <v>97.913486747181366</v>
      </c>
      <c r="N88" s="46">
        <f t="shared" si="27"/>
        <v>99.032710760723859</v>
      </c>
      <c r="O88" s="46">
        <f t="shared" si="28"/>
        <v>80.563045668736265</v>
      </c>
      <c r="P88" s="46">
        <f t="shared" si="29"/>
        <v>90.38419877922459</v>
      </c>
      <c r="Q88" s="46">
        <f t="shared" si="30"/>
        <v>93.925312356068375</v>
      </c>
      <c r="R88" s="46">
        <f t="shared" si="31"/>
        <v>85.725266815904774</v>
      </c>
      <c r="S88" s="46">
        <f t="shared" si="32"/>
        <v>88.965244172566955</v>
      </c>
      <c r="T88" s="46">
        <f t="shared" si="33"/>
        <v>37.954937399661155</v>
      </c>
    </row>
    <row r="89" spans="2:20" x14ac:dyDescent="0.2">
      <c r="B89" s="32"/>
      <c r="C89" s="77" t="s">
        <v>98</v>
      </c>
      <c r="D89" s="42">
        <f>+'C6 Ejec. Nac 19-26'!D89+'C7 Ejec. Prop 19-26'!D89</f>
        <v>12303.517036912863</v>
      </c>
      <c r="E89" s="42">
        <f>+'C6 Ejec. Nac 19-26'!E89+'C7 Ejec. Prop 19-26'!E89</f>
        <v>9779.5210572701926</v>
      </c>
      <c r="F89" s="42">
        <f>+'C6 Ejec. Nac 19-26'!F89+'C7 Ejec. Prop 19-26'!F89</f>
        <v>15720.745303938267</v>
      </c>
      <c r="G89" s="42">
        <f>+'C6 Ejec. Nac 19-26'!G89+'C7 Ejec. Prop 19-26'!G89</f>
        <v>5376.9493716619645</v>
      </c>
      <c r="H89" s="42">
        <f>+'C6 Ejec. Nac 19-26'!H89+'C7 Ejec. Prop 19-26'!H89</f>
        <v>14736.693752411797</v>
      </c>
      <c r="I89" s="42">
        <f>+'C6 Ejec. Nac 19-26'!I89+'C7 Ejec. Prop 19-26'!I89</f>
        <v>18915.452473563306</v>
      </c>
      <c r="J89" s="42">
        <f>+'C6 Ejec. Nac 19-26'!J89+'C7 Ejec. Prop 19-26'!J89</f>
        <v>33878.997345685893</v>
      </c>
      <c r="K89" s="42">
        <f>7222.90397051665*Deflactores!$AA$5</f>
        <v>7222.9039705166497</v>
      </c>
      <c r="L89" s="42"/>
      <c r="M89" s="47">
        <f t="shared" si="26"/>
        <v>99.388399633902537</v>
      </c>
      <c r="N89" s="47">
        <f t="shared" si="27"/>
        <v>98.433201721859902</v>
      </c>
      <c r="O89" s="47">
        <f t="shared" si="28"/>
        <v>75.917390481882123</v>
      </c>
      <c r="P89" s="47">
        <f t="shared" si="29"/>
        <v>96.760553481122784</v>
      </c>
      <c r="Q89" s="47">
        <f t="shared" si="30"/>
        <v>95.285042047852386</v>
      </c>
      <c r="R89" s="47">
        <f t="shared" si="31"/>
        <v>87.000273850086685</v>
      </c>
      <c r="S89" s="47">
        <f t="shared" si="32"/>
        <v>92.714856987671055</v>
      </c>
      <c r="T89" s="47">
        <f t="shared" si="33"/>
        <v>41.81604326649321</v>
      </c>
    </row>
    <row r="90" spans="2:20" x14ac:dyDescent="0.2">
      <c r="B90" s="32"/>
      <c r="C90" s="77" t="s">
        <v>61</v>
      </c>
      <c r="D90" s="42">
        <f>+'C6 Ejec. Nac 19-26'!D90+'C7 Ejec. Prop 19-26'!D90</f>
        <v>9503.7651093247678</v>
      </c>
      <c r="E90" s="42">
        <f>+'C6 Ejec. Nac 19-26'!E90+'C7 Ejec. Prop 19-26'!E90</f>
        <v>12578.579715137696</v>
      </c>
      <c r="F90" s="42">
        <f>+'C6 Ejec. Nac 19-26'!F90+'C7 Ejec. Prop 19-26'!F90</f>
        <v>13525.002214046279</v>
      </c>
      <c r="G90" s="42">
        <f>+'C6 Ejec. Nac 19-26'!G90+'C7 Ejec. Prop 19-26'!G90</f>
        <v>13938.543783697049</v>
      </c>
      <c r="H90" s="42">
        <f>+'C6 Ejec. Nac 19-26'!H90+'C7 Ejec. Prop 19-26'!H90</f>
        <v>14398.335194633573</v>
      </c>
      <c r="I90" s="42">
        <f>+'C6 Ejec. Nac 19-26'!I90+'C7 Ejec. Prop 19-26'!I90</f>
        <v>16572.054132741898</v>
      </c>
      <c r="J90" s="42">
        <f>+'C6 Ejec. Nac 19-26'!J90+'C7 Ejec. Prop 19-26'!J90</f>
        <v>16659.505975095297</v>
      </c>
      <c r="K90" s="42">
        <f>7299.28402648375*Deflactores!$AA$5</f>
        <v>7299.2840264837496</v>
      </c>
      <c r="L90" s="42"/>
      <c r="M90" s="47">
        <f t="shared" si="26"/>
        <v>96.817670243193476</v>
      </c>
      <c r="N90" s="47">
        <f t="shared" si="27"/>
        <v>99.773939366644953</v>
      </c>
      <c r="O90" s="47">
        <f t="shared" si="28"/>
        <v>86.762291864065872</v>
      </c>
      <c r="P90" s="47">
        <f t="shared" si="29"/>
        <v>88.430494290039277</v>
      </c>
      <c r="Q90" s="47">
        <f t="shared" si="30"/>
        <v>93.025474680170845</v>
      </c>
      <c r="R90" s="47">
        <f t="shared" si="31"/>
        <v>84.873182322204244</v>
      </c>
      <c r="S90" s="47">
        <f t="shared" si="32"/>
        <v>83.663837569783212</v>
      </c>
      <c r="T90" s="47">
        <f t="shared" si="33"/>
        <v>36.520044229682838</v>
      </c>
    </row>
    <row r="91" spans="2:20" x14ac:dyDescent="0.2">
      <c r="B91" s="32"/>
      <c r="C91" s="77" t="s">
        <v>103</v>
      </c>
      <c r="D91" s="42">
        <f>+'C6 Ejec. Nac 19-26'!D91+'C7 Ejec. Prop 19-26'!D91</f>
        <v>118.75747520664665</v>
      </c>
      <c r="E91" s="42">
        <f>+'C6 Ejec. Nac 19-26'!E91+'C7 Ejec. Prop 19-26'!E91</f>
        <v>370.42097830399069</v>
      </c>
      <c r="F91" s="42">
        <f>+'C6 Ejec. Nac 19-26'!F91+'C7 Ejec. Prop 19-26'!F91</f>
        <v>185.1473374811994</v>
      </c>
      <c r="G91" s="42">
        <f>+'C6 Ejec. Nac 19-26'!G91+'C7 Ejec. Prop 19-26'!G91</f>
        <v>122.58805913732124</v>
      </c>
      <c r="H91" s="42">
        <f>+'C6 Ejec. Nac 19-26'!H91+'C7 Ejec. Prop 19-26'!H91</f>
        <v>94.442056703175595</v>
      </c>
      <c r="I91" s="42">
        <f>+'C6 Ejec. Nac 19-26'!I91+'C7 Ejec. Prop 19-26'!I91</f>
        <v>108.23223024552603</v>
      </c>
      <c r="J91" s="42">
        <f>+'C6 Ejec. Nac 19-26'!J91+'C7 Ejec. Prop 19-26'!J91</f>
        <v>229.78649519623053</v>
      </c>
      <c r="K91" s="42">
        <f>54.8023400697899*Deflactores!$AA$5</f>
        <v>54.802340069789899</v>
      </c>
      <c r="L91" s="42"/>
      <c r="M91" s="47">
        <f t="shared" si="26"/>
        <v>60.008037986718321</v>
      </c>
      <c r="N91" s="47">
        <f t="shared" si="27"/>
        <v>90.732763379105563</v>
      </c>
      <c r="O91" s="47">
        <f t="shared" si="28"/>
        <v>78.707196030640432</v>
      </c>
      <c r="P91" s="47">
        <f t="shared" si="29"/>
        <v>65.572336683188809</v>
      </c>
      <c r="Q91" s="47">
        <f t="shared" si="30"/>
        <v>53.610783607904445</v>
      </c>
      <c r="R91" s="47">
        <f t="shared" si="31"/>
        <v>42.353433910073853</v>
      </c>
      <c r="S91" s="47">
        <f t="shared" si="32"/>
        <v>37.558633518332343</v>
      </c>
      <c r="T91" s="47">
        <f t="shared" si="33"/>
        <v>4.7823144831068127</v>
      </c>
    </row>
    <row r="92" spans="2:20" x14ac:dyDescent="0.2">
      <c r="B92" s="34"/>
      <c r="C92" s="76" t="s">
        <v>44</v>
      </c>
      <c r="D92" s="41">
        <f t="shared" ref="D92:K92" si="36">+SUM(D93:D96)</f>
        <v>58260.77752031033</v>
      </c>
      <c r="E92" s="41">
        <f t="shared" si="36"/>
        <v>46580.829737147273</v>
      </c>
      <c r="F92" s="41">
        <f t="shared" si="36"/>
        <v>49688.732592877423</v>
      </c>
      <c r="G92" s="41">
        <f t="shared" si="36"/>
        <v>68686.896293443235</v>
      </c>
      <c r="H92" s="41">
        <f t="shared" si="36"/>
        <v>58814.238024971244</v>
      </c>
      <c r="I92" s="41">
        <f t="shared" si="36"/>
        <v>56660.783816174218</v>
      </c>
      <c r="J92" s="41">
        <f t="shared" si="36"/>
        <v>59992.994747250254</v>
      </c>
      <c r="K92" s="41">
        <f t="shared" si="36"/>
        <v>34848.057927366099</v>
      </c>
      <c r="L92" s="71"/>
      <c r="M92" s="46">
        <f t="shared" si="26"/>
        <v>99.790213338245522</v>
      </c>
      <c r="N92" s="46">
        <f t="shared" si="27"/>
        <v>78.795646615185063</v>
      </c>
      <c r="O92" s="46">
        <f t="shared" si="28"/>
        <v>75.665016316369801</v>
      </c>
      <c r="P92" s="46">
        <f t="shared" si="29"/>
        <v>97.694283833117126</v>
      </c>
      <c r="Q92" s="46">
        <f t="shared" si="30"/>
        <v>96.56141564743983</v>
      </c>
      <c r="R92" s="46">
        <f t="shared" si="31"/>
        <v>88.928979883116781</v>
      </c>
      <c r="S92" s="46">
        <f t="shared" si="32"/>
        <v>96.245322159843852</v>
      </c>
      <c r="T92" s="46">
        <f t="shared" si="33"/>
        <v>56.166989469625662</v>
      </c>
    </row>
    <row r="93" spans="2:20" x14ac:dyDescent="0.2">
      <c r="B93" s="32"/>
      <c r="C93" s="77" t="s">
        <v>98</v>
      </c>
      <c r="D93" s="42">
        <f>+'C6 Ejec. Nac 19-26'!D93+'C7 Ejec. Prop 19-26'!D93</f>
        <v>27861.889198276709</v>
      </c>
      <c r="E93" s="42">
        <f>+'C6 Ejec. Nac 19-26'!E93+'C7 Ejec. Prop 19-26'!E93</f>
        <v>13197.827583809358</v>
      </c>
      <c r="F93" s="42">
        <f>+'C6 Ejec. Nac 19-26'!F93+'C7 Ejec. Prop 19-26'!F93</f>
        <v>15009.720486026388</v>
      </c>
      <c r="G93" s="42">
        <f>+'C6 Ejec. Nac 19-26'!G93+'C7 Ejec. Prop 19-26'!G93</f>
        <v>32618.904185543677</v>
      </c>
      <c r="H93" s="42">
        <f>+'C6 Ejec. Nac 19-26'!H93+'C7 Ejec. Prop 19-26'!H93</f>
        <v>19990.19313172128</v>
      </c>
      <c r="I93" s="42">
        <f>+'C6 Ejec. Nac 19-26'!I93+'C7 Ejec. Prop 19-26'!I93</f>
        <v>9632.8486464149228</v>
      </c>
      <c r="J93" s="42">
        <f>+'C6 Ejec. Nac 19-26'!J93+'C7 Ejec. Prop 19-26'!J93</f>
        <v>10866.054509567301</v>
      </c>
      <c r="K93" s="42">
        <f>603.79060194526*Deflactores!$AA$5</f>
        <v>603.79060194526005</v>
      </c>
      <c r="L93" s="42"/>
      <c r="M93" s="47">
        <f t="shared" si="26"/>
        <v>99.85547548197809</v>
      </c>
      <c r="N93" s="47">
        <f t="shared" si="27"/>
        <v>52.862386155422413</v>
      </c>
      <c r="O93" s="47">
        <f t="shared" si="28"/>
        <v>51.647195918409793</v>
      </c>
      <c r="P93" s="47">
        <f t="shared" si="29"/>
        <v>95.963626913820775</v>
      </c>
      <c r="Q93" s="47">
        <f t="shared" si="30"/>
        <v>97.46958516518967</v>
      </c>
      <c r="R93" s="47">
        <f t="shared" si="31"/>
        <v>62.08735476138628</v>
      </c>
      <c r="S93" s="47">
        <f t="shared" si="32"/>
        <v>98.68192570549499</v>
      </c>
      <c r="T93" s="47">
        <f t="shared" si="33"/>
        <v>5.8377446865291578</v>
      </c>
    </row>
    <row r="94" spans="2:20" x14ac:dyDescent="0.2">
      <c r="B94" s="32"/>
      <c r="C94" s="77" t="s">
        <v>61</v>
      </c>
      <c r="D94" s="42">
        <f>+'C6 Ejec. Nac 19-26'!D94+'C7 Ejec. Prop 19-26'!D94</f>
        <v>29446.254762664266</v>
      </c>
      <c r="E94" s="42">
        <f>+'C6 Ejec. Nac 19-26'!E94+'C7 Ejec. Prop 19-26'!E94</f>
        <v>32031.432251050883</v>
      </c>
      <c r="F94" s="42">
        <f>+'C6 Ejec. Nac 19-26'!F94+'C7 Ejec. Prop 19-26'!F94</f>
        <v>33308.008678844824</v>
      </c>
      <c r="G94" s="42">
        <f>+'C6 Ejec. Nac 19-26'!G94+'C7 Ejec. Prop 19-26'!G94</f>
        <v>34300.579626900188</v>
      </c>
      <c r="H94" s="42">
        <f>+'C6 Ejec. Nac 19-26'!H94+'C7 Ejec. Prop 19-26'!H94</f>
        <v>33958.700965256496</v>
      </c>
      <c r="I94" s="42">
        <f>+'C6 Ejec. Nac 19-26'!I94+'C7 Ejec. Prop 19-26'!I94</f>
        <v>45343.447883903602</v>
      </c>
      <c r="J94" s="42">
        <f>+'C6 Ejec. Nac 19-26'!J94+'C7 Ejec. Prop 19-26'!J94</f>
        <v>47551.562200623805</v>
      </c>
      <c r="K94" s="42">
        <f>34206.8318239497*Deflactores!$AA$5</f>
        <v>34206.831823949702</v>
      </c>
      <c r="L94" s="42"/>
      <c r="M94" s="47">
        <f t="shared" si="26"/>
        <v>99.946195286388942</v>
      </c>
      <c r="N94" s="47">
        <f t="shared" si="27"/>
        <v>97.874521406723218</v>
      </c>
      <c r="O94" s="47">
        <f t="shared" si="28"/>
        <v>95.211150041984567</v>
      </c>
      <c r="P94" s="47">
        <f t="shared" si="29"/>
        <v>99.679241197332885</v>
      </c>
      <c r="Q94" s="47">
        <f t="shared" si="30"/>
        <v>96.068196647084832</v>
      </c>
      <c r="R94" s="47">
        <f t="shared" si="31"/>
        <v>97.975595653713626</v>
      </c>
      <c r="S94" s="47">
        <f t="shared" si="32"/>
        <v>97.068819139431966</v>
      </c>
      <c r="T94" s="47">
        <f t="shared" si="33"/>
        <v>70.128254255892557</v>
      </c>
    </row>
    <row r="95" spans="2:20" x14ac:dyDescent="0.2">
      <c r="B95" s="32"/>
      <c r="C95" s="77" t="s">
        <v>103</v>
      </c>
      <c r="D95" s="42">
        <f>+'C6 Ejec. Nac 19-26'!D95+'C7 Ejec. Prop 19-26'!D95</f>
        <v>190.76974255958459</v>
      </c>
      <c r="E95" s="42">
        <f>+'C6 Ejec. Nac 19-26'!E95+'C7 Ejec. Prop 19-26'!E95</f>
        <v>168.33849016552276</v>
      </c>
      <c r="F95" s="42">
        <f>+'C6 Ejec. Nac 19-26'!F95+'C7 Ejec. Prop 19-26'!F95</f>
        <v>161.80184733177225</v>
      </c>
      <c r="G95" s="42">
        <f>+'C6 Ejec. Nac 19-26'!G95+'C7 Ejec. Prop 19-26'!G95</f>
        <v>164.08608445967121</v>
      </c>
      <c r="H95" s="42">
        <f>+'C6 Ejec. Nac 19-26'!H95+'C7 Ejec. Prop 19-26'!H95</f>
        <v>169.9301060774273</v>
      </c>
      <c r="I95" s="42">
        <f>+'C6 Ejec. Nac 19-26'!I95+'C7 Ejec. Prop 19-26'!I95</f>
        <v>94.188558991209803</v>
      </c>
      <c r="J95" s="42">
        <f>+'C6 Ejec. Nac 19-26'!J95+'C7 Ejec. Prop 19-26'!J95</f>
        <v>104.89542793166017</v>
      </c>
      <c r="K95" s="42">
        <f>37.43550147114*Deflactores!$AA$5</f>
        <v>37.43550147114</v>
      </c>
      <c r="L95" s="42"/>
      <c r="M95" s="47">
        <f t="shared" si="26"/>
        <v>75.776489297530475</v>
      </c>
      <c r="N95" s="47">
        <f t="shared" si="27"/>
        <v>70.335114702012561</v>
      </c>
      <c r="O95" s="47">
        <f t="shared" si="28"/>
        <v>39.00451729157173</v>
      </c>
      <c r="P95" s="47">
        <f t="shared" si="29"/>
        <v>54.197124451600921</v>
      </c>
      <c r="Q95" s="47">
        <f t="shared" si="30"/>
        <v>49.103939795759707</v>
      </c>
      <c r="R95" s="47">
        <f t="shared" si="31"/>
        <v>28.628382392552282</v>
      </c>
      <c r="S95" s="47">
        <f t="shared" si="32"/>
        <v>33.556239829056395</v>
      </c>
      <c r="T95" s="47">
        <f t="shared" si="33"/>
        <v>14.513896765854595</v>
      </c>
    </row>
    <row r="96" spans="2:20" x14ac:dyDescent="0.2">
      <c r="B96" s="32"/>
      <c r="C96" s="77" t="s">
        <v>104</v>
      </c>
      <c r="D96" s="42">
        <f>+'C6 Ejec. Nac 19-26'!D96+'C7 Ejec. Prop 19-26'!D96</f>
        <v>761.86381680977763</v>
      </c>
      <c r="E96" s="42">
        <f>+'C6 Ejec. Nac 19-26'!E96+'C7 Ejec. Prop 19-26'!E96</f>
        <v>1183.2314121215102</v>
      </c>
      <c r="F96" s="42">
        <f>+'C6 Ejec. Nac 19-26'!F96+'C7 Ejec. Prop 19-26'!F96</f>
        <v>1209.2015806744421</v>
      </c>
      <c r="G96" s="42">
        <f>+'C6 Ejec. Nac 19-26'!G96+'C7 Ejec. Prop 19-26'!G96</f>
        <v>1603.3263965396841</v>
      </c>
      <c r="H96" s="42">
        <f>+'C6 Ejec. Nac 19-26'!H96+'C7 Ejec. Prop 19-26'!H96</f>
        <v>4695.4138219160359</v>
      </c>
      <c r="I96" s="42">
        <f>+'C6 Ejec. Nac 19-26'!I96+'C7 Ejec. Prop 19-26'!I96</f>
        <v>1590.2987268644761</v>
      </c>
      <c r="J96" s="42">
        <f>+'C6 Ejec. Nac 19-26'!J96+'C7 Ejec. Prop 19-26'!J96</f>
        <v>1470.4826091274908</v>
      </c>
      <c r="K96" s="42">
        <f>0*Deflactores!$AA$5</f>
        <v>0</v>
      </c>
      <c r="L96" s="42"/>
      <c r="M96" s="47">
        <f t="shared" si="26"/>
        <v>99.306648069156793</v>
      </c>
      <c r="N96" s="47">
        <f t="shared" si="27"/>
        <v>100</v>
      </c>
      <c r="O96" s="47">
        <f t="shared" si="28"/>
        <v>100</v>
      </c>
      <c r="P96" s="47">
        <f t="shared" si="29"/>
        <v>99.996556848400402</v>
      </c>
      <c r="Q96" s="47">
        <f t="shared" si="30"/>
        <v>99.798910385462349</v>
      </c>
      <c r="R96" s="47">
        <f t="shared" si="31"/>
        <v>100</v>
      </c>
      <c r="S96" s="47">
        <f t="shared" si="32"/>
        <v>72.718630119689493</v>
      </c>
      <c r="T96" s="47">
        <f t="shared" si="33"/>
        <v>0</v>
      </c>
    </row>
    <row r="97" spans="2:21" x14ac:dyDescent="0.2">
      <c r="B97" s="34" t="s">
        <v>45</v>
      </c>
      <c r="C97" s="76" t="s">
        <v>46</v>
      </c>
      <c r="D97" s="41">
        <f>+'C6 Ejec. Nac 19-26'!D97+'C7 Ejec. Prop 19-26'!D97</f>
        <v>50195.198798676596</v>
      </c>
      <c r="E97" s="41">
        <f>+'C6 Ejec. Nac 19-26'!E97+'C7 Ejec. Prop 19-26'!E97</f>
        <v>54079.83612728741</v>
      </c>
      <c r="F97" s="41">
        <f>+'C6 Ejec. Nac 19-26'!F97+'C7 Ejec. Prop 19-26'!F97</f>
        <v>66473.729047839748</v>
      </c>
      <c r="G97" s="41">
        <f>+'C6 Ejec. Nac 19-26'!G97+'C7 Ejec. Prop 19-26'!G97</f>
        <v>70321.573143128786</v>
      </c>
      <c r="H97" s="41">
        <f>+'C6 Ejec. Nac 19-26'!H97+'C7 Ejec. Prop 19-26'!H97</f>
        <v>69632.274730005927</v>
      </c>
      <c r="I97" s="41">
        <f>+'C6 Ejec. Nac 19-26'!I97+'C7 Ejec. Prop 19-26'!I97</f>
        <v>57517.108177779737</v>
      </c>
      <c r="J97" s="41">
        <f>+'C6 Ejec. Nac 19-26'!J97+'C7 Ejec. Prop 19-26'!J97</f>
        <v>53196.578699769059</v>
      </c>
      <c r="K97" s="41">
        <f>27265.4877329139*Deflactores!$AA$5</f>
        <v>27265.487732913902</v>
      </c>
      <c r="L97" s="71"/>
      <c r="M97" s="46">
        <f t="shared" si="26"/>
        <v>77.211463425633568</v>
      </c>
      <c r="N97" s="46">
        <f t="shared" si="27"/>
        <v>80.728665056895039</v>
      </c>
      <c r="O97" s="46">
        <f t="shared" si="28"/>
        <v>76.995510073232396</v>
      </c>
      <c r="P97" s="46">
        <f t="shared" si="29"/>
        <v>78.770144821133812</v>
      </c>
      <c r="Q97" s="46">
        <f t="shared" si="30"/>
        <v>71.268748001502985</v>
      </c>
      <c r="R97" s="46">
        <f t="shared" si="31"/>
        <v>56.96513648634086</v>
      </c>
      <c r="S97" s="46">
        <f t="shared" si="32"/>
        <v>64.221817950914442</v>
      </c>
      <c r="T97" s="46">
        <f t="shared" si="33"/>
        <v>30.473735451207741</v>
      </c>
    </row>
    <row r="98" spans="2:21" x14ac:dyDescent="0.2">
      <c r="B98" s="36" t="s">
        <v>47</v>
      </c>
      <c r="C98" s="78" t="s">
        <v>48</v>
      </c>
      <c r="D98" s="43">
        <f t="shared" ref="D98:K98" si="37">+D79+D97</f>
        <v>279990.23243591771</v>
      </c>
      <c r="E98" s="43">
        <f t="shared" si="37"/>
        <v>327659.08455067093</v>
      </c>
      <c r="F98" s="43">
        <f t="shared" si="37"/>
        <v>356082.61015369662</v>
      </c>
      <c r="G98" s="43">
        <f t="shared" si="37"/>
        <v>311317.00206675194</v>
      </c>
      <c r="H98" s="43">
        <f t="shared" si="37"/>
        <v>346507.51065998641</v>
      </c>
      <c r="I98" s="43">
        <f t="shared" si="37"/>
        <v>347644.78593486408</v>
      </c>
      <c r="J98" s="43">
        <f t="shared" si="37"/>
        <v>364723.25663364341</v>
      </c>
      <c r="K98" s="43">
        <f t="shared" si="37"/>
        <v>180319.87948447696</v>
      </c>
      <c r="L98" s="71"/>
      <c r="M98" s="48">
        <f t="shared" si="26"/>
        <v>90.700010536518462</v>
      </c>
      <c r="N98" s="48">
        <f t="shared" si="27"/>
        <v>83.74516346163557</v>
      </c>
      <c r="O98" s="48">
        <f t="shared" si="28"/>
        <v>89.850110681533081</v>
      </c>
      <c r="P98" s="48">
        <f t="shared" si="29"/>
        <v>86.477078757108941</v>
      </c>
      <c r="Q98" s="48">
        <f t="shared" si="30"/>
        <v>85.751027125211706</v>
      </c>
      <c r="R98" s="48">
        <f t="shared" si="31"/>
        <v>81.928021851708792</v>
      </c>
      <c r="S98" s="48">
        <f t="shared" si="32"/>
        <v>86.452370237832184</v>
      </c>
      <c r="T98" s="48">
        <f t="shared" si="33"/>
        <v>39.598661886983614</v>
      </c>
    </row>
    <row r="99" spans="2:21" x14ac:dyDescent="0.2">
      <c r="B99" s="38" t="s">
        <v>49</v>
      </c>
      <c r="C99" s="79" t="s">
        <v>63</v>
      </c>
      <c r="D99" s="44">
        <f t="shared" ref="D99:K99" si="38">+D79+D87+D97</f>
        <v>360177.04957767238</v>
      </c>
      <c r="E99" s="44">
        <f t="shared" si="38"/>
        <v>396968.43603853008</v>
      </c>
      <c r="F99" s="44">
        <f t="shared" si="38"/>
        <v>435202.23760203976</v>
      </c>
      <c r="G99" s="44">
        <f t="shared" si="38"/>
        <v>399441.9795746915</v>
      </c>
      <c r="H99" s="44">
        <f t="shared" si="38"/>
        <v>434551.21968870622</v>
      </c>
      <c r="I99" s="44">
        <f t="shared" si="38"/>
        <v>439901.30858758895</v>
      </c>
      <c r="J99" s="44">
        <f t="shared" si="38"/>
        <v>475484.54119687108</v>
      </c>
      <c r="K99" s="44">
        <f t="shared" si="38"/>
        <v>229744.92774891324</v>
      </c>
      <c r="L99" s="71"/>
      <c r="M99" s="45">
        <f t="shared" si="26"/>
        <v>92.477397213157701</v>
      </c>
      <c r="N99" s="45">
        <f t="shared" si="27"/>
        <v>83.868253705654766</v>
      </c>
      <c r="O99" s="45">
        <f t="shared" si="28"/>
        <v>87.300911957732907</v>
      </c>
      <c r="P99" s="45">
        <f t="shared" si="29"/>
        <v>88.408596963147318</v>
      </c>
      <c r="Q99" s="45">
        <f t="shared" si="30"/>
        <v>87.590984918753293</v>
      </c>
      <c r="R99" s="45">
        <f t="shared" si="31"/>
        <v>83.068078684738666</v>
      </c>
      <c r="S99" s="45">
        <f t="shared" si="32"/>
        <v>87.845052497805483</v>
      </c>
      <c r="T99" s="45">
        <f t="shared" si="33"/>
        <v>41.334536250533837</v>
      </c>
    </row>
    <row r="100" spans="2:21" s="5" customFormat="1" x14ac:dyDescent="0.2">
      <c r="B100" s="72" t="str">
        <f>+'C1 Aprop Resumen 2000-2026'!B20</f>
        <v>* Información con corte a 30 de Junio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1" x14ac:dyDescent="0.2">
      <c r="B101" s="1" t="s">
        <v>52</v>
      </c>
    </row>
    <row r="102" spans="2:21" x14ac:dyDescent="0.2">
      <c r="H102" s="8"/>
    </row>
    <row r="103" spans="2:21" x14ac:dyDescent="0.2">
      <c r="H103" s="8"/>
    </row>
    <row r="107" spans="2:21" ht="18" customHeight="1" x14ac:dyDescent="0.2">
      <c r="C107" s="131"/>
      <c r="D107" s="164" t="s">
        <v>107</v>
      </c>
      <c r="E107" s="160"/>
      <c r="F107" s="160"/>
      <c r="G107" s="160"/>
      <c r="H107" s="160"/>
      <c r="I107" s="160"/>
      <c r="J107" s="160"/>
      <c r="K107" s="170"/>
      <c r="L107" s="170"/>
      <c r="M107" s="171"/>
      <c r="N107" s="171"/>
      <c r="O107" s="171"/>
      <c r="P107" s="171"/>
      <c r="Q107" s="171"/>
      <c r="R107" s="171"/>
      <c r="S107" s="171"/>
      <c r="T107" s="160"/>
    </row>
    <row r="108" spans="2:21" x14ac:dyDescent="0.2">
      <c r="B108" s="2"/>
      <c r="C108" s="2"/>
      <c r="D108" s="2"/>
      <c r="E108" s="2"/>
      <c r="F108" s="2"/>
      <c r="G108" s="2"/>
      <c r="H108" s="2"/>
      <c r="I108" s="2"/>
      <c r="M108" s="3"/>
      <c r="N108" s="3"/>
      <c r="O108" s="3"/>
      <c r="P108" s="3"/>
      <c r="Q108" s="3"/>
      <c r="R108" s="3"/>
      <c r="S108" s="3"/>
      <c r="U108" s="98"/>
    </row>
    <row r="109" spans="2:21" ht="12" customHeight="1" thickBot="1" x14ac:dyDescent="0.3">
      <c r="B109" s="19"/>
      <c r="C109" s="92"/>
      <c r="D109" s="173"/>
      <c r="E109" s="156"/>
      <c r="F109" s="156"/>
      <c r="G109" s="156"/>
      <c r="H109" s="156"/>
      <c r="I109" s="156"/>
      <c r="J109" s="156"/>
      <c r="K109" s="156"/>
      <c r="M109" s="173" t="s">
        <v>108</v>
      </c>
      <c r="N109" s="156"/>
      <c r="O109" s="156"/>
      <c r="P109" s="156"/>
      <c r="Q109" s="156"/>
      <c r="R109" s="156"/>
      <c r="S109" s="156"/>
      <c r="T109" s="156"/>
    </row>
    <row r="110" spans="2:21" x14ac:dyDescent="0.2">
      <c r="B110" s="49"/>
      <c r="C110" s="175" t="s">
        <v>38</v>
      </c>
      <c r="D110" s="155">
        <v>2019</v>
      </c>
      <c r="E110" s="155">
        <v>2020</v>
      </c>
      <c r="F110" s="155">
        <v>2021</v>
      </c>
      <c r="G110" s="155">
        <v>2022</v>
      </c>
      <c r="H110" s="155">
        <v>2023</v>
      </c>
      <c r="I110" s="155">
        <v>2024</v>
      </c>
      <c r="J110" s="155">
        <v>2025</v>
      </c>
      <c r="K110" s="174" t="s">
        <v>36</v>
      </c>
      <c r="L110" s="114"/>
      <c r="M110" s="155">
        <v>2019</v>
      </c>
      <c r="N110" s="155">
        <v>2020</v>
      </c>
      <c r="O110" s="155">
        <v>2021</v>
      </c>
      <c r="P110" s="155">
        <v>2022</v>
      </c>
      <c r="Q110" s="155">
        <v>2023</v>
      </c>
      <c r="R110" s="155">
        <v>2024</v>
      </c>
      <c r="S110" s="155">
        <v>2025</v>
      </c>
      <c r="T110" s="155" t="s">
        <v>36</v>
      </c>
    </row>
    <row r="111" spans="2:21" ht="12" customHeight="1" thickBot="1" x14ac:dyDescent="0.25">
      <c r="B111" s="84"/>
      <c r="C111" s="156"/>
      <c r="D111" s="156"/>
      <c r="E111" s="156"/>
      <c r="F111" s="156"/>
      <c r="G111" s="156"/>
      <c r="H111" s="156"/>
      <c r="I111" s="156"/>
      <c r="J111" s="156"/>
      <c r="K111" s="156"/>
      <c r="L111" s="114"/>
      <c r="M111" s="156"/>
      <c r="N111" s="156"/>
      <c r="O111" s="156"/>
      <c r="P111" s="156"/>
      <c r="Q111" s="156"/>
      <c r="R111" s="156"/>
      <c r="S111" s="156"/>
      <c r="T111" s="156"/>
    </row>
    <row r="112" spans="2:21" x14ac:dyDescent="0.2">
      <c r="B112" s="34" t="s">
        <v>39</v>
      </c>
      <c r="C112" s="76" t="s">
        <v>40</v>
      </c>
      <c r="D112" s="41">
        <f t="shared" ref="D112:K112" si="39">+SUM(D113:D119)</f>
        <v>229224.6215611067</v>
      </c>
      <c r="E112" s="41">
        <f t="shared" si="39"/>
        <v>273150.78667729476</v>
      </c>
      <c r="F112" s="41">
        <f t="shared" si="39"/>
        <v>289124.76813196641</v>
      </c>
      <c r="G112" s="41">
        <f t="shared" si="39"/>
        <v>240572.62372311103</v>
      </c>
      <c r="H112" s="41">
        <f t="shared" si="39"/>
        <v>276396.20417351369</v>
      </c>
      <c r="I112" s="41">
        <f t="shared" si="39"/>
        <v>289545.4274788418</v>
      </c>
      <c r="J112" s="41">
        <f t="shared" si="39"/>
        <v>311141.97992334038</v>
      </c>
      <c r="K112" s="41">
        <f t="shared" si="39"/>
        <v>151952.23179400447</v>
      </c>
      <c r="L112" s="71"/>
      <c r="M112" s="46">
        <f t="shared" ref="M112:M132" si="40">+D112/D14*100</f>
        <v>94.064335759928895</v>
      </c>
      <c r="N112" s="46">
        <f t="shared" ref="N112:N132" si="41">+E112/E14*100</f>
        <v>84.236202038952953</v>
      </c>
      <c r="O112" s="46">
        <f t="shared" ref="O112:O132" si="42">+F112/F14*100</f>
        <v>93.274233169091886</v>
      </c>
      <c r="P112" s="46">
        <f t="shared" ref="P112:P132" si="43">+G112/G14*100</f>
        <v>88.862345232757974</v>
      </c>
      <c r="Q112" s="46">
        <f t="shared" ref="Q112:Q132" si="44">+H112/H14*100</f>
        <v>90.213011281874671</v>
      </c>
      <c r="R112" s="46">
        <f t="shared" ref="R112:R132" si="45">+I112/I14*100</f>
        <v>89.542591915979003</v>
      </c>
      <c r="S112" s="46">
        <f t="shared" ref="S112:S132" si="46">+J112/J14*100</f>
        <v>91.770080926884503</v>
      </c>
      <c r="T112" s="46">
        <f t="shared" ref="T112:T132" si="47">+K112/K14*100</f>
        <v>41.528743696945</v>
      </c>
    </row>
    <row r="113" spans="2:20" x14ac:dyDescent="0.2">
      <c r="B113" s="40"/>
      <c r="C113" s="77" t="s">
        <v>92</v>
      </c>
      <c r="D113" s="42">
        <f>+'C6 Ejec. Nac 19-26'!D113+'C7 Ejec. Prop 19-26'!D113</f>
        <v>47752.703568280231</v>
      </c>
      <c r="E113" s="42">
        <f>+'C6 Ejec. Nac 19-26'!E113+'C7 Ejec. Prop 19-26'!E113</f>
        <v>48741.501340757757</v>
      </c>
      <c r="F113" s="42">
        <f>+'C6 Ejec. Nac 19-26'!F113+'C7 Ejec. Prop 19-26'!F113</f>
        <v>48945.399716477776</v>
      </c>
      <c r="G113" s="42">
        <f>+'C6 Ejec. Nac 19-26'!G113+'C7 Ejec. Prop 19-26'!G113</f>
        <v>47857.659700238706</v>
      </c>
      <c r="H113" s="42">
        <f>+'C6 Ejec. Nac 19-26'!H113+'C7 Ejec. Prop 19-26'!H113</f>
        <v>50771.784728461629</v>
      </c>
      <c r="I113" s="42">
        <f>+'C6 Ejec. Nac 19-26'!I113+'C7 Ejec. Prop 19-26'!I113</f>
        <v>55090.227799316963</v>
      </c>
      <c r="J113" s="42">
        <f>+'C6 Ejec. Nac 19-26'!J113+'C7 Ejec. Prop 19-26'!J113</f>
        <v>58953.551803175149</v>
      </c>
      <c r="K113" s="42">
        <f>28672.1570438407*Deflactores!$AA$5</f>
        <v>28672.1570438407</v>
      </c>
      <c r="L113" s="42"/>
      <c r="M113" s="47">
        <f t="shared" si="40"/>
        <v>98.098003686839604</v>
      </c>
      <c r="N113" s="47">
        <f t="shared" si="41"/>
        <v>96.384608115084959</v>
      </c>
      <c r="O113" s="47">
        <f t="shared" si="42"/>
        <v>96.076631530916515</v>
      </c>
      <c r="P113" s="47">
        <f t="shared" si="43"/>
        <v>96.627784068461764</v>
      </c>
      <c r="Q113" s="47">
        <f t="shared" si="44"/>
        <v>95.377776223655289</v>
      </c>
      <c r="R113" s="47">
        <f t="shared" si="45"/>
        <v>96.750117801433646</v>
      </c>
      <c r="S113" s="47">
        <f t="shared" si="46"/>
        <v>96.828918617236098</v>
      </c>
      <c r="T113" s="47">
        <f t="shared" si="47"/>
        <v>42.920179070947881</v>
      </c>
    </row>
    <row r="114" spans="2:20" x14ac:dyDescent="0.2">
      <c r="B114" s="40"/>
      <c r="C114" s="77" t="s">
        <v>93</v>
      </c>
      <c r="D114" s="42">
        <f>+'C6 Ejec. Nac 19-26'!D114+'C7 Ejec. Prop 19-26'!D114</f>
        <v>13254.453454823048</v>
      </c>
      <c r="E114" s="42">
        <f>+'C6 Ejec. Nac 19-26'!E114+'C7 Ejec. Prop 19-26'!E114</f>
        <v>12851.030616132477</v>
      </c>
      <c r="F114" s="42">
        <f>+'C6 Ejec. Nac 19-26'!F114+'C7 Ejec. Prop 19-26'!F114</f>
        <v>13815.066803215865</v>
      </c>
      <c r="G114" s="42">
        <f>+'C6 Ejec. Nac 19-26'!G114+'C7 Ejec. Prop 19-26'!G114</f>
        <v>14904.413970616235</v>
      </c>
      <c r="H114" s="42">
        <f>+'C6 Ejec. Nac 19-26'!H114+'C7 Ejec. Prop 19-26'!H114</f>
        <v>14482.713480976752</v>
      </c>
      <c r="I114" s="42">
        <f>+'C6 Ejec. Nac 19-26'!I114+'C7 Ejec. Prop 19-26'!I114</f>
        <v>13460.312365170743</v>
      </c>
      <c r="J114" s="42">
        <f>+'C6 Ejec. Nac 19-26'!J114+'C7 Ejec. Prop 19-26'!J114</f>
        <v>16100.771247870936</v>
      </c>
      <c r="K114" s="42">
        <f>7185.67719849679*Deflactores!$AA$5</f>
        <v>7185.67719849679</v>
      </c>
      <c r="M114" s="47">
        <f t="shared" si="40"/>
        <v>87.73853375882976</v>
      </c>
      <c r="N114" s="47">
        <f t="shared" si="41"/>
        <v>85.665406047174244</v>
      </c>
      <c r="O114" s="47">
        <f t="shared" si="42"/>
        <v>87.219052112183192</v>
      </c>
      <c r="P114" s="47">
        <f t="shared" si="43"/>
        <v>86.21373094485935</v>
      </c>
      <c r="Q114" s="47">
        <f t="shared" si="44"/>
        <v>77.5050645431769</v>
      </c>
      <c r="R114" s="47">
        <f t="shared" si="45"/>
        <v>71.00941940503526</v>
      </c>
      <c r="S114" s="47">
        <f t="shared" si="46"/>
        <v>75.0188920294718</v>
      </c>
      <c r="T114" s="47">
        <f t="shared" si="47"/>
        <v>34.620236197798413</v>
      </c>
    </row>
    <row r="115" spans="2:20" x14ac:dyDescent="0.2">
      <c r="B115" s="40"/>
      <c r="C115" s="77" t="s">
        <v>58</v>
      </c>
      <c r="D115" s="42">
        <f>+'C6 Ejec. Nac 19-26'!D115+'C7 Ejec. Prop 19-26'!D115</f>
        <v>164716.75219776825</v>
      </c>
      <c r="E115" s="42">
        <f>+'C6 Ejec. Nac 19-26'!E115+'C7 Ejec. Prop 19-26'!E115</f>
        <v>207824.2876899213</v>
      </c>
      <c r="F115" s="42">
        <f>+'C6 Ejec. Nac 19-26'!F115+'C7 Ejec. Prop 19-26'!F115</f>
        <v>221133.34074752231</v>
      </c>
      <c r="G115" s="42">
        <f>+'C6 Ejec. Nac 19-26'!G115+'C7 Ejec. Prop 19-26'!G115</f>
        <v>173335.07729778235</v>
      </c>
      <c r="H115" s="42">
        <f>+'C6 Ejec. Nac 19-26'!H115+'C7 Ejec. Prop 19-26'!H115</f>
        <v>207001.54864619154</v>
      </c>
      <c r="I115" s="42">
        <f>+'C6 Ejec. Nac 19-26'!I115+'C7 Ejec. Prop 19-26'!I115</f>
        <v>216867.27294269795</v>
      </c>
      <c r="J115" s="42">
        <f>+'C6 Ejec. Nac 19-26'!J115+'C7 Ejec. Prop 19-26'!J115</f>
        <v>232026.29124659277</v>
      </c>
      <c r="K115" s="42">
        <f>115001.708115093*Deflactores!$AA$5</f>
        <v>115001.708115093</v>
      </c>
      <c r="L115" s="42"/>
      <c r="M115" s="47">
        <f t="shared" si="40"/>
        <v>93.671315828373437</v>
      </c>
      <c r="N115" s="47">
        <f t="shared" si="41"/>
        <v>81.678320412981449</v>
      </c>
      <c r="O115" s="47">
        <f t="shared" si="42"/>
        <v>93.36169728674875</v>
      </c>
      <c r="P115" s="47">
        <f t="shared" si="43"/>
        <v>87.204026814290685</v>
      </c>
      <c r="Q115" s="47">
        <f t="shared" si="44"/>
        <v>90.207689823541742</v>
      </c>
      <c r="R115" s="47">
        <f t="shared" si="45"/>
        <v>89.390773161104732</v>
      </c>
      <c r="S115" s="47">
        <f t="shared" si="46"/>
        <v>92.060955100807661</v>
      </c>
      <c r="T115" s="47">
        <f t="shared" si="47"/>
        <v>42.023201296335913</v>
      </c>
    </row>
    <row r="116" spans="2:20" x14ac:dyDescent="0.2">
      <c r="B116" s="40"/>
      <c r="C116" s="77" t="s">
        <v>94</v>
      </c>
      <c r="D116" s="42">
        <f>+'C6 Ejec. Nac 19-26'!D116+'C7 Ejec. Prop 19-26'!D116</f>
        <v>1797.6069806528956</v>
      </c>
      <c r="E116" s="42">
        <f>+'C6 Ejec. Nac 19-26'!E116+'C7 Ejec. Prop 19-26'!E116</f>
        <v>1671.0639607836677</v>
      </c>
      <c r="F116" s="42">
        <f>+'C6 Ejec. Nac 19-26'!F116+'C7 Ejec. Prop 19-26'!F116</f>
        <v>1895.0562383896627</v>
      </c>
      <c r="G116" s="42">
        <f>+'C6 Ejec. Nac 19-26'!G116+'C7 Ejec. Prop 19-26'!G116</f>
        <v>1958.7441594674783</v>
      </c>
      <c r="H116" s="42">
        <f>+'C6 Ejec. Nac 19-26'!H116+'C7 Ejec. Prop 19-26'!H116</f>
        <v>1720.3061510930104</v>
      </c>
      <c r="I116" s="42">
        <f>+'C6 Ejec. Nac 19-26'!I116+'C7 Ejec. Prop 19-26'!I116</f>
        <v>1814.854360913049</v>
      </c>
      <c r="J116" s="42">
        <f>+'C6 Ejec. Nac 19-26'!J116+'C7 Ejec. Prop 19-26'!J116</f>
        <v>1778.166192661334</v>
      </c>
      <c r="K116" s="42">
        <f>641.49627332202*Deflactores!$AA$5</f>
        <v>641.49627332201999</v>
      </c>
      <c r="L116" s="42"/>
      <c r="M116" s="47">
        <f t="shared" si="40"/>
        <v>79.754710156893182</v>
      </c>
      <c r="N116" s="47">
        <f t="shared" si="41"/>
        <v>80.974042009677703</v>
      </c>
      <c r="O116" s="47">
        <f t="shared" si="42"/>
        <v>72.389954989845265</v>
      </c>
      <c r="P116" s="47">
        <f t="shared" si="43"/>
        <v>80.781433744028647</v>
      </c>
      <c r="Q116" s="47">
        <f t="shared" si="44"/>
        <v>78.295658942453343</v>
      </c>
      <c r="R116" s="47">
        <f t="shared" si="45"/>
        <v>78.082272198822608</v>
      </c>
      <c r="S116" s="47">
        <f t="shared" si="46"/>
        <v>82.763525936341537</v>
      </c>
      <c r="T116" s="47">
        <f t="shared" si="47"/>
        <v>29.076183098491406</v>
      </c>
    </row>
    <row r="117" spans="2:20" x14ac:dyDescent="0.2">
      <c r="B117" s="40"/>
      <c r="C117" s="77" t="s">
        <v>95</v>
      </c>
      <c r="D117" s="42">
        <f>+'C6 Ejec. Nac 19-26'!D117+'C7 Ejec. Prop 19-26'!D117</f>
        <v>564.80098507386003</v>
      </c>
      <c r="E117" s="42">
        <f>+'C6 Ejec. Nac 19-26'!E117+'C7 Ejec. Prop 19-26'!E117</f>
        <v>624.24857166224706</v>
      </c>
      <c r="F117" s="42">
        <f>+'C6 Ejec. Nac 19-26'!F117+'C7 Ejec. Prop 19-26'!F117</f>
        <v>705.87300194819454</v>
      </c>
      <c r="G117" s="42">
        <f>+'C6 Ejec. Nac 19-26'!G117+'C7 Ejec. Prop 19-26'!G117</f>
        <v>809.03157629214581</v>
      </c>
      <c r="H117" s="42">
        <f>+'C6 Ejec. Nac 19-26'!H117+'C7 Ejec. Prop 19-26'!H117</f>
        <v>779.24198943340241</v>
      </c>
      <c r="I117" s="42">
        <f>+'C6 Ejec. Nac 19-26'!I117+'C7 Ejec. Prop 19-26'!I117</f>
        <v>709.0052975312509</v>
      </c>
      <c r="J117" s="42">
        <f>+'C6 Ejec. Nac 19-26'!J117+'C7 Ejec. Prop 19-26'!J117</f>
        <v>716.66079721737742</v>
      </c>
      <c r="K117" s="42">
        <f>66.02355988042*Deflactores!$AA$5</f>
        <v>66.023559880419995</v>
      </c>
      <c r="L117" s="42"/>
      <c r="M117" s="47">
        <f t="shared" si="40"/>
        <v>97.712926651176602</v>
      </c>
      <c r="N117" s="47">
        <f t="shared" si="41"/>
        <v>96.383148904937912</v>
      </c>
      <c r="O117" s="47">
        <f t="shared" si="42"/>
        <v>84.075881976589443</v>
      </c>
      <c r="P117" s="47">
        <f t="shared" si="43"/>
        <v>98.402191744673971</v>
      </c>
      <c r="Q117" s="47">
        <f t="shared" si="44"/>
        <v>87.169872246738748</v>
      </c>
      <c r="R117" s="47">
        <f t="shared" si="45"/>
        <v>98.503888916724875</v>
      </c>
      <c r="S117" s="47">
        <f t="shared" si="46"/>
        <v>95.153354717727566</v>
      </c>
      <c r="T117" s="47">
        <f t="shared" si="47"/>
        <v>8.6928605589092083</v>
      </c>
    </row>
    <row r="118" spans="2:20" x14ac:dyDescent="0.2">
      <c r="B118" s="40"/>
      <c r="C118" s="77" t="s">
        <v>96</v>
      </c>
      <c r="D118" s="42">
        <f>+'C6 Ejec. Nac 19-26'!D118+'C7 Ejec. Prop 19-26'!D118</f>
        <v>388.22854840662711</v>
      </c>
      <c r="E118" s="42">
        <f>+'C6 Ejec. Nac 19-26'!E118+'C7 Ejec. Prop 19-26'!E118</f>
        <v>356.83430028041573</v>
      </c>
      <c r="F118" s="42">
        <f>+'C6 Ejec. Nac 19-26'!F118+'C7 Ejec. Prop 19-26'!F118</f>
        <v>619.05080216649912</v>
      </c>
      <c r="G118" s="42">
        <f>+'C6 Ejec. Nac 19-26'!G118+'C7 Ejec. Prop 19-26'!G118</f>
        <v>454.93607475119757</v>
      </c>
      <c r="H118" s="42">
        <f>+'C6 Ejec. Nac 19-26'!H118+'C7 Ejec. Prop 19-26'!H118</f>
        <v>516.85540758537161</v>
      </c>
      <c r="I118" s="42">
        <f>+'C6 Ejec. Nac 19-26'!I118+'C7 Ejec. Prop 19-26'!I118</f>
        <v>372.4858215711281</v>
      </c>
      <c r="J118" s="42">
        <f>+'C6 Ejec. Nac 19-26'!J118+'C7 Ejec. Prop 19-26'!J118</f>
        <v>312.38017480120141</v>
      </c>
      <c r="K118" s="42">
        <f>161.50392947975*Deflactores!$AA$5</f>
        <v>161.50392947975001</v>
      </c>
      <c r="L118" s="42"/>
      <c r="M118" s="47">
        <f t="shared" si="40"/>
        <v>91.487392046522515</v>
      </c>
      <c r="N118" s="47">
        <f t="shared" si="41"/>
        <v>81.838253935579019</v>
      </c>
      <c r="O118" s="47">
        <f t="shared" si="42"/>
        <v>90.915546488904269</v>
      </c>
      <c r="P118" s="47">
        <f t="shared" si="43"/>
        <v>85.228560218093662</v>
      </c>
      <c r="Q118" s="47">
        <f t="shared" si="44"/>
        <v>89.787849309982036</v>
      </c>
      <c r="R118" s="47">
        <f t="shared" si="45"/>
        <v>94.287297352532732</v>
      </c>
      <c r="S118" s="47">
        <f t="shared" si="46"/>
        <v>85.378367223627492</v>
      </c>
      <c r="T118" s="47">
        <f t="shared" si="47"/>
        <v>42.76236347395588</v>
      </c>
    </row>
    <row r="119" spans="2:20" x14ac:dyDescent="0.2">
      <c r="B119" s="40"/>
      <c r="C119" s="77" t="s">
        <v>97</v>
      </c>
      <c r="D119" s="42">
        <f>+'C6 Ejec. Nac 19-26'!D119+'C7 Ejec. Prop 19-26'!D119</f>
        <v>750.07582610179156</v>
      </c>
      <c r="E119" s="42">
        <f>+'C6 Ejec. Nac 19-26'!E119+'C7 Ejec. Prop 19-26'!E119</f>
        <v>1081.8201977568992</v>
      </c>
      <c r="F119" s="42">
        <f>+'C6 Ejec. Nac 19-26'!F119+'C7 Ejec. Prop 19-26'!F119</f>
        <v>2010.9808222461372</v>
      </c>
      <c r="G119" s="42">
        <f>+'C6 Ejec. Nac 19-26'!G119+'C7 Ejec. Prop 19-26'!G119</f>
        <v>1252.7609439628891</v>
      </c>
      <c r="H119" s="42">
        <f>+'C6 Ejec. Nac 19-26'!H119+'C7 Ejec. Prop 19-26'!H119</f>
        <v>1123.7537697719274</v>
      </c>
      <c r="I119" s="42">
        <f>+'C6 Ejec. Nac 19-26'!I119+'C7 Ejec. Prop 19-26'!I119</f>
        <v>1231.2688916406892</v>
      </c>
      <c r="J119" s="42">
        <f>+'C6 Ejec. Nac 19-26'!J119+'C7 Ejec. Prop 19-26'!J119</f>
        <v>1254.1584610215566</v>
      </c>
      <c r="K119" s="42">
        <f>223.665673891779*Deflactores!$AA$5</f>
        <v>223.66567389177899</v>
      </c>
      <c r="L119" s="42"/>
      <c r="M119" s="47">
        <f t="shared" si="40"/>
        <v>93.512423729008674</v>
      </c>
      <c r="N119" s="47">
        <f t="shared" si="41"/>
        <v>97.755722022061576</v>
      </c>
      <c r="O119" s="47">
        <f t="shared" si="42"/>
        <v>91.646971400660888</v>
      </c>
      <c r="P119" s="47">
        <f t="shared" si="43"/>
        <v>92.170850023672287</v>
      </c>
      <c r="Q119" s="47">
        <f t="shared" si="44"/>
        <v>84.852852508256333</v>
      </c>
      <c r="R119" s="47">
        <f t="shared" si="45"/>
        <v>86.760355969800997</v>
      </c>
      <c r="S119" s="47">
        <f t="shared" si="46"/>
        <v>89.868086205315365</v>
      </c>
      <c r="T119" s="47">
        <f t="shared" si="47"/>
        <v>16.797975245735014</v>
      </c>
    </row>
    <row r="120" spans="2:20" x14ac:dyDescent="0.2">
      <c r="B120" s="34" t="s">
        <v>41</v>
      </c>
      <c r="C120" s="76" t="s">
        <v>42</v>
      </c>
      <c r="D120" s="41">
        <f t="shared" ref="D120:K120" si="48">+D121+D125</f>
        <v>80186.817141754611</v>
      </c>
      <c r="E120" s="41">
        <f t="shared" si="48"/>
        <v>69309.351487859152</v>
      </c>
      <c r="F120" s="41">
        <f t="shared" si="48"/>
        <v>79119.627448343163</v>
      </c>
      <c r="G120" s="41">
        <f t="shared" si="48"/>
        <v>88124.46336713279</v>
      </c>
      <c r="H120" s="41">
        <f t="shared" si="48"/>
        <v>88035.811373855438</v>
      </c>
      <c r="I120" s="41">
        <f t="shared" si="48"/>
        <v>92256.522652724962</v>
      </c>
      <c r="J120" s="41">
        <f t="shared" si="48"/>
        <v>110761.28456322767</v>
      </c>
      <c r="K120" s="41">
        <f t="shared" si="48"/>
        <v>48362.839338434351</v>
      </c>
      <c r="L120" s="71"/>
      <c r="M120" s="46">
        <f t="shared" si="40"/>
        <v>99.269937736835018</v>
      </c>
      <c r="N120" s="46">
        <f t="shared" si="41"/>
        <v>84.455094271737082</v>
      </c>
      <c r="O120" s="46">
        <f t="shared" si="42"/>
        <v>77.41580765591803</v>
      </c>
      <c r="P120" s="46">
        <f t="shared" si="43"/>
        <v>95.981446489614669</v>
      </c>
      <c r="Q120" s="46">
        <f t="shared" si="44"/>
        <v>95.661422481031707</v>
      </c>
      <c r="R120" s="46">
        <f t="shared" si="45"/>
        <v>87.664908838561487</v>
      </c>
      <c r="S120" s="46">
        <f t="shared" si="46"/>
        <v>92.765888849015838</v>
      </c>
      <c r="T120" s="46">
        <f t="shared" si="47"/>
        <v>48.146321254564647</v>
      </c>
    </row>
    <row r="121" spans="2:20" x14ac:dyDescent="0.2">
      <c r="B121" s="34"/>
      <c r="C121" s="76" t="s">
        <v>43</v>
      </c>
      <c r="D121" s="41">
        <f t="shared" ref="D121:K121" si="49">+SUM(D122:D124)</f>
        <v>21926.039621444277</v>
      </c>
      <c r="E121" s="41">
        <f t="shared" si="49"/>
        <v>22728.52175071188</v>
      </c>
      <c r="F121" s="41">
        <f t="shared" si="49"/>
        <v>29430.894855465744</v>
      </c>
      <c r="G121" s="41">
        <f t="shared" si="49"/>
        <v>19438.081214496335</v>
      </c>
      <c r="H121" s="41">
        <f t="shared" si="49"/>
        <v>29229.471003748546</v>
      </c>
      <c r="I121" s="41">
        <f t="shared" si="49"/>
        <v>35595.738836550736</v>
      </c>
      <c r="J121" s="41">
        <f t="shared" si="49"/>
        <v>50768.289815977427</v>
      </c>
      <c r="K121" s="41">
        <f t="shared" si="49"/>
        <v>13514.78141106825</v>
      </c>
      <c r="L121" s="71"/>
      <c r="M121" s="46">
        <f t="shared" si="40"/>
        <v>97.913486747181366</v>
      </c>
      <c r="N121" s="46">
        <f t="shared" si="41"/>
        <v>99.032710760723859</v>
      </c>
      <c r="O121" s="46">
        <f t="shared" si="42"/>
        <v>80.563045668736265</v>
      </c>
      <c r="P121" s="46">
        <f t="shared" si="43"/>
        <v>90.38419877922459</v>
      </c>
      <c r="Q121" s="46">
        <f t="shared" si="44"/>
        <v>93.925312356068375</v>
      </c>
      <c r="R121" s="46">
        <f t="shared" si="45"/>
        <v>85.725266815904774</v>
      </c>
      <c r="S121" s="46">
        <f t="shared" si="46"/>
        <v>88.965244172566955</v>
      </c>
      <c r="T121" s="46">
        <f t="shared" si="47"/>
        <v>35.18920370844517</v>
      </c>
    </row>
    <row r="122" spans="2:20" x14ac:dyDescent="0.2">
      <c r="B122" s="32"/>
      <c r="C122" s="77" t="s">
        <v>98</v>
      </c>
      <c r="D122" s="42">
        <f>+'C6 Ejec. Nac 19-26'!D122+'C7 Ejec. Prop 19-26'!D122</f>
        <v>12303.517036912863</v>
      </c>
      <c r="E122" s="42">
        <f>+'C6 Ejec. Nac 19-26'!E122+'C7 Ejec. Prop 19-26'!E122</f>
        <v>9779.5210572701926</v>
      </c>
      <c r="F122" s="42">
        <f>+'C6 Ejec. Nac 19-26'!F122+'C7 Ejec. Prop 19-26'!F122</f>
        <v>15720.745303938267</v>
      </c>
      <c r="G122" s="42">
        <f>+'C6 Ejec. Nac 19-26'!G122+'C7 Ejec. Prop 19-26'!G122</f>
        <v>5376.9493716619645</v>
      </c>
      <c r="H122" s="42">
        <f>+'C6 Ejec. Nac 19-26'!H122+'C7 Ejec. Prop 19-26'!H122</f>
        <v>14736.693752411797</v>
      </c>
      <c r="I122" s="42">
        <f>+'C6 Ejec. Nac 19-26'!I122+'C7 Ejec. Prop 19-26'!I122</f>
        <v>18915.452473563306</v>
      </c>
      <c r="J122" s="42">
        <f>+'C6 Ejec. Nac 19-26'!J122+'C7 Ejec. Prop 19-26'!J122</f>
        <v>33878.997345685893</v>
      </c>
      <c r="K122" s="42">
        <f>7206.40456965048*Deflactores!$AA$5</f>
        <v>7206.40456965048</v>
      </c>
      <c r="L122" s="42"/>
      <c r="M122" s="47">
        <f t="shared" si="40"/>
        <v>99.388399633902537</v>
      </c>
      <c r="N122" s="47">
        <f t="shared" si="41"/>
        <v>98.433201721859902</v>
      </c>
      <c r="O122" s="47">
        <f t="shared" si="42"/>
        <v>75.917390481882123</v>
      </c>
      <c r="P122" s="47">
        <f t="shared" si="43"/>
        <v>96.760553481122784</v>
      </c>
      <c r="Q122" s="47">
        <f t="shared" si="44"/>
        <v>95.285042047852386</v>
      </c>
      <c r="R122" s="47">
        <f t="shared" si="45"/>
        <v>87.000273850086685</v>
      </c>
      <c r="S122" s="47">
        <f t="shared" si="46"/>
        <v>92.714856987671055</v>
      </c>
      <c r="T122" s="47">
        <f t="shared" si="47"/>
        <v>41.72052217645696</v>
      </c>
    </row>
    <row r="123" spans="2:20" x14ac:dyDescent="0.2">
      <c r="B123" s="32"/>
      <c r="C123" s="77" t="s">
        <v>61</v>
      </c>
      <c r="D123" s="42">
        <f>+'C6 Ejec. Nac 19-26'!D123+'C7 Ejec. Prop 19-26'!D123</f>
        <v>9503.7651093247678</v>
      </c>
      <c r="E123" s="42">
        <f>+'C6 Ejec. Nac 19-26'!E123+'C7 Ejec. Prop 19-26'!E123</f>
        <v>12578.579715137696</v>
      </c>
      <c r="F123" s="42">
        <f>+'C6 Ejec. Nac 19-26'!F123+'C7 Ejec. Prop 19-26'!F123</f>
        <v>13525.002214046279</v>
      </c>
      <c r="G123" s="42">
        <f>+'C6 Ejec. Nac 19-26'!G123+'C7 Ejec. Prop 19-26'!G123</f>
        <v>13938.543783697049</v>
      </c>
      <c r="H123" s="42">
        <f>+'C6 Ejec. Nac 19-26'!H123+'C7 Ejec. Prop 19-26'!H123</f>
        <v>14398.335194633573</v>
      </c>
      <c r="I123" s="42">
        <f>+'C6 Ejec. Nac 19-26'!I123+'C7 Ejec. Prop 19-26'!I123</f>
        <v>16572.054132741898</v>
      </c>
      <c r="J123" s="42">
        <f>+'C6 Ejec. Nac 19-26'!J123+'C7 Ejec. Prop 19-26'!J123</f>
        <v>16659.505975095297</v>
      </c>
      <c r="K123" s="42">
        <f>6254.03186962299*Deflactores!$AA$5</f>
        <v>6254.0318696229897</v>
      </c>
      <c r="L123" s="42"/>
      <c r="M123" s="47">
        <f t="shared" si="40"/>
        <v>96.817670243193476</v>
      </c>
      <c r="N123" s="47">
        <f t="shared" si="41"/>
        <v>99.773939366644953</v>
      </c>
      <c r="O123" s="47">
        <f t="shared" si="42"/>
        <v>86.762291864065872</v>
      </c>
      <c r="P123" s="47">
        <f t="shared" si="43"/>
        <v>88.430494290039277</v>
      </c>
      <c r="Q123" s="47">
        <f t="shared" si="44"/>
        <v>93.025474680170845</v>
      </c>
      <c r="R123" s="47">
        <f t="shared" si="45"/>
        <v>84.873182322204244</v>
      </c>
      <c r="S123" s="47">
        <f t="shared" si="46"/>
        <v>83.663837569783212</v>
      </c>
      <c r="T123" s="47">
        <f t="shared" si="47"/>
        <v>31.290400491855163</v>
      </c>
    </row>
    <row r="124" spans="2:20" x14ac:dyDescent="0.2">
      <c r="B124" s="32"/>
      <c r="C124" s="77" t="s">
        <v>103</v>
      </c>
      <c r="D124" s="42">
        <f>+'C6 Ejec. Nac 19-26'!D124+'C7 Ejec. Prop 19-26'!D124</f>
        <v>118.75747520664665</v>
      </c>
      <c r="E124" s="42">
        <f>+'C6 Ejec. Nac 19-26'!E124+'C7 Ejec. Prop 19-26'!E124</f>
        <v>370.42097830399069</v>
      </c>
      <c r="F124" s="42">
        <f>+'C6 Ejec. Nac 19-26'!F124+'C7 Ejec. Prop 19-26'!F124</f>
        <v>185.1473374811994</v>
      </c>
      <c r="G124" s="42">
        <f>+'C6 Ejec. Nac 19-26'!G124+'C7 Ejec. Prop 19-26'!G124</f>
        <v>122.58805913732124</v>
      </c>
      <c r="H124" s="42">
        <f>+'C6 Ejec. Nac 19-26'!H124+'C7 Ejec. Prop 19-26'!H124</f>
        <v>94.442056703175595</v>
      </c>
      <c r="I124" s="42">
        <f>+'C6 Ejec. Nac 19-26'!I124+'C7 Ejec. Prop 19-26'!I124</f>
        <v>108.23223024552603</v>
      </c>
      <c r="J124" s="42">
        <f>+'C6 Ejec. Nac 19-26'!J124+'C7 Ejec. Prop 19-26'!J124</f>
        <v>229.78649519623053</v>
      </c>
      <c r="K124" s="42">
        <f>54.34497179478*Deflactores!$AA$5</f>
        <v>54.344971794780001</v>
      </c>
      <c r="L124" s="42"/>
      <c r="M124" s="47">
        <f t="shared" si="40"/>
        <v>60.008037986718321</v>
      </c>
      <c r="N124" s="47">
        <f t="shared" si="41"/>
        <v>90.732763379105563</v>
      </c>
      <c r="O124" s="47">
        <f t="shared" si="42"/>
        <v>78.707196030640432</v>
      </c>
      <c r="P124" s="47">
        <f t="shared" si="43"/>
        <v>65.572336683188809</v>
      </c>
      <c r="Q124" s="47">
        <f t="shared" si="44"/>
        <v>53.610783607904445</v>
      </c>
      <c r="R124" s="47">
        <f t="shared" si="45"/>
        <v>42.353433910073853</v>
      </c>
      <c r="S124" s="47">
        <f t="shared" si="46"/>
        <v>37.558633518332343</v>
      </c>
      <c r="T124" s="47">
        <f t="shared" si="47"/>
        <v>4.7424023384263494</v>
      </c>
    </row>
    <row r="125" spans="2:20" x14ac:dyDescent="0.2">
      <c r="B125" s="34"/>
      <c r="C125" s="76" t="s">
        <v>44</v>
      </c>
      <c r="D125" s="41">
        <f t="shared" ref="D125:K125" si="50">+SUM(D126:D129)</f>
        <v>58260.77752031033</v>
      </c>
      <c r="E125" s="41">
        <f t="shared" si="50"/>
        <v>46580.829737147273</v>
      </c>
      <c r="F125" s="41">
        <f t="shared" si="50"/>
        <v>49688.732592877423</v>
      </c>
      <c r="G125" s="41">
        <f t="shared" si="50"/>
        <v>68686.382152636448</v>
      </c>
      <c r="H125" s="41">
        <f t="shared" si="50"/>
        <v>58806.340370106889</v>
      </c>
      <c r="I125" s="41">
        <f t="shared" si="50"/>
        <v>56660.783816174218</v>
      </c>
      <c r="J125" s="41">
        <f t="shared" si="50"/>
        <v>59992.994747250254</v>
      </c>
      <c r="K125" s="41">
        <f t="shared" si="50"/>
        <v>34848.057927366099</v>
      </c>
      <c r="L125" s="71"/>
      <c r="M125" s="46">
        <f t="shared" si="40"/>
        <v>99.790213338245522</v>
      </c>
      <c r="N125" s="46">
        <f t="shared" si="41"/>
        <v>78.795646615185063</v>
      </c>
      <c r="O125" s="46">
        <f t="shared" si="42"/>
        <v>75.665016316369801</v>
      </c>
      <c r="P125" s="46">
        <f t="shared" si="43"/>
        <v>97.693552563826785</v>
      </c>
      <c r="Q125" s="46">
        <f t="shared" si="44"/>
        <v>96.548449250873176</v>
      </c>
      <c r="R125" s="46">
        <f t="shared" si="45"/>
        <v>88.928979883116781</v>
      </c>
      <c r="S125" s="46">
        <f t="shared" si="46"/>
        <v>96.245322159843852</v>
      </c>
      <c r="T125" s="46">
        <f t="shared" si="47"/>
        <v>56.166989469625662</v>
      </c>
    </row>
    <row r="126" spans="2:20" x14ac:dyDescent="0.2">
      <c r="B126" s="32"/>
      <c r="C126" s="77" t="s">
        <v>98</v>
      </c>
      <c r="D126" s="42">
        <f>+'C6 Ejec. Nac 19-26'!D126+'C7 Ejec. Prop 19-26'!D126</f>
        <v>27861.889198276709</v>
      </c>
      <c r="E126" s="42">
        <f>+'C6 Ejec. Nac 19-26'!E126+'C7 Ejec. Prop 19-26'!E126</f>
        <v>13197.827583809358</v>
      </c>
      <c r="F126" s="42">
        <f>+'C6 Ejec. Nac 19-26'!F126+'C7 Ejec. Prop 19-26'!F126</f>
        <v>15009.720486026388</v>
      </c>
      <c r="G126" s="42">
        <f>+'C6 Ejec. Nac 19-26'!G126+'C7 Ejec. Prop 19-26'!G126</f>
        <v>32618.790428175242</v>
      </c>
      <c r="H126" s="42">
        <f>+'C6 Ejec. Nac 19-26'!H126+'C7 Ejec. Prop 19-26'!H126</f>
        <v>19990.19313172128</v>
      </c>
      <c r="I126" s="42">
        <f>+'C6 Ejec. Nac 19-26'!I126+'C7 Ejec. Prop 19-26'!I126</f>
        <v>9632.8486464149228</v>
      </c>
      <c r="J126" s="42">
        <f>+'C6 Ejec. Nac 19-26'!J126+'C7 Ejec. Prop 19-26'!J126</f>
        <v>10866.054509567301</v>
      </c>
      <c r="K126" s="42">
        <f>603.79060194526*Deflactores!$AA$5</f>
        <v>603.79060194526005</v>
      </c>
      <c r="L126" s="42"/>
      <c r="M126" s="47">
        <f t="shared" si="40"/>
        <v>99.85547548197809</v>
      </c>
      <c r="N126" s="47">
        <f t="shared" si="41"/>
        <v>52.862386155422413</v>
      </c>
      <c r="O126" s="47">
        <f t="shared" si="42"/>
        <v>51.647195918409793</v>
      </c>
      <c r="P126" s="47">
        <f t="shared" si="43"/>
        <v>95.963292243790136</v>
      </c>
      <c r="Q126" s="47">
        <f t="shared" si="44"/>
        <v>97.46958516518967</v>
      </c>
      <c r="R126" s="47">
        <f t="shared" si="45"/>
        <v>62.08735476138628</v>
      </c>
      <c r="S126" s="47">
        <f t="shared" si="46"/>
        <v>98.68192570549499</v>
      </c>
      <c r="T126" s="47">
        <f t="shared" si="47"/>
        <v>5.8377446865291578</v>
      </c>
    </row>
    <row r="127" spans="2:20" x14ac:dyDescent="0.2">
      <c r="B127" s="32"/>
      <c r="C127" s="77" t="s">
        <v>61</v>
      </c>
      <c r="D127" s="42">
        <f>+'C6 Ejec. Nac 19-26'!D127+'C7 Ejec. Prop 19-26'!D127</f>
        <v>29446.254762664266</v>
      </c>
      <c r="E127" s="42">
        <f>+'C6 Ejec. Nac 19-26'!E127+'C7 Ejec. Prop 19-26'!E127</f>
        <v>32031.432251050883</v>
      </c>
      <c r="F127" s="42">
        <f>+'C6 Ejec. Nac 19-26'!F127+'C7 Ejec. Prop 19-26'!F127</f>
        <v>33308.008678844824</v>
      </c>
      <c r="G127" s="42">
        <f>+'C6 Ejec. Nac 19-26'!G127+'C7 Ejec. Prop 19-26'!G127</f>
        <v>34300.579626900188</v>
      </c>
      <c r="H127" s="42">
        <f>+'C6 Ejec. Nac 19-26'!H127+'C7 Ejec. Prop 19-26'!H127</f>
        <v>33958.700965256496</v>
      </c>
      <c r="I127" s="42">
        <f>+'C6 Ejec. Nac 19-26'!I127+'C7 Ejec. Prop 19-26'!I127</f>
        <v>45343.447883903602</v>
      </c>
      <c r="J127" s="42">
        <f>+'C6 Ejec. Nac 19-26'!J127+'C7 Ejec. Prop 19-26'!J127</f>
        <v>47551.562200623805</v>
      </c>
      <c r="K127" s="42">
        <f>34206.8318239497*Deflactores!$AA$5</f>
        <v>34206.831823949702</v>
      </c>
      <c r="L127" s="42"/>
      <c r="M127" s="47">
        <f t="shared" si="40"/>
        <v>99.946195286388942</v>
      </c>
      <c r="N127" s="47">
        <f t="shared" si="41"/>
        <v>97.874521406723218</v>
      </c>
      <c r="O127" s="47">
        <f t="shared" si="42"/>
        <v>95.211150041984567</v>
      </c>
      <c r="P127" s="47">
        <f t="shared" si="43"/>
        <v>99.679241197332885</v>
      </c>
      <c r="Q127" s="47">
        <f t="shared" si="44"/>
        <v>96.068196647084832</v>
      </c>
      <c r="R127" s="47">
        <f t="shared" si="45"/>
        <v>97.975595653713626</v>
      </c>
      <c r="S127" s="47">
        <f t="shared" si="46"/>
        <v>97.068819139431966</v>
      </c>
      <c r="T127" s="47">
        <f t="shared" si="47"/>
        <v>70.128254255892557</v>
      </c>
    </row>
    <row r="128" spans="2:20" x14ac:dyDescent="0.2">
      <c r="B128" s="32"/>
      <c r="C128" s="77" t="s">
        <v>103</v>
      </c>
      <c r="D128" s="42">
        <f>+'C6 Ejec. Nac 19-26'!D128+'C7 Ejec. Prop 19-26'!D128</f>
        <v>190.76974255958459</v>
      </c>
      <c r="E128" s="42">
        <f>+'C6 Ejec. Nac 19-26'!E128+'C7 Ejec. Prop 19-26'!E128</f>
        <v>168.33849016552276</v>
      </c>
      <c r="F128" s="42">
        <f>+'C6 Ejec. Nac 19-26'!F128+'C7 Ejec. Prop 19-26'!F128</f>
        <v>161.80184733177225</v>
      </c>
      <c r="G128" s="42">
        <f>+'C6 Ejec. Nac 19-26'!G128+'C7 Ejec. Prop 19-26'!G128</f>
        <v>164.08608445967121</v>
      </c>
      <c r="H128" s="42">
        <f>+'C6 Ejec. Nac 19-26'!H128+'C7 Ejec. Prop 19-26'!H128</f>
        <v>169.9301060774273</v>
      </c>
      <c r="I128" s="42">
        <f>+'C6 Ejec. Nac 19-26'!I128+'C7 Ejec. Prop 19-26'!I128</f>
        <v>94.188558991209803</v>
      </c>
      <c r="J128" s="42">
        <f>+'C6 Ejec. Nac 19-26'!J128+'C7 Ejec. Prop 19-26'!J128</f>
        <v>104.89542793166017</v>
      </c>
      <c r="K128" s="42">
        <f>37.43550147114*Deflactores!$AA$5</f>
        <v>37.43550147114</v>
      </c>
      <c r="L128" s="42"/>
      <c r="M128" s="47">
        <f t="shared" si="40"/>
        <v>75.776489297530475</v>
      </c>
      <c r="N128" s="47">
        <f t="shared" si="41"/>
        <v>70.335114702012561</v>
      </c>
      <c r="O128" s="47">
        <f t="shared" si="42"/>
        <v>39.00451729157173</v>
      </c>
      <c r="P128" s="47">
        <f t="shared" si="43"/>
        <v>54.197124451600921</v>
      </c>
      <c r="Q128" s="47">
        <f t="shared" si="44"/>
        <v>49.103939795759707</v>
      </c>
      <c r="R128" s="47">
        <f t="shared" si="45"/>
        <v>28.628382392552282</v>
      </c>
      <c r="S128" s="47">
        <f t="shared" si="46"/>
        <v>33.556239829056395</v>
      </c>
      <c r="T128" s="47">
        <f t="shared" si="47"/>
        <v>14.513896765854595</v>
      </c>
    </row>
    <row r="129" spans="2:20" x14ac:dyDescent="0.2">
      <c r="B129" s="32"/>
      <c r="C129" s="77" t="s">
        <v>104</v>
      </c>
      <c r="D129" s="42">
        <f>+'C6 Ejec. Nac 19-26'!D129+'C7 Ejec. Prop 19-26'!D129</f>
        <v>761.86381680977763</v>
      </c>
      <c r="E129" s="42">
        <f>+'C6 Ejec. Nac 19-26'!E129+'C7 Ejec. Prop 19-26'!E129</f>
        <v>1183.2314121215102</v>
      </c>
      <c r="F129" s="42">
        <f>+'C6 Ejec. Nac 19-26'!F129+'C7 Ejec. Prop 19-26'!F129</f>
        <v>1209.2015806744421</v>
      </c>
      <c r="G129" s="42">
        <f>+'C6 Ejec. Nac 19-26'!G129+'C7 Ejec. Prop 19-26'!G129</f>
        <v>1602.9260131013395</v>
      </c>
      <c r="H129" s="42">
        <f>+'C6 Ejec. Nac 19-26'!H129+'C7 Ejec. Prop 19-26'!H129</f>
        <v>4687.5161670516845</v>
      </c>
      <c r="I129" s="42">
        <f>+'C6 Ejec. Nac 19-26'!I129+'C7 Ejec. Prop 19-26'!I129</f>
        <v>1590.2987268644761</v>
      </c>
      <c r="J129" s="42">
        <f>+'C6 Ejec. Nac 19-26'!J129+'C7 Ejec. Prop 19-26'!J129</f>
        <v>1470.4826091274908</v>
      </c>
      <c r="K129" s="42">
        <f>0*Deflactores!$AA$5</f>
        <v>0</v>
      </c>
      <c r="L129" s="42"/>
      <c r="M129" s="47">
        <f t="shared" si="40"/>
        <v>99.306648069156793</v>
      </c>
      <c r="N129" s="47">
        <f t="shared" si="41"/>
        <v>100</v>
      </c>
      <c r="O129" s="47">
        <f t="shared" si="42"/>
        <v>100</v>
      </c>
      <c r="P129" s="47">
        <f t="shared" si="43"/>
        <v>99.971585660163257</v>
      </c>
      <c r="Q129" s="47">
        <f t="shared" si="44"/>
        <v>99.631049280998269</v>
      </c>
      <c r="R129" s="47">
        <f t="shared" si="45"/>
        <v>100</v>
      </c>
      <c r="S129" s="47">
        <f t="shared" si="46"/>
        <v>72.718630119689493</v>
      </c>
      <c r="T129" s="47">
        <f t="shared" si="47"/>
        <v>0</v>
      </c>
    </row>
    <row r="130" spans="2:20" x14ac:dyDescent="0.2">
      <c r="B130" s="34" t="s">
        <v>45</v>
      </c>
      <c r="C130" s="76" t="s">
        <v>46</v>
      </c>
      <c r="D130" s="41">
        <f>+'C6 Ejec. Nac 19-26'!D130+'C7 Ejec. Prop 19-26'!D130</f>
        <v>48900.401538984748</v>
      </c>
      <c r="E130" s="41">
        <f>+'C6 Ejec. Nac 19-26'!E130+'C7 Ejec. Prop 19-26'!E130</f>
        <v>53104.136466968259</v>
      </c>
      <c r="F130" s="41">
        <f>+'C6 Ejec. Nac 19-26'!F130+'C7 Ejec. Prop 19-26'!F130</f>
        <v>65632.198398587148</v>
      </c>
      <c r="G130" s="41">
        <f>+'C6 Ejec. Nac 19-26'!G130+'C7 Ejec. Prop 19-26'!G130</f>
        <v>69678.217735269776</v>
      </c>
      <c r="H130" s="41">
        <f>+'C6 Ejec. Nac 19-26'!H130+'C7 Ejec. Prop 19-26'!H130</f>
        <v>68900.113879946992</v>
      </c>
      <c r="I130" s="41">
        <f>+'C6 Ejec. Nac 19-26'!I130+'C7 Ejec. Prop 19-26'!I130</f>
        <v>56210.574407881984</v>
      </c>
      <c r="J130" s="41">
        <f>+'C6 Ejec. Nac 19-26'!J130+'C7 Ejec. Prop 19-26'!J130</f>
        <v>52665.075127963479</v>
      </c>
      <c r="K130" s="41">
        <f>26802.9464042177*Deflactores!$AA$5</f>
        <v>26802.946404217699</v>
      </c>
      <c r="L130" s="71"/>
      <c r="M130" s="46">
        <f t="shared" si="40"/>
        <v>75.219775103782681</v>
      </c>
      <c r="N130" s="46">
        <f t="shared" si="41"/>
        <v>79.272171533345187</v>
      </c>
      <c r="O130" s="46">
        <f t="shared" si="42"/>
        <v>76.02077791197766</v>
      </c>
      <c r="P130" s="46">
        <f t="shared" si="43"/>
        <v>78.049495433137778</v>
      </c>
      <c r="Q130" s="46">
        <f t="shared" si="44"/>
        <v>70.519380164221474</v>
      </c>
      <c r="R130" s="46">
        <f t="shared" si="45"/>
        <v>55.671141066818151</v>
      </c>
      <c r="S130" s="46">
        <f t="shared" si="46"/>
        <v>63.58015778285354</v>
      </c>
      <c r="T130" s="46">
        <f t="shared" si="47"/>
        <v>29.956768279227802</v>
      </c>
    </row>
    <row r="131" spans="2:20" x14ac:dyDescent="0.2">
      <c r="B131" s="36" t="s">
        <v>47</v>
      </c>
      <c r="C131" s="78" t="s">
        <v>48</v>
      </c>
      <c r="D131" s="43">
        <f t="shared" ref="D131:K131" si="51">+D112+D130</f>
        <v>278125.02310009144</v>
      </c>
      <c r="E131" s="43">
        <f t="shared" si="51"/>
        <v>326254.92314426304</v>
      </c>
      <c r="F131" s="43">
        <f t="shared" si="51"/>
        <v>354756.96653055353</v>
      </c>
      <c r="G131" s="43">
        <f t="shared" si="51"/>
        <v>310250.8414583808</v>
      </c>
      <c r="H131" s="43">
        <f t="shared" si="51"/>
        <v>345296.31805346068</v>
      </c>
      <c r="I131" s="43">
        <f t="shared" si="51"/>
        <v>345756.0018867238</v>
      </c>
      <c r="J131" s="43">
        <f t="shared" si="51"/>
        <v>363807.05505130388</v>
      </c>
      <c r="K131" s="43">
        <f t="shared" si="51"/>
        <v>178755.17819822219</v>
      </c>
      <c r="L131" s="71"/>
      <c r="M131" s="48">
        <f t="shared" si="40"/>
        <v>90.095794793203282</v>
      </c>
      <c r="N131" s="48">
        <f t="shared" si="41"/>
        <v>83.386279084395113</v>
      </c>
      <c r="O131" s="48">
        <f t="shared" si="42"/>
        <v>89.515611824056535</v>
      </c>
      <c r="P131" s="48">
        <f t="shared" si="43"/>
        <v>86.180922574549825</v>
      </c>
      <c r="Q131" s="48">
        <f t="shared" si="44"/>
        <v>85.451290447474989</v>
      </c>
      <c r="R131" s="48">
        <f t="shared" si="45"/>
        <v>81.482899856413894</v>
      </c>
      <c r="S131" s="48">
        <f t="shared" si="46"/>
        <v>86.235197910682061</v>
      </c>
      <c r="T131" s="48">
        <f t="shared" si="47"/>
        <v>39.255049871682409</v>
      </c>
    </row>
    <row r="132" spans="2:20" x14ac:dyDescent="0.2">
      <c r="B132" s="38" t="s">
        <v>49</v>
      </c>
      <c r="C132" s="79" t="s">
        <v>63</v>
      </c>
      <c r="D132" s="44">
        <f t="shared" ref="D132:K132" si="52">+D112+D120+D130</f>
        <v>358311.84024184605</v>
      </c>
      <c r="E132" s="44">
        <f t="shared" si="52"/>
        <v>395564.27463212219</v>
      </c>
      <c r="F132" s="44">
        <f t="shared" si="52"/>
        <v>433876.59397889674</v>
      </c>
      <c r="G132" s="44">
        <f t="shared" si="52"/>
        <v>398375.30482551362</v>
      </c>
      <c r="H132" s="44">
        <f t="shared" si="52"/>
        <v>433332.12942731613</v>
      </c>
      <c r="I132" s="44">
        <f t="shared" si="52"/>
        <v>438012.52453944873</v>
      </c>
      <c r="J132" s="44">
        <f t="shared" si="52"/>
        <v>474568.33961453155</v>
      </c>
      <c r="K132" s="44">
        <f t="shared" si="52"/>
        <v>227118.01753665652</v>
      </c>
      <c r="L132" s="71"/>
      <c r="M132" s="45">
        <f t="shared" si="40"/>
        <v>91.998494671096367</v>
      </c>
      <c r="N132" s="45">
        <f t="shared" si="41"/>
        <v>83.57159393529237</v>
      </c>
      <c r="O132" s="45">
        <f t="shared" si="42"/>
        <v>87.034989847890344</v>
      </c>
      <c r="P132" s="45">
        <f t="shared" si="43"/>
        <v>88.172509564193305</v>
      </c>
      <c r="Q132" s="45">
        <f t="shared" si="44"/>
        <v>87.34525711530469</v>
      </c>
      <c r="R132" s="45">
        <f t="shared" si="45"/>
        <v>82.711413089827957</v>
      </c>
      <c r="S132" s="45">
        <f t="shared" si="46"/>
        <v>87.675785636055153</v>
      </c>
      <c r="T132" s="45">
        <f t="shared" si="47"/>
        <v>40.861915956108483</v>
      </c>
    </row>
    <row r="133" spans="2:20" s="5" customFormat="1" x14ac:dyDescent="0.2">
      <c r="B133" s="72" t="str">
        <f>+'C1 Aprop Resumen 2000-2026'!B20</f>
        <v>* Información con corte a 30 de Junio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</row>
  </sheetData>
  <mergeCells count="107">
    <mergeCell ref="B12:B13"/>
    <mergeCell ref="N12:N13"/>
    <mergeCell ref="N77:N78"/>
    <mergeCell ref="P6:P7"/>
    <mergeCell ref="P77:P78"/>
    <mergeCell ref="R6:R7"/>
    <mergeCell ref="D45:D46"/>
    <mergeCell ref="F45:F46"/>
    <mergeCell ref="R12:R13"/>
    <mergeCell ref="I6:I7"/>
    <mergeCell ref="K6:K7"/>
    <mergeCell ref="A7:C7"/>
    <mergeCell ref="C12:C13"/>
    <mergeCell ref="G6:G7"/>
    <mergeCell ref="Q6:Q7"/>
    <mergeCell ref="S12:S13"/>
    <mergeCell ref="T45:T46"/>
    <mergeCell ref="D44:K44"/>
    <mergeCell ref="M44:T44"/>
    <mergeCell ref="K45:K46"/>
    <mergeCell ref="K110:K111"/>
    <mergeCell ref="M110:M111"/>
    <mergeCell ref="D11:K11"/>
    <mergeCell ref="M12:M13"/>
    <mergeCell ref="O12:O13"/>
    <mergeCell ref="I110:I111"/>
    <mergeCell ref="T110:T111"/>
    <mergeCell ref="H12:H13"/>
    <mergeCell ref="J12:J13"/>
    <mergeCell ref="L6:L7"/>
    <mergeCell ref="N6:N7"/>
    <mergeCell ref="M75:S75"/>
    <mergeCell ref="O77:O78"/>
    <mergeCell ref="D42:T42"/>
    <mergeCell ref="G77:G78"/>
    <mergeCell ref="Q77:Q78"/>
    <mergeCell ref="I77:I78"/>
    <mergeCell ref="T12:T13"/>
    <mergeCell ref="M11:T11"/>
    <mergeCell ref="M109:T109"/>
    <mergeCell ref="H45:H46"/>
    <mergeCell ref="J45:J46"/>
    <mergeCell ref="K77:K78"/>
    <mergeCell ref="D107:T107"/>
    <mergeCell ref="O110:O111"/>
    <mergeCell ref="Q110:Q111"/>
    <mergeCell ref="D74:T74"/>
    <mergeCell ref="E12:E13"/>
    <mergeCell ref="G12:G13"/>
    <mergeCell ref="Q12:Q13"/>
    <mergeCell ref="J77:J78"/>
    <mergeCell ref="D77:D78"/>
    <mergeCell ref="C45:C46"/>
    <mergeCell ref="O45:O46"/>
    <mergeCell ref="F110:F111"/>
    <mergeCell ref="D12:D13"/>
    <mergeCell ref="H110:H111"/>
    <mergeCell ref="R45:R46"/>
    <mergeCell ref="R110:R111"/>
    <mergeCell ref="D2:T2"/>
    <mergeCell ref="F77:F78"/>
    <mergeCell ref="E45:E46"/>
    <mergeCell ref="H77:H78"/>
    <mergeCell ref="G45:G46"/>
    <mergeCell ref="Q45:Q46"/>
    <mergeCell ref="S45:S46"/>
    <mergeCell ref="S6:S7"/>
    <mergeCell ref="M45:M46"/>
    <mergeCell ref="P12:P13"/>
    <mergeCell ref="R77:R78"/>
    <mergeCell ref="T6:T7"/>
    <mergeCell ref="T77:T78"/>
    <mergeCell ref="D4:K4"/>
    <mergeCell ref="D6:D7"/>
    <mergeCell ref="N45:N46"/>
    <mergeCell ref="F6:F7"/>
    <mergeCell ref="P45:P46"/>
    <mergeCell ref="F12:F13"/>
    <mergeCell ref="D10:K10"/>
    <mergeCell ref="H6:H7"/>
    <mergeCell ref="S77:S78"/>
    <mergeCell ref="J6:J7"/>
    <mergeCell ref="M4:T4"/>
    <mergeCell ref="S110:S111"/>
    <mergeCell ref="D9:T9"/>
    <mergeCell ref="A5:C6"/>
    <mergeCell ref="M76:T76"/>
    <mergeCell ref="O6:O7"/>
    <mergeCell ref="V6:V7"/>
    <mergeCell ref="I12:I13"/>
    <mergeCell ref="K12:K13"/>
    <mergeCell ref="M6:M7"/>
    <mergeCell ref="D76:K76"/>
    <mergeCell ref="E6:E7"/>
    <mergeCell ref="M77:M78"/>
    <mergeCell ref="E77:E78"/>
    <mergeCell ref="J110:J111"/>
    <mergeCell ref="C77:C78"/>
    <mergeCell ref="D110:D111"/>
    <mergeCell ref="N110:N111"/>
    <mergeCell ref="P110:P111"/>
    <mergeCell ref="C110:C111"/>
    <mergeCell ref="E110:E111"/>
    <mergeCell ref="G110:G111"/>
    <mergeCell ref="U6:U7"/>
    <mergeCell ref="I45:I46"/>
    <mergeCell ref="D109:K109"/>
  </mergeCell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U138"/>
  <sheetViews>
    <sheetView showGridLines="0" zoomScaleNormal="100" workbookViewId="0">
      <pane xSplit="3" ySplit="7" topLeftCell="D70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K98" sqref="K98"/>
    </sheetView>
  </sheetViews>
  <sheetFormatPr baseColWidth="10" defaultColWidth="11.42578125" defaultRowHeight="11.25" x14ac:dyDescent="0.2"/>
  <cols>
    <col min="1" max="2" width="2.7109375" style="3" customWidth="1"/>
    <col min="3" max="3" width="46.140625" style="3" customWidth="1"/>
    <col min="4" max="10" width="10.7109375" style="3" customWidth="1"/>
    <col min="11" max="12" width="10.7109375" style="5" customWidth="1"/>
    <col min="13" max="33" width="10.7109375" style="3" customWidth="1"/>
    <col min="34" max="34" width="11.42578125" style="3" customWidth="1"/>
    <col min="35" max="16384" width="11.42578125" style="3"/>
  </cols>
  <sheetData>
    <row r="1" spans="1:20" ht="16.5" customHeight="1" x14ac:dyDescent="0.2">
      <c r="I1" s="4"/>
      <c r="N1" s="11"/>
    </row>
    <row r="2" spans="1:20" ht="16.5" customHeight="1" x14ac:dyDescent="0.2">
      <c r="D2" s="163"/>
      <c r="E2" s="160"/>
      <c r="F2" s="160"/>
      <c r="G2" s="160"/>
      <c r="H2" s="160"/>
      <c r="I2" s="160"/>
      <c r="J2" s="160"/>
      <c r="K2" s="170"/>
      <c r="L2" s="170"/>
      <c r="M2" s="160"/>
      <c r="N2" s="160"/>
      <c r="O2" s="160"/>
      <c r="P2" s="160"/>
      <c r="Q2" s="160"/>
      <c r="R2" s="160"/>
      <c r="S2" s="160"/>
      <c r="T2" s="160"/>
    </row>
    <row r="3" spans="1:20" s="98" customFormat="1" ht="16.5" customHeight="1" x14ac:dyDescent="0.25">
      <c r="A3" s="120"/>
    </row>
    <row r="4" spans="1:20" s="98" customFormat="1" ht="16.5" customHeight="1" x14ac:dyDescent="0.25">
      <c r="A4" s="120"/>
      <c r="D4" s="165"/>
      <c r="E4" s="158"/>
      <c r="F4" s="158"/>
      <c r="G4" s="158"/>
      <c r="H4" s="158"/>
      <c r="I4" s="158"/>
      <c r="J4" s="158"/>
      <c r="K4" s="158"/>
      <c r="L4" s="133"/>
      <c r="M4" s="165"/>
      <c r="N4" s="158"/>
      <c r="O4" s="158"/>
      <c r="P4" s="158"/>
      <c r="Q4" s="158"/>
      <c r="R4" s="158"/>
      <c r="S4" s="158"/>
      <c r="T4" s="158"/>
    </row>
    <row r="5" spans="1:20" s="98" customFormat="1" ht="16.5" customHeight="1" x14ac:dyDescent="0.25">
      <c r="A5" s="169" t="s">
        <v>6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</row>
    <row r="6" spans="1:20" s="98" customFormat="1" ht="16.5" customHeight="1" x14ac:dyDescent="0.25">
      <c r="A6" s="158"/>
      <c r="B6" s="158"/>
      <c r="C6" s="158"/>
      <c r="D6" s="157">
        <v>2019</v>
      </c>
      <c r="E6" s="157">
        <v>2020</v>
      </c>
      <c r="F6" s="157">
        <v>2021</v>
      </c>
      <c r="G6" s="157">
        <v>2022</v>
      </c>
      <c r="H6" s="157">
        <v>2023</v>
      </c>
      <c r="I6" s="157">
        <v>2024</v>
      </c>
      <c r="J6" s="157">
        <v>2025</v>
      </c>
      <c r="K6" s="157" t="s">
        <v>36</v>
      </c>
      <c r="L6" s="157"/>
      <c r="M6" s="157">
        <v>2019</v>
      </c>
      <c r="N6" s="157">
        <v>2020</v>
      </c>
      <c r="O6" s="157">
        <v>2021</v>
      </c>
      <c r="P6" s="157">
        <v>2022</v>
      </c>
      <c r="Q6" s="157">
        <v>2023</v>
      </c>
      <c r="R6" s="157">
        <v>2024</v>
      </c>
      <c r="S6" s="157">
        <v>2025</v>
      </c>
      <c r="T6" s="157" t="s">
        <v>36</v>
      </c>
    </row>
    <row r="7" spans="1:20" s="98" customFormat="1" ht="16.5" customHeight="1" x14ac:dyDescent="0.25">
      <c r="A7" s="166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</row>
    <row r="8" spans="1:20" s="98" customFormat="1" ht="16.5" customHeight="1" x14ac:dyDescent="0.25">
      <c r="A8" s="97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0" ht="16.5" customHeight="1" x14ac:dyDescent="0.2">
      <c r="C9" s="131"/>
      <c r="D9" s="164" t="s">
        <v>109</v>
      </c>
      <c r="E9" s="160"/>
      <c r="F9" s="160"/>
      <c r="G9" s="160"/>
      <c r="H9" s="160"/>
      <c r="I9" s="160"/>
      <c r="J9" s="160"/>
      <c r="K9" s="170"/>
      <c r="L9" s="170"/>
      <c r="M9" s="160"/>
      <c r="N9" s="160"/>
      <c r="O9" s="160"/>
      <c r="P9" s="160"/>
      <c r="Q9" s="160"/>
      <c r="R9" s="160"/>
      <c r="S9" s="160"/>
      <c r="T9" s="160"/>
    </row>
    <row r="10" spans="1:20" ht="15.75" customHeight="1" x14ac:dyDescent="0.2">
      <c r="C10" s="2"/>
      <c r="D10" s="159"/>
      <c r="E10" s="160"/>
      <c r="F10" s="160"/>
      <c r="G10" s="160"/>
      <c r="H10" s="160"/>
      <c r="I10" s="160"/>
      <c r="J10" s="160"/>
      <c r="K10" s="170"/>
    </row>
    <row r="11" spans="1:20" ht="15.75" customHeight="1" thickBot="1" x14ac:dyDescent="0.3">
      <c r="B11" s="19"/>
      <c r="C11" s="92"/>
      <c r="D11" s="173"/>
      <c r="E11" s="156"/>
      <c r="F11" s="156"/>
      <c r="G11" s="156"/>
      <c r="H11" s="156"/>
      <c r="I11" s="156"/>
      <c r="J11" s="156"/>
      <c r="K11" s="156"/>
      <c r="M11" s="173" t="s">
        <v>91</v>
      </c>
      <c r="N11" s="156"/>
      <c r="O11" s="156"/>
      <c r="P11" s="156"/>
      <c r="Q11" s="156"/>
      <c r="R11" s="156"/>
      <c r="S11" s="156"/>
      <c r="T11" s="156"/>
    </row>
    <row r="12" spans="1:20" x14ac:dyDescent="0.2">
      <c r="B12" s="167"/>
      <c r="C12" s="175" t="s">
        <v>38</v>
      </c>
      <c r="D12" s="155">
        <v>2019</v>
      </c>
      <c r="E12" s="155">
        <v>2020</v>
      </c>
      <c r="F12" s="155">
        <v>2021</v>
      </c>
      <c r="G12" s="155">
        <v>2022</v>
      </c>
      <c r="H12" s="155">
        <v>2023</v>
      </c>
      <c r="I12" s="155">
        <v>2024</v>
      </c>
      <c r="J12" s="155">
        <v>2025</v>
      </c>
      <c r="K12" s="155" t="s">
        <v>36</v>
      </c>
      <c r="L12" s="114"/>
      <c r="M12" s="155">
        <v>2019</v>
      </c>
      <c r="N12" s="155">
        <v>2020</v>
      </c>
      <c r="O12" s="155">
        <v>2021</v>
      </c>
      <c r="P12" s="155">
        <v>2022</v>
      </c>
      <c r="Q12" s="155">
        <v>2023</v>
      </c>
      <c r="R12" s="155">
        <v>2024</v>
      </c>
      <c r="S12" s="155">
        <v>2025</v>
      </c>
      <c r="T12" s="155" t="s">
        <v>36</v>
      </c>
    </row>
    <row r="13" spans="1:20" ht="12" customHeight="1" thickBot="1" x14ac:dyDescent="0.25"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14"/>
      <c r="M13" s="156"/>
      <c r="N13" s="156"/>
      <c r="O13" s="156"/>
      <c r="P13" s="156"/>
      <c r="Q13" s="156"/>
      <c r="R13" s="156"/>
      <c r="S13" s="156"/>
      <c r="T13" s="156"/>
    </row>
    <row r="14" spans="1:20" x14ac:dyDescent="0.2">
      <c r="B14" s="34" t="s">
        <v>39</v>
      </c>
      <c r="C14" s="76" t="s">
        <v>40</v>
      </c>
      <c r="D14" s="41">
        <f t="shared" ref="D14:K14" si="0">+SUM(D15:D21)</f>
        <v>233540.67474804114</v>
      </c>
      <c r="E14" s="41">
        <f t="shared" si="0"/>
        <v>314048.35268706002</v>
      </c>
      <c r="F14" s="41">
        <f t="shared" si="0"/>
        <v>297594.4926440405</v>
      </c>
      <c r="G14" s="41">
        <f t="shared" si="0"/>
        <v>259849.77915175486</v>
      </c>
      <c r="H14" s="41">
        <f t="shared" si="0"/>
        <v>294257.81286612607</v>
      </c>
      <c r="I14" s="41">
        <f t="shared" si="0"/>
        <v>308351.57268778555</v>
      </c>
      <c r="J14" s="41">
        <f t="shared" si="0"/>
        <v>325744.52508949651</v>
      </c>
      <c r="K14" s="41">
        <f t="shared" si="0"/>
        <v>352135.70035247301</v>
      </c>
      <c r="L14" s="71"/>
      <c r="M14" s="119">
        <f t="shared" ref="M14:M34" si="1">+(D14/D$34)*100</f>
        <v>63.744252919654699</v>
      </c>
      <c r="N14" s="119">
        <f t="shared" ref="N14:N34" si="2">+(E14/E$34)*100</f>
        <v>69.686831821106693</v>
      </c>
      <c r="O14" s="119">
        <f t="shared" ref="O14:O34" si="3">+(F14/F$34)*100</f>
        <v>63.136097373330522</v>
      </c>
      <c r="P14" s="119">
        <f t="shared" ref="P14:P34" si="4">+(G14/G$34)*100</f>
        <v>60.768851900330134</v>
      </c>
      <c r="Q14" s="119">
        <f t="shared" ref="Q14:Q34" si="5">+(H14/H$34)*100</f>
        <v>62.530649757764088</v>
      </c>
      <c r="R14" s="119">
        <f t="shared" ref="R14:R34" si="6">+(I14/I$34)*100</f>
        <v>61.732671585358844</v>
      </c>
      <c r="S14" s="119">
        <f t="shared" ref="S14:S34" si="7">+(J14/J$34)*100</f>
        <v>63.453374213350465</v>
      </c>
      <c r="T14" s="119">
        <f t="shared" ref="T14:T34" si="8">+(K14/K$34)*100</f>
        <v>66.933849034003117</v>
      </c>
    </row>
    <row r="15" spans="1:20" x14ac:dyDescent="0.2">
      <c r="B15" s="40"/>
      <c r="C15" s="77" t="s">
        <v>92</v>
      </c>
      <c r="D15" s="42">
        <f>29434.3990317757*Deflactores!$T$5</f>
        <v>45780.635951319746</v>
      </c>
      <c r="E15" s="42">
        <f>31082.96460892*Deflactores!$U$5</f>
        <v>47578.706477536012</v>
      </c>
      <c r="F15" s="42">
        <f>32934.54654911*Deflactores!$V$5</f>
        <v>47730.471218533967</v>
      </c>
      <c r="G15" s="42">
        <f>36169.642668424*Deflactores!$W$5</f>
        <v>46339.234522249513</v>
      </c>
      <c r="H15" s="42">
        <f>42584.280461041*Deflactores!$X$5</f>
        <v>49924.44714512983</v>
      </c>
      <c r="I15" s="42">
        <f>47817.061649576*Deflactores!$Y$5</f>
        <v>53288.205600263042</v>
      </c>
      <c r="J15" s="42">
        <f>53931.398635097*Deflactores!$Z$5</f>
        <v>57185.110301152934</v>
      </c>
      <c r="K15" s="42">
        <f>62597.763714551*Deflactores!$AA$5</f>
        <v>62597.763714551002</v>
      </c>
      <c r="M15" s="109">
        <f t="shared" si="1"/>
        <v>12.495692410120691</v>
      </c>
      <c r="N15" s="109">
        <f t="shared" si="2"/>
        <v>10.55763957427842</v>
      </c>
      <c r="O15" s="109">
        <f t="shared" si="3"/>
        <v>10.126248143082556</v>
      </c>
      <c r="P15" s="109">
        <f t="shared" si="4"/>
        <v>10.836961605469307</v>
      </c>
      <c r="Q15" s="109">
        <f t="shared" si="5"/>
        <v>10.609091695391616</v>
      </c>
      <c r="R15" s="109">
        <f t="shared" si="6"/>
        <v>10.668417439936174</v>
      </c>
      <c r="S15" s="109">
        <f t="shared" si="7"/>
        <v>11.139368197742833</v>
      </c>
      <c r="T15" s="109">
        <f t="shared" si="8"/>
        <v>11.898564281162157</v>
      </c>
    </row>
    <row r="16" spans="1:20" x14ac:dyDescent="0.2">
      <c r="B16" s="40"/>
      <c r="C16" s="77" t="s">
        <v>93</v>
      </c>
      <c r="D16" s="42">
        <f>8922.00873358814*Deflactores!$T$5</f>
        <v>13876.798821200628</v>
      </c>
      <c r="E16" s="42">
        <f>8983.14219531101*Deflactores!$U$5</f>
        <v>13750.499385570723</v>
      </c>
      <c r="F16" s="42">
        <f>10010.518802558*Deflactores!$V$5</f>
        <v>14507.768578978648</v>
      </c>
      <c r="G16" s="42">
        <f>12527.72767363*Deflactores!$W$5</f>
        <v>16050.070386954994</v>
      </c>
      <c r="H16" s="42">
        <f>14809.885732395*Deflactores!$X$5</f>
        <v>17362.635917936841</v>
      </c>
      <c r="I16" s="42">
        <f>15704.734638638*Deflactores!$Y$5</f>
        <v>17501.642707665938</v>
      </c>
      <c r="J16" s="42">
        <f>18641.5635166892*Deflactores!$Z$5</f>
        <v>19766.219546809327</v>
      </c>
      <c r="K16" s="42">
        <f>19214.583347761*Deflactores!$AA$5</f>
        <v>19214.583347760999</v>
      </c>
      <c r="M16" s="109">
        <f t="shared" si="1"/>
        <v>3.7876321746869426</v>
      </c>
      <c r="N16" s="109">
        <f t="shared" si="2"/>
        <v>3.051214024654811</v>
      </c>
      <c r="O16" s="109">
        <f t="shared" si="3"/>
        <v>3.0778926099541302</v>
      </c>
      <c r="P16" s="109">
        <f t="shared" si="4"/>
        <v>3.7534930894250702</v>
      </c>
      <c r="Q16" s="109">
        <f t="shared" si="5"/>
        <v>3.6896111436471055</v>
      </c>
      <c r="R16" s="109">
        <f t="shared" si="6"/>
        <v>3.5038678481805254</v>
      </c>
      <c r="S16" s="109">
        <f t="shared" si="7"/>
        <v>3.8503588827543336</v>
      </c>
      <c r="T16" s="109">
        <f t="shared" si="8"/>
        <v>3.6523022793853825</v>
      </c>
    </row>
    <row r="17" spans="2:20" x14ac:dyDescent="0.2">
      <c r="B17" s="40"/>
      <c r="C17" s="77" t="s">
        <v>58</v>
      </c>
      <c r="D17" s="42">
        <f>110742.344183956*Deflactores!$T$5</f>
        <v>172242.51590828522</v>
      </c>
      <c r="E17" s="42">
        <f>163800.82264649*Deflactores!$U$5</f>
        <v>250729.98536438736</v>
      </c>
      <c r="F17" s="42">
        <f>159976.730579027*Deflactores!$V$5</f>
        <v>231846.66359840182</v>
      </c>
      <c r="G17" s="42">
        <f>152233.85387946*Deflactores!$W$5</f>
        <v>195036.49294563345</v>
      </c>
      <c r="H17" s="42">
        <f>191431.146183159*Deflactores!$X$5</f>
        <v>224427.74742422203</v>
      </c>
      <c r="I17" s="42">
        <f>211052.575297511*Deflactores!$Y$5</f>
        <v>235200.83913434044</v>
      </c>
      <c r="J17" s="42">
        <f>232463.835668997*Deflactores!$Z$5</f>
        <v>246488.50985128497</v>
      </c>
      <c r="K17" s="42">
        <f>268012.969094341*Deflactores!$AA$5</f>
        <v>268012.96909434098</v>
      </c>
      <c r="L17" s="42"/>
      <c r="M17" s="109">
        <f t="shared" si="1"/>
        <v>47.013097437612302</v>
      </c>
      <c r="N17" s="109">
        <f t="shared" si="2"/>
        <v>55.636586446315526</v>
      </c>
      <c r="O17" s="109">
        <f t="shared" si="3"/>
        <v>49.187380447054238</v>
      </c>
      <c r="P17" s="109">
        <f t="shared" si="4"/>
        <v>45.61152137078097</v>
      </c>
      <c r="Q17" s="109">
        <f t="shared" si="5"/>
        <v>47.691555691989819</v>
      </c>
      <c r="R17" s="109">
        <f t="shared" si="6"/>
        <v>47.087731813135662</v>
      </c>
      <c r="S17" s="109">
        <f t="shared" si="7"/>
        <v>48.014706158415279</v>
      </c>
      <c r="T17" s="109">
        <f t="shared" si="8"/>
        <v>50.943825333697326</v>
      </c>
    </row>
    <row r="18" spans="2:20" x14ac:dyDescent="0.2">
      <c r="B18" s="40"/>
      <c r="C18" s="77" t="s">
        <v>94</v>
      </c>
      <c r="D18" s="42">
        <f>71.30791418*Deflactores!$T$5</f>
        <v>110.90838498174666</v>
      </c>
      <c r="E18" s="42">
        <f>69.165109197*Deflactores!$U$5</f>
        <v>105.87106057529725</v>
      </c>
      <c r="F18" s="42">
        <f>88.726645505*Deflactores!$V$5</f>
        <v>128.58730552972835</v>
      </c>
      <c r="G18" s="42">
        <f>86.353914385*Deflactores!$W$5</f>
        <v>110.63350355114606</v>
      </c>
      <c r="H18" s="42">
        <f>100.767412376*Deflactores!$X$5</f>
        <v>118.13648836263872</v>
      </c>
      <c r="I18" s="42">
        <f>105.542896864*Deflactores!$Y$5</f>
        <v>117.61892917956116</v>
      </c>
      <c r="J18" s="42">
        <f>116.33820661*Deflactores!$Z$5</f>
        <v>123.35695616285594</v>
      </c>
      <c r="K18" s="42">
        <f>124.267597004*Deflactores!$AA$5</f>
        <v>124.267597004</v>
      </c>
      <c r="L18" s="42"/>
      <c r="M18" s="109">
        <f t="shared" si="1"/>
        <v>3.0272123478337222E-2</v>
      </c>
      <c r="N18" s="109">
        <f t="shared" si="2"/>
        <v>2.3492620578668404E-2</v>
      </c>
      <c r="O18" s="109">
        <f t="shared" si="3"/>
        <v>2.7280412922862301E-2</v>
      </c>
      <c r="P18" s="109">
        <f t="shared" si="4"/>
        <v>2.5872914013861461E-2</v>
      </c>
      <c r="Q18" s="109">
        <f t="shared" si="5"/>
        <v>2.5104350859758318E-2</v>
      </c>
      <c r="R18" s="109">
        <f t="shared" si="6"/>
        <v>2.3547571572191468E-2</v>
      </c>
      <c r="S18" s="109">
        <f t="shared" si="7"/>
        <v>2.4029306706140428E-2</v>
      </c>
      <c r="T18" s="109">
        <f t="shared" si="8"/>
        <v>2.3620747823519167E-2</v>
      </c>
    </row>
    <row r="19" spans="2:20" x14ac:dyDescent="0.2">
      <c r="B19" s="40"/>
      <c r="C19" s="77" t="s">
        <v>95</v>
      </c>
      <c r="D19" s="42">
        <f>290.862*Deflactores!$T$5</f>
        <v>452.39066439568666</v>
      </c>
      <c r="E19" s="42">
        <f>320.008*Deflactores!$U$5</f>
        <v>489.83637481265231</v>
      </c>
      <c r="F19" s="42">
        <f>473.966*Deflactores!$V$5</f>
        <v>686.8963714994585</v>
      </c>
      <c r="G19" s="42">
        <f>471.622709865*Deflactores!$W$5</f>
        <v>604.22591284077328</v>
      </c>
      <c r="H19" s="42">
        <f>572.789123943*Deflactores!$X$5</f>
        <v>671.51963198625037</v>
      </c>
      <c r="I19" s="42">
        <f>517.901845638*Deflactores!$Y$5</f>
        <v>577.1592623855455</v>
      </c>
      <c r="J19" s="42">
        <f>547.832171184*Deflactores!$Z$5</f>
        <v>580.88319473491049</v>
      </c>
      <c r="K19" s="42">
        <f>626.619*Deflactores!$AA$5</f>
        <v>626.61900000000003</v>
      </c>
      <c r="L19" s="42"/>
      <c r="M19" s="109">
        <f t="shared" si="1"/>
        <v>0.12347872575447869</v>
      </c>
      <c r="N19" s="109">
        <f t="shared" si="2"/>
        <v>0.10869391537756147</v>
      </c>
      <c r="O19" s="109">
        <f t="shared" si="3"/>
        <v>0.14572835609646387</v>
      </c>
      <c r="P19" s="109">
        <f t="shared" si="4"/>
        <v>0.14130516151148617</v>
      </c>
      <c r="Q19" s="109">
        <f t="shared" si="5"/>
        <v>0.14269989470865349</v>
      </c>
      <c r="R19" s="109">
        <f t="shared" si="6"/>
        <v>0.11554856972748691</v>
      </c>
      <c r="S19" s="109">
        <f t="shared" si="7"/>
        <v>0.11315308743756784</v>
      </c>
      <c r="T19" s="109">
        <f t="shared" si="8"/>
        <v>0.11910755287196331</v>
      </c>
    </row>
    <row r="20" spans="2:20" x14ac:dyDescent="0.2">
      <c r="B20" s="40"/>
      <c r="C20" s="77" t="s">
        <v>96</v>
      </c>
      <c r="D20" s="42">
        <f>264.477428919*Deflactores!$T$5</f>
        <v>411.35356212337592</v>
      </c>
      <c r="E20" s="42">
        <f>277.706355412*Deflactores!$U$5</f>
        <v>425.08523036126621</v>
      </c>
      <c r="F20" s="42">
        <f>449.983634082*Deflactores!$V$5</f>
        <v>652.13986970598285</v>
      </c>
      <c r="G20" s="42">
        <f>398.735639812*Deflactores!$W$5</f>
        <v>510.84564188293569</v>
      </c>
      <c r="H20" s="42">
        <f>479.886707779*Deflactores!$X$5</f>
        <v>562.60381339732942</v>
      </c>
      <c r="I20" s="42">
        <f>342.640448517*Deflactores!$Y$5</f>
        <v>381.84476497840478</v>
      </c>
      <c r="J20" s="42">
        <f>334.281513066*Deflactores!$Z$5</f>
        <v>354.4489050924671</v>
      </c>
      <c r="K20" s="42">
        <f>361.421743603*Deflactores!$AA$5</f>
        <v>361.42174360299998</v>
      </c>
      <c r="L20" s="42"/>
      <c r="M20" s="109">
        <f t="shared" si="1"/>
        <v>0.11227776716703737</v>
      </c>
      <c r="N20" s="109">
        <f t="shared" si="2"/>
        <v>9.4325739028283478E-2</v>
      </c>
      <c r="O20" s="109">
        <f t="shared" si="3"/>
        <v>0.13835459772448361</v>
      </c>
      <c r="P20" s="109">
        <f t="shared" si="4"/>
        <v>0.11946711387190939</v>
      </c>
      <c r="Q20" s="109">
        <f t="shared" si="5"/>
        <v>0.11955496326595808</v>
      </c>
      <c r="R20" s="109">
        <f t="shared" si="6"/>
        <v>7.6446172359457984E-2</v>
      </c>
      <c r="S20" s="109">
        <f t="shared" si="7"/>
        <v>6.9044841223855971E-2</v>
      </c>
      <c r="T20" s="109">
        <f t="shared" si="8"/>
        <v>6.8698937369073537E-2</v>
      </c>
    </row>
    <row r="21" spans="2:20" x14ac:dyDescent="0.2">
      <c r="B21" s="40"/>
      <c r="C21" s="77" t="s">
        <v>97</v>
      </c>
      <c r="D21" s="42">
        <f>428.246847261359*Deflactores!$T$5</f>
        <v>666.07145573476191</v>
      </c>
      <c r="E21" s="42">
        <f>632.63117421653*Deflactores!$U$5</f>
        <v>968.36879381670622</v>
      </c>
      <c r="F21" s="42">
        <f>1408.978640421*Deflactores!$V$5</f>
        <v>2041.96570139087</v>
      </c>
      <c r="G21" s="42">
        <f>935.302963387*Deflactores!$W$5</f>
        <v>1198.2762386420231</v>
      </c>
      <c r="H21" s="42">
        <f>1015.655885094*Deflactores!$X$5</f>
        <v>1190.7224450910899</v>
      </c>
      <c r="I21" s="42">
        <f>1152.406022201*Deflactores!$Y$5</f>
        <v>1284.2622889725956</v>
      </c>
      <c r="J21" s="42">
        <f>1175.101781686*Deflactores!$Z$5</f>
        <v>1245.9963342590659</v>
      </c>
      <c r="K21" s="42">
        <f>1198.075855213*Deflactores!$AA$5</f>
        <v>1198.0758552130001</v>
      </c>
      <c r="L21" s="42"/>
      <c r="M21" s="109">
        <f t="shared" si="1"/>
        <v>0.18180228083491645</v>
      </c>
      <c r="N21" s="109">
        <f t="shared" si="2"/>
        <v>0.21487950087341209</v>
      </c>
      <c r="O21" s="109">
        <f t="shared" si="3"/>
        <v>0.43321280649578875</v>
      </c>
      <c r="P21" s="109">
        <f t="shared" si="4"/>
        <v>0.28023064525752545</v>
      </c>
      <c r="Q21" s="109">
        <f t="shared" si="5"/>
        <v>0.25303201790116547</v>
      </c>
      <c r="R21" s="109">
        <f t="shared" si="6"/>
        <v>0.25711217044733736</v>
      </c>
      <c r="S21" s="109">
        <f t="shared" si="7"/>
        <v>0.2427137390704614</v>
      </c>
      <c r="T21" s="109">
        <f t="shared" si="8"/>
        <v>0.22772990169370072</v>
      </c>
    </row>
    <row r="22" spans="2:20" x14ac:dyDescent="0.2">
      <c r="B22" s="34" t="s">
        <v>41</v>
      </c>
      <c r="C22" s="76" t="s">
        <v>42</v>
      </c>
      <c r="D22" s="41">
        <f t="shared" ref="D22:K22" si="9">+D23+D27</f>
        <v>80774.489316075968</v>
      </c>
      <c r="E22" s="41">
        <f t="shared" si="9"/>
        <v>82064.730406791597</v>
      </c>
      <c r="F22" s="41">
        <f t="shared" si="9"/>
        <v>102199.00723066195</v>
      </c>
      <c r="G22" s="41">
        <f t="shared" si="9"/>
        <v>91792.000189244907</v>
      </c>
      <c r="H22" s="41">
        <f t="shared" si="9"/>
        <v>91966.862828603829</v>
      </c>
      <c r="I22" s="41">
        <f t="shared" si="9"/>
        <v>105237.68731981359</v>
      </c>
      <c r="J22" s="41">
        <f t="shared" si="9"/>
        <v>119398.72073397672</v>
      </c>
      <c r="K22" s="41">
        <f t="shared" si="9"/>
        <v>100449.70846832701</v>
      </c>
      <c r="L22" s="71"/>
      <c r="M22" s="119">
        <f t="shared" si="1"/>
        <v>22.047163655645303</v>
      </c>
      <c r="N22" s="119">
        <f t="shared" si="2"/>
        <v>18.210033637722002</v>
      </c>
      <c r="O22" s="119">
        <f t="shared" si="3"/>
        <v>21.682009013825066</v>
      </c>
      <c r="P22" s="119">
        <f t="shared" si="4"/>
        <v>21.466612299399483</v>
      </c>
      <c r="Q22" s="119">
        <f t="shared" si="5"/>
        <v>19.543228547926738</v>
      </c>
      <c r="R22" s="119">
        <f t="shared" si="6"/>
        <v>21.068819377466657</v>
      </c>
      <c r="S22" s="119">
        <f t="shared" si="7"/>
        <v>23.258262607013329</v>
      </c>
      <c r="T22" s="119">
        <f t="shared" si="8"/>
        <v>19.09345066518021</v>
      </c>
    </row>
    <row r="23" spans="2:20" x14ac:dyDescent="0.2">
      <c r="B23" s="34"/>
      <c r="C23" s="76" t="s">
        <v>43</v>
      </c>
      <c r="D23" s="41">
        <f t="shared" ref="D23:K23" si="10">+SUM(D24:D26)</f>
        <v>22393.278341786212</v>
      </c>
      <c r="E23" s="41">
        <f t="shared" si="10"/>
        <v>22950.519657718953</v>
      </c>
      <c r="F23" s="41">
        <f t="shared" si="10"/>
        <v>36531.507232833996</v>
      </c>
      <c r="G23" s="41">
        <f t="shared" si="10"/>
        <v>21506.061321599398</v>
      </c>
      <c r="H23" s="41">
        <f t="shared" si="10"/>
        <v>31119.908223398175</v>
      </c>
      <c r="I23" s="41">
        <f t="shared" si="10"/>
        <v>41523.042340588654</v>
      </c>
      <c r="J23" s="41">
        <f t="shared" si="10"/>
        <v>57065.307118700832</v>
      </c>
      <c r="K23" s="41">
        <f t="shared" si="10"/>
        <v>38406.044999037003</v>
      </c>
      <c r="L23" s="71"/>
      <c r="M23" s="119">
        <f t="shared" si="1"/>
        <v>6.1121806719924239</v>
      </c>
      <c r="N23" s="119">
        <f t="shared" si="2"/>
        <v>5.0926839447178001</v>
      </c>
      <c r="O23" s="119">
        <f t="shared" si="3"/>
        <v>7.7503342798938846</v>
      </c>
      <c r="P23" s="119">
        <f t="shared" si="4"/>
        <v>5.029439161649047</v>
      </c>
      <c r="Q23" s="119">
        <f t="shared" si="5"/>
        <v>6.6130719271552243</v>
      </c>
      <c r="R23" s="119">
        <f t="shared" si="6"/>
        <v>8.3130055530216147</v>
      </c>
      <c r="S23" s="119">
        <f t="shared" si="7"/>
        <v>11.11603114805337</v>
      </c>
      <c r="T23" s="119">
        <f t="shared" si="8"/>
        <v>7.3002095935900471</v>
      </c>
    </row>
    <row r="24" spans="2:20" x14ac:dyDescent="0.2">
      <c r="B24" s="32"/>
      <c r="C24" s="83" t="s">
        <v>98</v>
      </c>
      <c r="D24" s="42">
        <f>7959.154392171*Deflactores!$T$5</f>
        <v>12379.228443392694</v>
      </c>
      <c r="E24" s="42">
        <f>6490.613934677*Deflactores!$U$5</f>
        <v>9935.1853705865688</v>
      </c>
      <c r="F24" s="42">
        <f>14288.539061341*Deflactores!$V$5</f>
        <v>20707.699782818621</v>
      </c>
      <c r="G24" s="42">
        <f>4337.434866224*Deflactores!$W$5</f>
        <v>5556.9642568352656</v>
      </c>
      <c r="H24" s="42">
        <f>13192.02232615*Deflactores!$X$5</f>
        <v>15465.904653755615</v>
      </c>
      <c r="I24" s="42">
        <f>19509.579269688*Deflactores!$Y$5</f>
        <v>21741.830958092392</v>
      </c>
      <c r="J24" s="42">
        <f>34461.957*Deflactores!$Z$5</f>
        <v>36541.066282603468</v>
      </c>
      <c r="K24" s="42">
        <f>17273.044999703*Deflactores!$AA$5</f>
        <v>17273.044999703001</v>
      </c>
      <c r="L24" s="42"/>
      <c r="M24" s="109">
        <f t="shared" si="1"/>
        <v>3.3788746636839373</v>
      </c>
      <c r="N24" s="109">
        <f t="shared" si="2"/>
        <v>2.2046018904658728</v>
      </c>
      <c r="O24" s="109">
        <f t="shared" si="3"/>
        <v>4.3932377183792397</v>
      </c>
      <c r="P24" s="109">
        <f t="shared" si="4"/>
        <v>1.2995598420033132</v>
      </c>
      <c r="Q24" s="109">
        <f t="shared" si="5"/>
        <v>3.2865501774491519</v>
      </c>
      <c r="R24" s="109">
        <f t="shared" si="6"/>
        <v>4.3527629792869611</v>
      </c>
      <c r="S24" s="109">
        <f t="shared" si="7"/>
        <v>7.1180135793467088</v>
      </c>
      <c r="T24" s="109">
        <f t="shared" si="8"/>
        <v>3.2832552485033593</v>
      </c>
    </row>
    <row r="25" spans="2:20" x14ac:dyDescent="0.2">
      <c r="B25" s="32"/>
      <c r="C25" s="83" t="s">
        <v>61</v>
      </c>
      <c r="D25" s="42">
        <f>6311.235965773*Deflactores!$T$5</f>
        <v>9816.1472853586929</v>
      </c>
      <c r="E25" s="42">
        <f>8236.150802244*Deflactores!$U$5</f>
        <v>12607.079358583282</v>
      </c>
      <c r="F25" s="42">
        <f>10756.284872722*Deflactores!$V$5</f>
        <v>15588.571859346994</v>
      </c>
      <c r="G25" s="42">
        <f>12302.991215574*Deflactores!$W$5</f>
        <v>15762.146186790083</v>
      </c>
      <c r="H25" s="42">
        <f>13202.203848146*Deflactores!$X$5</f>
        <v>15477.841144198641</v>
      </c>
      <c r="I25" s="42">
        <f>17520.949823402*Deflactores!$Y$5</f>
        <v>19525.666034094695</v>
      </c>
      <c r="J25" s="42">
        <f>18779.458155401*Deflactores!$Z$5</f>
        <v>19912.433446768158</v>
      </c>
      <c r="K25" s="42">
        <f>19987.062393947*Deflactores!$AA$5</f>
        <v>19987.062393946999</v>
      </c>
      <c r="L25" s="42"/>
      <c r="M25" s="109">
        <f t="shared" si="1"/>
        <v>2.6792890614431815</v>
      </c>
      <c r="N25" s="109">
        <f t="shared" si="2"/>
        <v>2.7974909325265132</v>
      </c>
      <c r="O25" s="109">
        <f t="shared" si="3"/>
        <v>3.3071902039535312</v>
      </c>
      <c r="P25" s="109">
        <f t="shared" si="4"/>
        <v>3.6861587120957586</v>
      </c>
      <c r="Q25" s="109">
        <f t="shared" si="5"/>
        <v>3.2890867167374709</v>
      </c>
      <c r="R25" s="109">
        <f t="shared" si="6"/>
        <v>3.9090818258567328</v>
      </c>
      <c r="S25" s="109">
        <f t="shared" si="7"/>
        <v>3.8788406056834672</v>
      </c>
      <c r="T25" s="109">
        <f t="shared" si="8"/>
        <v>3.7991348663897382</v>
      </c>
    </row>
    <row r="26" spans="2:20" x14ac:dyDescent="0.2">
      <c r="B26" s="32"/>
      <c r="C26" s="83" t="s">
        <v>99</v>
      </c>
      <c r="D26" s="42">
        <f>127.240357423*Deflactores!$T$5</f>
        <v>197.90261303482615</v>
      </c>
      <c r="E26" s="42">
        <f>266.711191518*Deflactores!$U$5</f>
        <v>408.25492854909925</v>
      </c>
      <c r="F26" s="42">
        <f>162.315127278*Deflactores!$V$5</f>
        <v>235.23559066838334</v>
      </c>
      <c r="G26" s="42">
        <f>145.922705081*Deflactores!$W$5</f>
        <v>186.95087797404952</v>
      </c>
      <c r="H26" s="42">
        <f>150.262057184*Deflactores!$X$5</f>
        <v>176.16242544391932</v>
      </c>
      <c r="I26" s="42">
        <f>229.308297045*Deflactores!$Y$5</f>
        <v>255.54534840156791</v>
      </c>
      <c r="J26" s="42">
        <f>576.996844599*Deflactores!$Z$5</f>
        <v>611.80738932919883</v>
      </c>
      <c r="K26" s="42">
        <f>1145.937605387*Deflactores!$AA$5</f>
        <v>1145.9376053870001</v>
      </c>
      <c r="L26" s="42"/>
      <c r="M26" s="109">
        <f t="shared" si="1"/>
        <v>5.4016946865305414E-2</v>
      </c>
      <c r="N26" s="109">
        <f t="shared" si="2"/>
        <v>9.0591121725413393E-2</v>
      </c>
      <c r="O26" s="109">
        <f t="shared" si="3"/>
        <v>4.9906357561114591E-2</v>
      </c>
      <c r="P26" s="109">
        <f t="shared" si="4"/>
        <v>4.3720607549975608E-2</v>
      </c>
      <c r="Q26" s="109">
        <f t="shared" si="5"/>
        <v>3.7435032968601324E-2</v>
      </c>
      <c r="R26" s="109">
        <f t="shared" si="6"/>
        <v>5.1160747877920583E-2</v>
      </c>
      <c r="S26" s="109">
        <f t="shared" si="7"/>
        <v>0.11917696302319351</v>
      </c>
      <c r="T26" s="109">
        <f t="shared" si="8"/>
        <v>0.21781947869694845</v>
      </c>
    </row>
    <row r="27" spans="2:20" x14ac:dyDescent="0.2">
      <c r="B27" s="34"/>
      <c r="C27" s="76" t="s">
        <v>44</v>
      </c>
      <c r="D27" s="41">
        <f t="shared" ref="D27:K27" si="11">+SUM(D28:D31)</f>
        <v>58381.210974289759</v>
      </c>
      <c r="E27" s="41">
        <f t="shared" si="11"/>
        <v>59114.210749072648</v>
      </c>
      <c r="F27" s="41">
        <f t="shared" si="11"/>
        <v>65667.499997827967</v>
      </c>
      <c r="G27" s="41">
        <f t="shared" si="11"/>
        <v>70285.938867645513</v>
      </c>
      <c r="H27" s="41">
        <f t="shared" si="11"/>
        <v>60846.954605205654</v>
      </c>
      <c r="I27" s="41">
        <f t="shared" si="11"/>
        <v>63714.644979224933</v>
      </c>
      <c r="J27" s="41">
        <f t="shared" si="11"/>
        <v>62333.413615275895</v>
      </c>
      <c r="K27" s="41">
        <f t="shared" si="11"/>
        <v>62043.663469289997</v>
      </c>
      <c r="L27" s="71"/>
      <c r="M27" s="119">
        <f t="shared" si="1"/>
        <v>15.93498298365288</v>
      </c>
      <c r="N27" s="119">
        <f t="shared" si="2"/>
        <v>13.117349693004204</v>
      </c>
      <c r="O27" s="119">
        <f t="shared" si="3"/>
        <v>13.931674733931185</v>
      </c>
      <c r="P27" s="119">
        <f t="shared" si="4"/>
        <v>16.437173137750435</v>
      </c>
      <c r="Q27" s="119">
        <f t="shared" si="5"/>
        <v>12.930156620771513</v>
      </c>
      <c r="R27" s="119">
        <f t="shared" si="6"/>
        <v>12.755813824445042</v>
      </c>
      <c r="S27" s="119">
        <f t="shared" si="7"/>
        <v>12.142231458959959</v>
      </c>
      <c r="T27" s="119">
        <f t="shared" si="8"/>
        <v>11.793241071590163</v>
      </c>
    </row>
    <row r="28" spans="2:20" x14ac:dyDescent="0.2">
      <c r="B28" s="32"/>
      <c r="C28" s="83" t="s">
        <v>98</v>
      </c>
      <c r="D28" s="42">
        <f>17938.362983046*Deflactores!$T$5</f>
        <v>27900.337438617527</v>
      </c>
      <c r="E28" s="42">
        <f>16309.334008813*Deflactores!$U$5</f>
        <v>24964.704152663879</v>
      </c>
      <c r="F28" s="42">
        <f>20051.830051171*Deflactores!$V$5</f>
        <v>29060.163184855373</v>
      </c>
      <c r="G28" s="42">
        <f>26529.863258776*Deflactores!$W$5</f>
        <v>33989.098721864662</v>
      </c>
      <c r="H28" s="42">
        <f>17493.790509566*Deflactores!$X$5</f>
        <v>20509.159957788132</v>
      </c>
      <c r="I28" s="42">
        <f>13922.055749775*Deflactores!$Y$5</f>
        <v>15514.992841031519</v>
      </c>
      <c r="J28" s="42">
        <f>10384.67677591*Deflactores!$Z$5</f>
        <v>11011.190176806853</v>
      </c>
      <c r="K28" s="42">
        <f>10342.874420982*Deflactores!$AA$5</f>
        <v>10342.874420982</v>
      </c>
      <c r="L28" s="42"/>
      <c r="M28" s="109">
        <f t="shared" si="1"/>
        <v>7.6153165531001958</v>
      </c>
      <c r="N28" s="109">
        <f t="shared" si="2"/>
        <v>5.5396282924748936</v>
      </c>
      <c r="O28" s="109">
        <f t="shared" si="3"/>
        <v>6.1652528453155355</v>
      </c>
      <c r="P28" s="109">
        <f t="shared" si="4"/>
        <v>7.9487406654613082</v>
      </c>
      <c r="Q28" s="109">
        <f t="shared" si="5"/>
        <v>4.358256746541735</v>
      </c>
      <c r="R28" s="109">
        <f t="shared" si="6"/>
        <v>3.1061361203899969</v>
      </c>
      <c r="S28" s="109">
        <f t="shared" si="7"/>
        <v>2.1449237577556546</v>
      </c>
      <c r="T28" s="109">
        <f t="shared" si="8"/>
        <v>1.9659704891571916</v>
      </c>
    </row>
    <row r="29" spans="2:20" x14ac:dyDescent="0.2">
      <c r="B29" s="32"/>
      <c r="C29" s="83" t="s">
        <v>61</v>
      </c>
      <c r="D29" s="42">
        <f>18942.384672543*Deflactores!$T$5</f>
        <v>29461.937232262717</v>
      </c>
      <c r="E29" s="42">
        <f>21380.367667267*Deflactores!$U$5</f>
        <v>32726.93742123857</v>
      </c>
      <c r="F29" s="42">
        <f>24138.863815227*Deflactores!$V$5</f>
        <v>34983.306749427175</v>
      </c>
      <c r="G29" s="42">
        <f>26859.139730674*Deflactores!$W$5</f>
        <v>34410.955796699993</v>
      </c>
      <c r="H29" s="42">
        <f>30151.399806413*Deflactores!$X$5</f>
        <v>35348.535884364355</v>
      </c>
      <c r="I29" s="42">
        <f>41528.707714218*Deflactores!$Y$5</f>
        <v>46280.349286332639</v>
      </c>
      <c r="J29" s="42">
        <f>46200.190150207*Deflactores!$Z$5</f>
        <v>48987.473652398723</v>
      </c>
      <c r="K29" s="42">
        <f>48777.532232774*Deflactores!$AA$5</f>
        <v>48777.532232774</v>
      </c>
      <c r="L29" s="42"/>
      <c r="M29" s="109">
        <f t="shared" si="1"/>
        <v>8.0415507082973292</v>
      </c>
      <c r="N29" s="109">
        <f t="shared" si="2"/>
        <v>7.2620555547582271</v>
      </c>
      <c r="O29" s="109">
        <f t="shared" si="3"/>
        <v>7.4218761299954989</v>
      </c>
      <c r="P29" s="109">
        <f t="shared" si="4"/>
        <v>8.0473967820355057</v>
      </c>
      <c r="Q29" s="109">
        <f t="shared" si="5"/>
        <v>7.511667728736092</v>
      </c>
      <c r="R29" s="109">
        <f t="shared" si="6"/>
        <v>9.2654289986114975</v>
      </c>
      <c r="S29" s="109">
        <f t="shared" si="7"/>
        <v>9.5425103356020511</v>
      </c>
      <c r="T29" s="109">
        <f t="shared" si="8"/>
        <v>9.2716187976729447</v>
      </c>
    </row>
    <row r="30" spans="2:20" x14ac:dyDescent="0.2">
      <c r="B30" s="32"/>
      <c r="C30" s="83" t="s">
        <v>99</v>
      </c>
      <c r="D30" s="42">
        <f>161.863290488*Deflactores!$T$5</f>
        <v>251.75320779317454</v>
      </c>
      <c r="E30" s="42">
        <f>156.358332733*Deflactores!$U$5</f>
        <v>239.33776304868377</v>
      </c>
      <c r="F30" s="42">
        <f>286.236184773*Deflactores!$V$5</f>
        <v>414.82848287097016</v>
      </c>
      <c r="G30" s="42">
        <f>236.314771824*Deflactores!$W$5</f>
        <v>302.7579158857464</v>
      </c>
      <c r="H30" s="42">
        <f>295.182114259*Deflactores!$X$5</f>
        <v>346.06206097560698</v>
      </c>
      <c r="I30" s="42">
        <f>295.225000555*Deflactores!$Y$5</f>
        <v>329.00412499629425</v>
      </c>
      <c r="J30" s="42">
        <f>294.809849793*Deflactores!$Z$5</f>
        <v>312.59589413481029</v>
      </c>
      <c r="K30" s="42">
        <f>257.928673981*Deflactores!$AA$5</f>
        <v>257.92867398099997</v>
      </c>
      <c r="L30" s="42"/>
      <c r="M30" s="109">
        <f t="shared" si="1"/>
        <v>6.8715311233111476E-2</v>
      </c>
      <c r="N30" s="109">
        <f t="shared" si="2"/>
        <v>5.3108670366544909E-2</v>
      </c>
      <c r="O30" s="109">
        <f t="shared" si="3"/>
        <v>8.8007850061592965E-2</v>
      </c>
      <c r="P30" s="109">
        <f t="shared" si="4"/>
        <v>7.0803411925814158E-2</v>
      </c>
      <c r="Q30" s="109">
        <f t="shared" si="5"/>
        <v>7.3539204680898862E-2</v>
      </c>
      <c r="R30" s="109">
        <f t="shared" si="6"/>
        <v>6.5867358553054395E-2</v>
      </c>
      <c r="S30" s="109">
        <f t="shared" si="7"/>
        <v>6.0892087879737579E-2</v>
      </c>
      <c r="T30" s="109">
        <f t="shared" si="8"/>
        <v>4.9027005522314732E-2</v>
      </c>
    </row>
    <row r="31" spans="2:20" x14ac:dyDescent="0.2">
      <c r="B31" s="32"/>
      <c r="C31" s="83" t="s">
        <v>100</v>
      </c>
      <c r="D31" s="42">
        <f>493.256*Deflactores!$T$5</f>
        <v>767.18309561633623</v>
      </c>
      <c r="E31" s="42">
        <f>773*Deflactores!$U$5</f>
        <v>1183.2314121215102</v>
      </c>
      <c r="F31" s="42">
        <f>834.3623*Deflactores!$V$5</f>
        <v>1209.2015806744421</v>
      </c>
      <c r="G31" s="42">
        <f>1235.694071729*Deflactores!$W$5</f>
        <v>1583.1264331951043</v>
      </c>
      <c r="H31" s="42">
        <f>3960.528396484*Deflactores!$X$5</f>
        <v>4643.1967020775555</v>
      </c>
      <c r="I31" s="42">
        <f>1427.021447*Deflactores!$Y$5</f>
        <v>1590.2987268644761</v>
      </c>
      <c r="J31" s="42">
        <f>1907.097618124*Deflactores!$Z$5</f>
        <v>2022.1538919355123</v>
      </c>
      <c r="K31" s="42">
        <f>2665.328141553*Deflactores!$AA$5</f>
        <v>2665.328141553</v>
      </c>
      <c r="L31" s="42"/>
      <c r="M31" s="109">
        <f t="shared" si="1"/>
        <v>0.20940041102224125</v>
      </c>
      <c r="N31" s="109">
        <f t="shared" si="2"/>
        <v>0.26255717540453682</v>
      </c>
      <c r="O31" s="109">
        <f t="shared" si="3"/>
        <v>0.25653790855855613</v>
      </c>
      <c r="P31" s="109">
        <f t="shared" si="4"/>
        <v>0.37023227832780503</v>
      </c>
      <c r="Q31" s="109">
        <f t="shared" si="5"/>
        <v>0.98669294081278769</v>
      </c>
      <c r="R31" s="109">
        <f t="shared" si="6"/>
        <v>0.31838134689049319</v>
      </c>
      <c r="S31" s="109">
        <f t="shared" si="7"/>
        <v>0.39390527772251577</v>
      </c>
      <c r="T31" s="109">
        <f t="shared" si="8"/>
        <v>0.50662477923771165</v>
      </c>
    </row>
    <row r="32" spans="2:20" x14ac:dyDescent="0.2">
      <c r="B32" s="34" t="s">
        <v>45</v>
      </c>
      <c r="C32" s="76" t="s">
        <v>46</v>
      </c>
      <c r="D32" s="41">
        <f>33469.222870768*Deflactores!$T$5</f>
        <v>52056.177745164525</v>
      </c>
      <c r="E32" s="41">
        <f>35633.088244153*Deflactores!$U$5</f>
        <v>54543.582563233555</v>
      </c>
      <c r="F32" s="41">
        <f>49377.4964657*Deflactores!$V$5</f>
        <v>71560.45614245889</v>
      </c>
      <c r="G32" s="41">
        <f>59291.241905104*Deflactores!$W$5</f>
        <v>75961.788977102944</v>
      </c>
      <c r="H32" s="41">
        <f>71954.415677339*Deflactores!$X$5</f>
        <v>84357.053434975343</v>
      </c>
      <c r="I32" s="41">
        <f>77085.675691022*Deflactores!$Y$5</f>
        <v>85905.682895402322</v>
      </c>
      <c r="J32" s="41">
        <f>64335.7862965803*Deflactores!$Z$5</f>
        <v>68217.200532365372</v>
      </c>
      <c r="K32" s="41">
        <f>73509.691691923*Deflactores!$AA$5</f>
        <v>73509.691691922999</v>
      </c>
      <c r="L32" s="71"/>
      <c r="M32" s="113">
        <f t="shared" si="1"/>
        <v>14.208583424699986</v>
      </c>
      <c r="N32" s="113">
        <f t="shared" si="2"/>
        <v>12.103134541171304</v>
      </c>
      <c r="O32" s="113">
        <f t="shared" si="3"/>
        <v>15.181893612844416</v>
      </c>
      <c r="P32" s="113">
        <f t="shared" si="4"/>
        <v>17.764535800270373</v>
      </c>
      <c r="Q32" s="113">
        <f t="shared" si="5"/>
        <v>17.926121694309177</v>
      </c>
      <c r="R32" s="113">
        <f t="shared" si="6"/>
        <v>17.198509037174503</v>
      </c>
      <c r="S32" s="113">
        <f t="shared" si="7"/>
        <v>13.288363179636214</v>
      </c>
      <c r="T32" s="113">
        <f t="shared" si="8"/>
        <v>13.972700300816667</v>
      </c>
    </row>
    <row r="33" spans="1:20" x14ac:dyDescent="0.2">
      <c r="B33" s="36" t="s">
        <v>47</v>
      </c>
      <c r="C33" s="78" t="s">
        <v>48</v>
      </c>
      <c r="D33" s="43">
        <f>+D34-D22</f>
        <v>285596.85249320569</v>
      </c>
      <c r="E33" s="43">
        <f>+E34-E22</f>
        <v>368591.93525029358</v>
      </c>
      <c r="F33" s="43">
        <f t="shared" ref="F33:K33" si="12">(+F34-F22)</f>
        <v>369154.94878649933</v>
      </c>
      <c r="G33" s="43">
        <f t="shared" si="12"/>
        <v>335811.56812885782</v>
      </c>
      <c r="H33" s="43">
        <f t="shared" si="12"/>
        <v>378614.8663011014</v>
      </c>
      <c r="I33" s="43">
        <f t="shared" si="12"/>
        <v>394257.25558318786</v>
      </c>
      <c r="J33" s="43">
        <f t="shared" si="12"/>
        <v>393961.72562186187</v>
      </c>
      <c r="K33" s="43">
        <f t="shared" si="12"/>
        <v>425645.39204439597</v>
      </c>
      <c r="L33" s="71"/>
      <c r="M33" s="112">
        <f t="shared" si="1"/>
        <v>77.952836344354694</v>
      </c>
      <c r="N33" s="112">
        <f t="shared" si="2"/>
        <v>81.789966362277994</v>
      </c>
      <c r="O33" s="112">
        <f t="shared" si="3"/>
        <v>78.317990986174919</v>
      </c>
      <c r="P33" s="112">
        <f t="shared" si="4"/>
        <v>78.533387700600514</v>
      </c>
      <c r="Q33" s="112">
        <f t="shared" si="5"/>
        <v>80.456771452073255</v>
      </c>
      <c r="R33" s="112">
        <f t="shared" si="6"/>
        <v>78.931180622533333</v>
      </c>
      <c r="S33" s="112">
        <f t="shared" si="7"/>
        <v>76.741737392986678</v>
      </c>
      <c r="T33" s="112">
        <f t="shared" si="8"/>
        <v>80.906549334819786</v>
      </c>
    </row>
    <row r="34" spans="1:20" x14ac:dyDescent="0.2">
      <c r="B34" s="38" t="s">
        <v>49</v>
      </c>
      <c r="C34" s="79" t="s">
        <v>50</v>
      </c>
      <c r="D34" s="44">
        <f t="shared" ref="D34:K34" si="13">+D14+D22+D32</f>
        <v>366371.34180928167</v>
      </c>
      <c r="E34" s="44">
        <f t="shared" si="13"/>
        <v>450656.66565708519</v>
      </c>
      <c r="F34" s="44">
        <f t="shared" si="13"/>
        <v>471353.95601716131</v>
      </c>
      <c r="G34" s="44">
        <f t="shared" si="13"/>
        <v>427603.56831810274</v>
      </c>
      <c r="H34" s="44">
        <f t="shared" si="13"/>
        <v>470581.72912970523</v>
      </c>
      <c r="I34" s="44">
        <f t="shared" si="13"/>
        <v>499494.94290300144</v>
      </c>
      <c r="J34" s="44">
        <f t="shared" si="13"/>
        <v>513360.44635583856</v>
      </c>
      <c r="K34" s="44">
        <f t="shared" si="13"/>
        <v>526095.10051272297</v>
      </c>
      <c r="L34" s="71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x14ac:dyDescent="0.2">
      <c r="B35" s="72" t="str">
        <f>+'C1 Aprop Resumen 2000-2026'!B20</f>
        <v>* Información con corte a 30 de Junio</v>
      </c>
      <c r="C35" s="68"/>
      <c r="D35" s="71"/>
      <c r="E35" s="71"/>
      <c r="F35" s="71"/>
      <c r="G35" s="71"/>
      <c r="H35" s="71"/>
      <c r="I35" s="71"/>
    </row>
    <row r="36" spans="1:20" ht="10.5" customHeight="1" x14ac:dyDescent="0.2">
      <c r="B36" s="1" t="s">
        <v>52</v>
      </c>
    </row>
    <row r="42" spans="1:20" ht="18" customHeight="1" x14ac:dyDescent="0.2">
      <c r="A42" s="16"/>
      <c r="C42" s="131"/>
      <c r="D42" s="164" t="s">
        <v>110</v>
      </c>
      <c r="E42" s="160"/>
      <c r="F42" s="160"/>
      <c r="G42" s="160"/>
      <c r="H42" s="160"/>
      <c r="I42" s="160"/>
      <c r="J42" s="160"/>
      <c r="K42" s="170"/>
      <c r="L42" s="170"/>
      <c r="M42" s="160"/>
      <c r="N42" s="160"/>
      <c r="O42" s="160"/>
      <c r="P42" s="160"/>
      <c r="Q42" s="160"/>
      <c r="R42" s="160"/>
      <c r="S42" s="160"/>
      <c r="T42" s="160"/>
    </row>
    <row r="43" spans="1:20" ht="15.75" customHeight="1" x14ac:dyDescent="0.2">
      <c r="A43" s="16"/>
      <c r="B43" s="2"/>
      <c r="C43" s="2"/>
      <c r="D43" s="159"/>
      <c r="E43" s="160"/>
      <c r="F43" s="160"/>
      <c r="G43" s="160"/>
      <c r="H43" s="160"/>
      <c r="I43" s="160"/>
      <c r="J43" s="160"/>
      <c r="K43" s="170"/>
    </row>
    <row r="44" spans="1:20" ht="15.75" customHeight="1" thickBot="1" x14ac:dyDescent="0.3">
      <c r="A44" s="16"/>
      <c r="B44" s="19"/>
      <c r="C44" s="92"/>
      <c r="D44" s="173"/>
      <c r="E44" s="156"/>
      <c r="F44" s="156"/>
      <c r="G44" s="156"/>
      <c r="H44" s="156"/>
      <c r="I44" s="156"/>
      <c r="J44" s="156"/>
      <c r="K44" s="156"/>
      <c r="M44" s="173" t="s">
        <v>111</v>
      </c>
      <c r="N44" s="156"/>
      <c r="O44" s="156"/>
      <c r="P44" s="156"/>
      <c r="Q44" s="156"/>
      <c r="R44" s="156"/>
      <c r="S44" s="156"/>
      <c r="T44" s="156"/>
    </row>
    <row r="45" spans="1:20" x14ac:dyDescent="0.2">
      <c r="A45" s="16"/>
      <c r="B45" s="49"/>
      <c r="C45" s="175" t="s">
        <v>38</v>
      </c>
      <c r="D45" s="155">
        <v>2019</v>
      </c>
      <c r="E45" s="155">
        <v>2020</v>
      </c>
      <c r="F45" s="155">
        <v>2021</v>
      </c>
      <c r="G45" s="155">
        <v>2022</v>
      </c>
      <c r="H45" s="155">
        <v>2023</v>
      </c>
      <c r="I45" s="155">
        <v>2024</v>
      </c>
      <c r="J45" s="155">
        <v>2025</v>
      </c>
      <c r="K45" s="155" t="s">
        <v>36</v>
      </c>
      <c r="L45" s="114"/>
      <c r="M45" s="155">
        <v>2019</v>
      </c>
      <c r="N45" s="155">
        <v>2020</v>
      </c>
      <c r="O45" s="155">
        <v>2021</v>
      </c>
      <c r="P45" s="155">
        <v>2022</v>
      </c>
      <c r="Q45" s="155">
        <v>2023</v>
      </c>
      <c r="R45" s="155">
        <v>2024</v>
      </c>
      <c r="S45" s="155">
        <v>2025</v>
      </c>
      <c r="T45" s="155" t="s">
        <v>36</v>
      </c>
    </row>
    <row r="46" spans="1:20" ht="12" customHeight="1" thickBot="1" x14ac:dyDescent="0.25">
      <c r="A46" s="16"/>
      <c r="B46" s="84"/>
      <c r="C46" s="156"/>
      <c r="D46" s="156"/>
      <c r="E46" s="156"/>
      <c r="F46" s="156"/>
      <c r="G46" s="156"/>
      <c r="H46" s="156"/>
      <c r="I46" s="156"/>
      <c r="J46" s="156"/>
      <c r="K46" s="156"/>
      <c r="L46" s="114"/>
      <c r="M46" s="156"/>
      <c r="N46" s="156"/>
      <c r="O46" s="156"/>
      <c r="P46" s="156"/>
      <c r="Q46" s="156"/>
      <c r="R46" s="156"/>
      <c r="S46" s="156"/>
      <c r="T46" s="156"/>
    </row>
    <row r="47" spans="1:20" x14ac:dyDescent="0.2">
      <c r="A47" s="16"/>
      <c r="B47" s="34" t="s">
        <v>39</v>
      </c>
      <c r="C47" s="76" t="s">
        <v>40</v>
      </c>
      <c r="D47" s="41">
        <f t="shared" ref="D47:K47" si="14">+SUM(D48:D54)</f>
        <v>232218.28996056074</v>
      </c>
      <c r="E47" s="41">
        <f t="shared" si="14"/>
        <v>281872.09841512906</v>
      </c>
      <c r="F47" s="41">
        <f t="shared" si="14"/>
        <v>291070.43256692245</v>
      </c>
      <c r="G47" s="41">
        <f t="shared" si="14"/>
        <v>250786.00950588009</v>
      </c>
      <c r="H47" s="41">
        <f t="shared" si="14"/>
        <v>288541.6810037712</v>
      </c>
      <c r="I47" s="41">
        <f t="shared" si="14"/>
        <v>296663.636329545</v>
      </c>
      <c r="J47" s="41">
        <f t="shared" si="14"/>
        <v>321644.24379361328</v>
      </c>
      <c r="K47" s="41">
        <f t="shared" si="14"/>
        <v>181103.87470208883</v>
      </c>
      <c r="M47" s="46">
        <f t="shared" ref="M47:M67" si="15">+D47/D14*100</f>
        <v>99.43376682074458</v>
      </c>
      <c r="N47" s="46">
        <f t="shared" ref="N47:N67" si="16">+E47/E14*100</f>
        <v>89.754362983717456</v>
      </c>
      <c r="O47" s="46">
        <f t="shared" ref="O47:O67" si="17">+F47/F14*100</f>
        <v>97.807734941882259</v>
      </c>
      <c r="P47" s="46">
        <f t="shared" ref="P47:P67" si="18">+G47/G14*100</f>
        <v>96.511919434581685</v>
      </c>
      <c r="Q47" s="46">
        <f t="shared" ref="Q47:Q67" si="19">+H47/H14*100</f>
        <v>98.057440920029052</v>
      </c>
      <c r="R47" s="46">
        <f t="shared" ref="R47:R67" si="20">+I47/I14*100</f>
        <v>96.209542161124347</v>
      </c>
      <c r="S47" s="46">
        <f t="shared" ref="S47:S67" si="21">+J47/J14*100</f>
        <v>98.741258569194159</v>
      </c>
      <c r="T47" s="46">
        <f t="shared" ref="T47:T67" si="22">+K47/K14*100</f>
        <v>51.430137450082867</v>
      </c>
    </row>
    <row r="48" spans="1:20" x14ac:dyDescent="0.2">
      <c r="A48" s="16"/>
      <c r="B48" s="40"/>
      <c r="C48" s="77" t="s">
        <v>92</v>
      </c>
      <c r="D48" s="42">
        <f>29218.3482636029*Deflactores!$T$5</f>
        <v>45444.602538371706</v>
      </c>
      <c r="E48" s="42">
        <f>30324.6347869917*Deflactores!$U$5</f>
        <v>46417.93071291237</v>
      </c>
      <c r="F48" s="42">
        <f>32120.731944945*Deflactores!$V$5</f>
        <v>46551.048435730547</v>
      </c>
      <c r="G48" s="42">
        <f>35485.0145934827*Deflactores!$W$5</f>
        <v>45462.113860150275</v>
      </c>
      <c r="H48" s="42">
        <f>41214.7453562563*Deflactores!$X$5</f>
        <v>48318.848031748639</v>
      </c>
      <c r="I48" s="42">
        <f>46948.8272773322*Deflactores!$Y$5</f>
        <v>52320.629380787141</v>
      </c>
      <c r="J48" s="42">
        <f>53079.6116600337*Deflactores!$Z$5</f>
        <v>56281.934537964371</v>
      </c>
      <c r="K48" s="42">
        <f>28418.6389977465*Deflactores!$AA$5</f>
        <v>28418.638997746501</v>
      </c>
      <c r="M48" s="47">
        <f t="shared" si="15"/>
        <v>99.26599225640868</v>
      </c>
      <c r="N48" s="47">
        <f t="shared" si="16"/>
        <v>97.560304071797958</v>
      </c>
      <c r="O48" s="47">
        <f t="shared" si="17"/>
        <v>97.528994052031393</v>
      </c>
      <c r="P48" s="47">
        <f t="shared" si="18"/>
        <v>98.107174900185072</v>
      </c>
      <c r="Q48" s="47">
        <f t="shared" si="19"/>
        <v>96.783942126161691</v>
      </c>
      <c r="R48" s="47">
        <f t="shared" si="20"/>
        <v>98.184258207652746</v>
      </c>
      <c r="S48" s="47">
        <f t="shared" si="21"/>
        <v>98.420610262999958</v>
      </c>
      <c r="T48" s="47">
        <f t="shared" si="22"/>
        <v>45.398808697602917</v>
      </c>
    </row>
    <row r="49" spans="1:20" x14ac:dyDescent="0.2">
      <c r="A49" s="16"/>
      <c r="B49" s="40"/>
      <c r="C49" s="77" t="s">
        <v>93</v>
      </c>
      <c r="D49" s="42">
        <f>8816.44588525923*Deflactores!$T$5</f>
        <v>13712.612206617023</v>
      </c>
      <c r="E49" s="42">
        <f>8806.097989881*Deflactores!$U$5</f>
        <v>13479.497748832198</v>
      </c>
      <c r="F49" s="42">
        <f>9806.07508939667*Deflactores!$V$5</f>
        <v>14211.478033356403</v>
      </c>
      <c r="G49" s="42">
        <f>12164.9411523703*Deflactores!$W$5</f>
        <v>15585.28145209387</v>
      </c>
      <c r="H49" s="42">
        <f>14357.8818208702*Deflactores!$X$5</f>
        <v>16832.721002244965</v>
      </c>
      <c r="I49" s="42">
        <f>15246.2116269886*Deflactores!$Y$5</f>
        <v>16990.656300841383</v>
      </c>
      <c r="J49" s="42">
        <f>18320.4207063131*Deflactores!$Z$5</f>
        <v>19425.702009742741</v>
      </c>
      <c r="K49" s="42">
        <f>13463.1248864479*Deflactores!$AA$5</f>
        <v>13463.1248864479</v>
      </c>
      <c r="L49" s="42"/>
      <c r="M49" s="47">
        <f t="shared" si="15"/>
        <v>98.816826440311544</v>
      </c>
      <c r="N49" s="47">
        <f t="shared" si="16"/>
        <v>98.029150584720554</v>
      </c>
      <c r="O49" s="47">
        <f t="shared" si="17"/>
        <v>97.957711111744899</v>
      </c>
      <c r="P49" s="47">
        <f t="shared" si="18"/>
        <v>97.104131485685627</v>
      </c>
      <c r="Q49" s="47">
        <f t="shared" si="19"/>
        <v>96.947958143011931</v>
      </c>
      <c r="R49" s="47">
        <f t="shared" si="20"/>
        <v>97.080351739778479</v>
      </c>
      <c r="S49" s="47">
        <f t="shared" si="21"/>
        <v>98.277275347163922</v>
      </c>
      <c r="T49" s="47">
        <f t="shared" si="22"/>
        <v>70.067222602652507</v>
      </c>
    </row>
    <row r="50" spans="1:20" x14ac:dyDescent="0.2">
      <c r="A50" s="16"/>
      <c r="B50" s="40"/>
      <c r="C50" s="77" t="s">
        <v>58</v>
      </c>
      <c r="D50" s="42">
        <f>110240.300687913*Deflactores!$T$5</f>
        <v>171461.66522744542</v>
      </c>
      <c r="E50" s="42">
        <f>143730.817652154*Deflactores!$U$5</f>
        <v>220008.82061570176</v>
      </c>
      <c r="F50" s="42">
        <f>156574.960627817*Deflactores!$V$5</f>
        <v>226916.64027149219</v>
      </c>
      <c r="G50" s="42">
        <f>146297.965598623*Deflactores!$W$5</f>
        <v>187431.64814069134</v>
      </c>
      <c r="H50" s="42">
        <f>188531.468705643*Deflactores!$X$5</f>
        <v>221028.25837810297</v>
      </c>
      <c r="I50" s="42">
        <f>202057.829249259*Deflactores!$Y$5</f>
        <v>225176.93009003266</v>
      </c>
      <c r="J50" s="42">
        <f>229919.767105565*Deflactores!$Z$5</f>
        <v>243790.95619802445</v>
      </c>
      <c r="K50" s="42">
        <f>138193.761899127*Deflactores!$AA$5</f>
        <v>138193.76189912701</v>
      </c>
      <c r="L50" s="42"/>
      <c r="M50" s="47">
        <f t="shared" si="15"/>
        <v>99.546656249926372</v>
      </c>
      <c r="N50" s="47">
        <f t="shared" si="16"/>
        <v>87.747311234418817</v>
      </c>
      <c r="O50" s="47">
        <f t="shared" si="17"/>
        <v>97.873584527638798</v>
      </c>
      <c r="P50" s="47">
        <f t="shared" si="18"/>
        <v>96.100809294667755</v>
      </c>
      <c r="Q50" s="47">
        <f t="shared" si="19"/>
        <v>98.485263482285362</v>
      </c>
      <c r="R50" s="47">
        <f t="shared" si="20"/>
        <v>95.738149114943255</v>
      </c>
      <c r="S50" s="47">
        <f t="shared" si="21"/>
        <v>98.905606734006369</v>
      </c>
      <c r="T50" s="47">
        <f t="shared" si="22"/>
        <v>51.562341317327295</v>
      </c>
    </row>
    <row r="51" spans="1:20" x14ac:dyDescent="0.2">
      <c r="A51" s="16"/>
      <c r="B51" s="40"/>
      <c r="C51" s="77" t="s">
        <v>94</v>
      </c>
      <c r="D51" s="42">
        <f>69.68915286289*Deflactores!$T$5</f>
        <v>108.39065317853611</v>
      </c>
      <c r="E51" s="42">
        <f>66.97757497037*Deflactores!$U$5</f>
        <v>102.52260105131334</v>
      </c>
      <c r="F51" s="42">
        <f>78.83629589932*Deflactores!$V$5</f>
        <v>114.25369244988154</v>
      </c>
      <c r="G51" s="42">
        <f>69.6588334699*Deflactores!$W$5</f>
        <v>89.244371317110094</v>
      </c>
      <c r="H51" s="42">
        <f>86.63391302372*Deflactores!$X$5</f>
        <v>101.56682618332428</v>
      </c>
      <c r="I51" s="42">
        <f>97.4078530489*Deflactores!$Y$5</f>
        <v>108.5530879833144</v>
      </c>
      <c r="J51" s="42">
        <f>106.10175653268*Deflactores!$Z$5</f>
        <v>112.50293528487992</v>
      </c>
      <c r="K51" s="42">
        <f>83.74990144442*Deflactores!$AA$5</f>
        <v>83.749901444420004</v>
      </c>
      <c r="L51" s="42"/>
      <c r="M51" s="47">
        <f t="shared" si="15"/>
        <v>97.729899498919835</v>
      </c>
      <c r="N51" s="47">
        <f t="shared" si="16"/>
        <v>96.837228695180187</v>
      </c>
      <c r="O51" s="47">
        <f t="shared" si="17"/>
        <v>88.853010784542036</v>
      </c>
      <c r="P51" s="47">
        <f t="shared" si="18"/>
        <v>80.666677319725551</v>
      </c>
      <c r="Q51" s="47">
        <f t="shared" si="19"/>
        <v>85.97413685731776</v>
      </c>
      <c r="R51" s="47">
        <f t="shared" si="20"/>
        <v>92.292192031091744</v>
      </c>
      <c r="S51" s="47">
        <f t="shared" si="21"/>
        <v>91.201127836158236</v>
      </c>
      <c r="T51" s="47">
        <f t="shared" si="22"/>
        <v>67.394802397059479</v>
      </c>
    </row>
    <row r="52" spans="1:20" x14ac:dyDescent="0.2">
      <c r="A52" s="16"/>
      <c r="B52" s="40"/>
      <c r="C52" s="77" t="s">
        <v>95</v>
      </c>
      <c r="D52" s="42">
        <f>289.96309008*Deflactores!$T$5</f>
        <v>450.99254963356339</v>
      </c>
      <c r="E52" s="42">
        <f>319.153394823*Deflactores!$U$5</f>
        <v>488.52823032314643</v>
      </c>
      <c r="F52" s="42">
        <f>472.70552016873*Deflactores!$V$5</f>
        <v>685.06961805628407</v>
      </c>
      <c r="G52" s="42">
        <f>468.54035323696*Deflactores!$W$5</f>
        <v>600.27690930824326</v>
      </c>
      <c r="H52" s="42">
        <f>571.1550256005*Deflactores!$X$5</f>
        <v>669.60386740253921</v>
      </c>
      <c r="I52" s="42">
        <f>517.03746243204*Deflactores!$Y$5</f>
        <v>576.19597797601466</v>
      </c>
      <c r="J52" s="42">
        <f>527.529445986*Deflactores!$Z$5</f>
        <v>559.3555946866137</v>
      </c>
      <c r="K52" s="42">
        <f>583.272529043*Deflactores!$AA$5</f>
        <v>583.27252904299996</v>
      </c>
      <c r="L52" s="42"/>
      <c r="M52" s="47">
        <f t="shared" si="15"/>
        <v>99.690949687480639</v>
      </c>
      <c r="N52" s="47">
        <f t="shared" si="16"/>
        <v>99.732942558623535</v>
      </c>
      <c r="O52" s="47">
        <f t="shared" si="17"/>
        <v>99.734056908877434</v>
      </c>
      <c r="P52" s="47">
        <f t="shared" si="18"/>
        <v>99.346435919313066</v>
      </c>
      <c r="Q52" s="47">
        <f t="shared" si="19"/>
        <v>99.714712051225575</v>
      </c>
      <c r="R52" s="47">
        <f t="shared" si="20"/>
        <v>99.833099029624975</v>
      </c>
      <c r="S52" s="47">
        <f t="shared" si="21"/>
        <v>96.29398814711432</v>
      </c>
      <c r="T52" s="47">
        <f t="shared" si="22"/>
        <v>93.082483780893966</v>
      </c>
    </row>
    <row r="53" spans="1:20" x14ac:dyDescent="0.2">
      <c r="A53" s="16"/>
      <c r="B53" s="40"/>
      <c r="C53" s="77" t="s">
        <v>96</v>
      </c>
      <c r="D53" s="42">
        <f>260.72706983127*Deflactores!$T$5</f>
        <v>405.52046106713425</v>
      </c>
      <c r="E53" s="42">
        <f>273.635071239899*Deflactores!$U$5</f>
        <v>418.85331403513032</v>
      </c>
      <c r="F53" s="42">
        <f>446.545780390919*Deflactores!$V$5</f>
        <v>647.15755193181849</v>
      </c>
      <c r="G53" s="42">
        <f>380.62165083201*Deflactores!$W$5</f>
        <v>487.63865609178265</v>
      </c>
      <c r="H53" s="42">
        <f>477.80061136585*Deflactores!$X$5</f>
        <v>560.15814074558091</v>
      </c>
      <c r="I53" s="42">
        <f>335.18199477818*Deflactores!$Y$5</f>
        <v>373.53292810296153</v>
      </c>
      <c r="J53" s="42">
        <f>320.51030625561*Deflactores!$Z$5</f>
        <v>339.84687361613794</v>
      </c>
      <c r="K53" s="42">
        <f>163.33172450162*Deflactores!$AA$5</f>
        <v>163.33172450161999</v>
      </c>
      <c r="L53" s="42"/>
      <c r="M53" s="47">
        <f t="shared" si="15"/>
        <v>98.581973855743072</v>
      </c>
      <c r="N53" s="47">
        <f t="shared" si="16"/>
        <v>98.533960749273845</v>
      </c>
      <c r="O53" s="47">
        <f t="shared" si="17"/>
        <v>99.236004727573146</v>
      </c>
      <c r="P53" s="47">
        <f t="shared" si="18"/>
        <v>95.457143236924964</v>
      </c>
      <c r="Q53" s="47">
        <f t="shared" si="19"/>
        <v>99.565293978904961</v>
      </c>
      <c r="R53" s="47">
        <f t="shared" si="20"/>
        <v>97.823241893623106</v>
      </c>
      <c r="S53" s="47">
        <f t="shared" si="21"/>
        <v>95.880356444458513</v>
      </c>
      <c r="T53" s="47">
        <f t="shared" si="22"/>
        <v>45.191449433388279</v>
      </c>
    </row>
    <row r="54" spans="1:20" x14ac:dyDescent="0.2">
      <c r="A54" s="16"/>
      <c r="B54" s="40"/>
      <c r="C54" s="77" t="s">
        <v>97</v>
      </c>
      <c r="D54" s="42">
        <f>407.95222582628*Deflactores!$T$5</f>
        <v>634.50632424740945</v>
      </c>
      <c r="E54" s="42">
        <f>624.51488868289*Deflactores!$U$5</f>
        <v>955.94519227317437</v>
      </c>
      <c r="F54" s="42">
        <f>1341.92286995228*Deflactores!$V$5</f>
        <v>1944.7849639053452</v>
      </c>
      <c r="G54" s="42">
        <f>881.859269576979*Deflactores!$W$5</f>
        <v>1129.8061162274641</v>
      </c>
      <c r="H54" s="42">
        <f>879.01134210214*Deflactores!$X$5</f>
        <v>1030.5247573431736</v>
      </c>
      <c r="I54" s="42">
        <f>1002.44102753403*Deflactores!$Y$5</f>
        <v>1117.1385638215183</v>
      </c>
      <c r="J54" s="42">
        <f>1069.42653867228*Deflactores!$Z$5</f>
        <v>1133.9456442940539</v>
      </c>
      <c r="K54" s="42">
        <f>197.99476377839*Deflactores!$AA$5</f>
        <v>197.99476377838999</v>
      </c>
      <c r="L54" s="42"/>
      <c r="M54" s="47">
        <f t="shared" si="15"/>
        <v>95.260999219290653</v>
      </c>
      <c r="N54" s="47">
        <f t="shared" si="16"/>
        <v>98.717058870250682</v>
      </c>
      <c r="O54" s="47">
        <f t="shared" si="17"/>
        <v>95.24082420094858</v>
      </c>
      <c r="P54" s="47">
        <f t="shared" si="18"/>
        <v>94.285948414352731</v>
      </c>
      <c r="Q54" s="47">
        <f t="shared" si="19"/>
        <v>86.546177204574221</v>
      </c>
      <c r="R54" s="47">
        <f t="shared" si="20"/>
        <v>86.986791827020355</v>
      </c>
      <c r="S54" s="47">
        <f t="shared" si="21"/>
        <v>91.007141282510815</v>
      </c>
      <c r="T54" s="47">
        <f t="shared" si="22"/>
        <v>16.526062428926043</v>
      </c>
    </row>
    <row r="55" spans="1:20" x14ac:dyDescent="0.2">
      <c r="A55" s="16"/>
      <c r="B55" s="34" t="s">
        <v>41</v>
      </c>
      <c r="C55" s="76" t="s">
        <v>42</v>
      </c>
      <c r="D55" s="41">
        <f t="shared" ref="D55:K55" si="23">+D56+D60</f>
        <v>80252.450696689106</v>
      </c>
      <c r="E55" s="41">
        <f t="shared" si="23"/>
        <v>81482.163364709442</v>
      </c>
      <c r="F55" s="41">
        <f t="shared" si="23"/>
        <v>86446.311971438132</v>
      </c>
      <c r="G55" s="41">
        <f t="shared" si="23"/>
        <v>90709.20062382461</v>
      </c>
      <c r="H55" s="41">
        <f t="shared" si="23"/>
        <v>88170.831369004547</v>
      </c>
      <c r="I55" s="41">
        <f t="shared" si="23"/>
        <v>100942.28641362762</v>
      </c>
      <c r="J55" s="41">
        <f t="shared" si="23"/>
        <v>111387.68189505965</v>
      </c>
      <c r="K55" s="41">
        <f t="shared" si="23"/>
        <v>53877.205278768473</v>
      </c>
      <c r="L55" s="71"/>
      <c r="M55" s="46">
        <f t="shared" si="15"/>
        <v>99.353708548568974</v>
      </c>
      <c r="N55" s="46">
        <f t="shared" si="16"/>
        <v>99.29011276928054</v>
      </c>
      <c r="O55" s="46">
        <f t="shared" si="17"/>
        <v>84.586254127038458</v>
      </c>
      <c r="P55" s="46">
        <f t="shared" si="18"/>
        <v>98.820376979270605</v>
      </c>
      <c r="Q55" s="46">
        <f t="shared" si="19"/>
        <v>95.872392139031817</v>
      </c>
      <c r="R55" s="46">
        <f t="shared" si="20"/>
        <v>95.918381508012047</v>
      </c>
      <c r="S55" s="46">
        <f t="shared" si="21"/>
        <v>93.290515350858854</v>
      </c>
      <c r="T55" s="46">
        <f t="shared" si="22"/>
        <v>53.635999646287281</v>
      </c>
    </row>
    <row r="56" spans="1:20" x14ac:dyDescent="0.2">
      <c r="A56" s="16"/>
      <c r="B56" s="34"/>
      <c r="C56" s="76" t="s">
        <v>43</v>
      </c>
      <c r="D56" s="41">
        <f t="shared" ref="D56:K56" si="24">+SUM(D57:D59)</f>
        <v>21927.595835252581</v>
      </c>
      <c r="E56" s="41">
        <f t="shared" si="24"/>
        <v>22729.944177022597</v>
      </c>
      <c r="F56" s="41">
        <f t="shared" si="24"/>
        <v>29432.060199334974</v>
      </c>
      <c r="G56" s="41">
        <f t="shared" si="24"/>
        <v>21141.041456164261</v>
      </c>
      <c r="H56" s="41">
        <f t="shared" si="24"/>
        <v>29240.046135244254</v>
      </c>
      <c r="I56" s="41">
        <f t="shared" si="24"/>
        <v>40107.780758528264</v>
      </c>
      <c r="J56" s="41">
        <f t="shared" si="24"/>
        <v>50780.830536242145</v>
      </c>
      <c r="K56" s="41">
        <f t="shared" si="24"/>
        <v>18816.361027794352</v>
      </c>
      <c r="L56" s="71"/>
      <c r="M56" s="46">
        <f t="shared" si="15"/>
        <v>97.920436215609129</v>
      </c>
      <c r="N56" s="46">
        <f t="shared" si="16"/>
        <v>99.03890855638133</v>
      </c>
      <c r="O56" s="46">
        <f t="shared" si="17"/>
        <v>80.566235638046322</v>
      </c>
      <c r="P56" s="46">
        <f t="shared" si="18"/>
        <v>98.302711686827877</v>
      </c>
      <c r="Q56" s="46">
        <f t="shared" si="19"/>
        <v>93.959294241296945</v>
      </c>
      <c r="R56" s="46">
        <f t="shared" si="20"/>
        <v>96.59162358467897</v>
      </c>
      <c r="S56" s="46">
        <f t="shared" si="21"/>
        <v>88.987220257333547</v>
      </c>
      <c r="T56" s="46">
        <f t="shared" si="22"/>
        <v>48.993227572029753</v>
      </c>
    </row>
    <row r="57" spans="1:20" x14ac:dyDescent="0.2">
      <c r="A57" s="16"/>
      <c r="B57" s="32"/>
      <c r="C57" s="77" t="s">
        <v>98</v>
      </c>
      <c r="D57" s="42">
        <f>7910.47617477022*Deflactores!$T$5</f>
        <v>12303.517036912863</v>
      </c>
      <c r="E57" s="42">
        <f>6388.91910730776*Deflactores!$U$5</f>
        <v>9779.5210572701926</v>
      </c>
      <c r="F57" s="42">
        <f>10847.4859933545*Deflactores!$V$5</f>
        <v>15720.745303938267</v>
      </c>
      <c r="G57" s="42">
        <f>4261.28086287754*Deflactores!$W$5</f>
        <v>5459.3985094146947</v>
      </c>
      <c r="H57" s="42">
        <f>12570.0240204341*Deflactores!$X$5</f>
        <v>14736.693752411797</v>
      </c>
      <c r="I57" s="42">
        <f>18751.3539091923*Deflactores!$Y$5</f>
        <v>20896.850787676867</v>
      </c>
      <c r="J57" s="42">
        <f>31951.3541477027*Deflactores!$Z$5</f>
        <v>33878.997345685893</v>
      </c>
      <c r="K57" s="42">
        <f>8848.86520154034*Deflactores!$AA$5</f>
        <v>8848.8652015403404</v>
      </c>
      <c r="L57" s="42"/>
      <c r="M57" s="47">
        <f t="shared" si="15"/>
        <v>99.388399633902537</v>
      </c>
      <c r="N57" s="47">
        <f t="shared" si="16"/>
        <v>98.433201721859902</v>
      </c>
      <c r="O57" s="47">
        <f t="shared" si="17"/>
        <v>75.917390481882123</v>
      </c>
      <c r="P57" s="47">
        <f t="shared" si="18"/>
        <v>98.244261742361189</v>
      </c>
      <c r="Q57" s="47">
        <f t="shared" si="19"/>
        <v>95.285042047852386</v>
      </c>
      <c r="R57" s="47">
        <f t="shared" si="20"/>
        <v>96.113574003752333</v>
      </c>
      <c r="S57" s="47">
        <f t="shared" si="21"/>
        <v>92.714856987671055</v>
      </c>
      <c r="T57" s="47">
        <f t="shared" si="22"/>
        <v>51.229329870283394</v>
      </c>
    </row>
    <row r="58" spans="1:20" x14ac:dyDescent="0.2">
      <c r="A58" s="16"/>
      <c r="B58" s="32"/>
      <c r="C58" s="77" t="s">
        <v>61</v>
      </c>
      <c r="D58" s="42">
        <f>6110.39162561193*Deflactores!$T$5</f>
        <v>9503.7651093247678</v>
      </c>
      <c r="E58" s="42">
        <f>8217.53210757637*Deflactores!$U$5</f>
        <v>12578.579715137696</v>
      </c>
      <c r="F58" s="42">
        <f>9332.39927500143*Deflactores!$V$5</f>
        <v>13525.002214046279</v>
      </c>
      <c r="G58" s="42">
        <f>12138.6429293382*Deflactores!$W$5</f>
        <v>15551.589122430167</v>
      </c>
      <c r="H58" s="42">
        <f>12281.4127979816*Deflactores!$X$5</f>
        <v>14398.335194633573</v>
      </c>
      <c r="I58" s="42">
        <f>17125.0432933579*Deflactores!$Y$5</f>
        <v>19084.460576384106</v>
      </c>
      <c r="J58" s="42">
        <f>15711.6153676201*Deflactores!$Z$5</f>
        <v>16659.505975095297</v>
      </c>
      <c r="K58" s="42">
        <f>9899.34083871873*Deflactores!$AA$5</f>
        <v>9899.3408387187301</v>
      </c>
      <c r="L58" s="42"/>
      <c r="M58" s="47">
        <f t="shared" si="15"/>
        <v>96.817670243193476</v>
      </c>
      <c r="N58" s="47">
        <f t="shared" si="16"/>
        <v>99.773939366644953</v>
      </c>
      <c r="O58" s="47">
        <f t="shared" si="17"/>
        <v>86.762291864065872</v>
      </c>
      <c r="P58" s="47">
        <f t="shared" si="18"/>
        <v>98.664159931872859</v>
      </c>
      <c r="Q58" s="47">
        <f t="shared" si="19"/>
        <v>93.025474680170845</v>
      </c>
      <c r="R58" s="47">
        <f t="shared" si="20"/>
        <v>97.740382033882085</v>
      </c>
      <c r="S58" s="47">
        <f t="shared" si="21"/>
        <v>83.663837569783212</v>
      </c>
      <c r="T58" s="47">
        <f t="shared" si="22"/>
        <v>49.528743362089592</v>
      </c>
    </row>
    <row r="59" spans="1:20" x14ac:dyDescent="0.2">
      <c r="A59" s="16"/>
      <c r="B59" s="32"/>
      <c r="C59" s="77" t="s">
        <v>103</v>
      </c>
      <c r="D59" s="42">
        <f>77.35500081774*Deflactores!$T$5</f>
        <v>120.31368901494963</v>
      </c>
      <c r="E59" s="42">
        <f>242.92369930562*Deflactores!$U$5</f>
        <v>371.84340461470879</v>
      </c>
      <c r="F59" s="42">
        <f>128.557785414079*Deflactores!$V$5</f>
        <v>186.31268135042782</v>
      </c>
      <c r="G59" s="42">
        <f>101.51225849525*Deflactores!$W$5</f>
        <v>130.05382431939768</v>
      </c>
      <c r="H59" s="42">
        <f>89.57698384703*Deflactores!$X$5</f>
        <v>105.0171881988839</v>
      </c>
      <c r="I59" s="42">
        <f>113.48467759247*Deflactores!$Y$5</f>
        <v>126.46939446729323</v>
      </c>
      <c r="J59" s="42">
        <f>228.53931011643*Deflactores!$Z$5</f>
        <v>242.32721546094834</v>
      </c>
      <c r="K59" s="42">
        <f>68.15498753528*Deflactores!$AA$5</f>
        <v>68.15498753528</v>
      </c>
      <c r="L59" s="42"/>
      <c r="M59" s="47">
        <f t="shared" si="15"/>
        <v>60.794391327100506</v>
      </c>
      <c r="N59" s="47">
        <f t="shared" si="16"/>
        <v>91.081179579682313</v>
      </c>
      <c r="O59" s="47">
        <f t="shared" si="17"/>
        <v>79.202590399289036</v>
      </c>
      <c r="P59" s="47">
        <f t="shared" si="18"/>
        <v>69.565773495565139</v>
      </c>
      <c r="Q59" s="47">
        <f t="shared" si="19"/>
        <v>59.613840996027697</v>
      </c>
      <c r="R59" s="47">
        <f t="shared" si="20"/>
        <v>49.490000603946534</v>
      </c>
      <c r="S59" s="47">
        <f t="shared" si="21"/>
        <v>39.608415930811503</v>
      </c>
      <c r="T59" s="47">
        <f t="shared" si="22"/>
        <v>5.9475304078412758</v>
      </c>
    </row>
    <row r="60" spans="1:20" x14ac:dyDescent="0.2">
      <c r="A60" s="16"/>
      <c r="B60" s="34"/>
      <c r="C60" s="76" t="s">
        <v>44</v>
      </c>
      <c r="D60" s="41">
        <f t="shared" ref="D60:K60" si="25">+SUM(D61:D64)</f>
        <v>58324.854861436521</v>
      </c>
      <c r="E60" s="41">
        <f t="shared" si="25"/>
        <v>58752.219187686838</v>
      </c>
      <c r="F60" s="41">
        <f t="shared" si="25"/>
        <v>57014.251772103162</v>
      </c>
      <c r="G60" s="41">
        <f t="shared" si="25"/>
        <v>69568.159167660342</v>
      </c>
      <c r="H60" s="41">
        <f t="shared" si="25"/>
        <v>58930.785233760296</v>
      </c>
      <c r="I60" s="41">
        <f t="shared" si="25"/>
        <v>60834.505655099361</v>
      </c>
      <c r="J60" s="41">
        <f t="shared" si="25"/>
        <v>60606.851358817512</v>
      </c>
      <c r="K60" s="41">
        <f t="shared" si="25"/>
        <v>35060.844250974122</v>
      </c>
      <c r="L60" s="71"/>
      <c r="M60" s="46">
        <f t="shared" si="15"/>
        <v>99.903468749769402</v>
      </c>
      <c r="N60" s="46">
        <f t="shared" si="16"/>
        <v>99.387640371411905</v>
      </c>
      <c r="O60" s="46">
        <f t="shared" si="17"/>
        <v>86.822631855924129</v>
      </c>
      <c r="P60" s="46">
        <f t="shared" si="18"/>
        <v>98.978771982633944</v>
      </c>
      <c r="Q60" s="46">
        <f t="shared" si="19"/>
        <v>96.850837673178432</v>
      </c>
      <c r="R60" s="46">
        <f t="shared" si="20"/>
        <v>95.479627446618153</v>
      </c>
      <c r="S60" s="46">
        <f t="shared" si="21"/>
        <v>97.230117594529972</v>
      </c>
      <c r="T60" s="46">
        <f t="shared" si="22"/>
        <v>56.509951686409245</v>
      </c>
    </row>
    <row r="61" spans="1:20" x14ac:dyDescent="0.2">
      <c r="A61" s="16"/>
      <c r="B61" s="32"/>
      <c r="C61" s="77" t="s">
        <v>98</v>
      </c>
      <c r="D61" s="42">
        <f>17918.8522039321*Deflactores!$T$5</f>
        <v>27869.991452114595</v>
      </c>
      <c r="E61" s="42">
        <f>16086.0440212844*Deflactores!$U$5</f>
        <v>24622.914078593945</v>
      </c>
      <c r="F61" s="42">
        <f>15362.3871017508*Deflactores!$V$5</f>
        <v>22263.976651833058</v>
      </c>
      <c r="G61" s="42">
        <f>26110.6612382114*Deflactores!$W$5</f>
        <v>33452.032295159202</v>
      </c>
      <c r="H61" s="42">
        <f>17136.6081003664*Deflactores!$X$5</f>
        <v>20090.410735864101</v>
      </c>
      <c r="I61" s="42">
        <f>12104.2272690948*Deflactores!$Y$5</f>
        <v>13489.171628210106</v>
      </c>
      <c r="J61" s="42">
        <f>10249.4764859938*Deflactores!$Z$5</f>
        <v>10867.833177224529</v>
      </c>
      <c r="K61" s="42">
        <f>603.79060194526*Deflactores!$AA$5</f>
        <v>603.79060194526005</v>
      </c>
      <c r="L61" s="42"/>
      <c r="M61" s="47">
        <f t="shared" si="15"/>
        <v>99.891234338761322</v>
      </c>
      <c r="N61" s="47">
        <f t="shared" si="16"/>
        <v>98.630906771496981</v>
      </c>
      <c r="O61" s="47">
        <f t="shared" si="17"/>
        <v>76.613391708123203</v>
      </c>
      <c r="P61" s="47">
        <f t="shared" si="18"/>
        <v>98.41988623734828</v>
      </c>
      <c r="Q61" s="47">
        <f t="shared" si="19"/>
        <v>97.958233185630732</v>
      </c>
      <c r="R61" s="47">
        <f t="shared" si="20"/>
        <v>86.942815677852906</v>
      </c>
      <c r="S61" s="47">
        <f t="shared" si="21"/>
        <v>98.698078978925636</v>
      </c>
      <c r="T61" s="47">
        <f t="shared" si="22"/>
        <v>5.8377446865291578</v>
      </c>
    </row>
    <row r="62" spans="1:20" x14ac:dyDescent="0.2">
      <c r="A62" s="16"/>
      <c r="B62" s="32"/>
      <c r="C62" s="77" t="s">
        <v>61</v>
      </c>
      <c r="D62" s="42">
        <f>18932.4838042307*Deflactores!$T$5</f>
        <v>29446.537969403023</v>
      </c>
      <c r="E62" s="42">
        <f>21370.5318677129*Deflactores!$U$5</f>
        <v>32711.881758889613</v>
      </c>
      <c r="F62" s="42">
        <f>22982.9098455461*Deflactores!$V$5</f>
        <v>33308.037663893178</v>
      </c>
      <c r="G62" s="42">
        <f>26773.0090416804*Deflactores!$W$5</f>
        <v>34300.608281425208</v>
      </c>
      <c r="H62" s="42">
        <f>28965.9260578736*Deflactores!$X$5</f>
        <v>33958.724412616233</v>
      </c>
      <c r="I62" s="42">
        <f>40909.4565866324*Deflactores!$Y$5</f>
        <v>45590.244535714432</v>
      </c>
      <c r="J62" s="42">
        <f>44846.001080691*Deflactores!$Z$5</f>
        <v>47551.585593332275</v>
      </c>
      <c r="K62" s="42">
        <f>34206.8318239497*Deflactores!$AA$5</f>
        <v>34206.831823949702</v>
      </c>
      <c r="L62" s="42"/>
      <c r="M62" s="47">
        <f t="shared" si="15"/>
        <v>99.947731669040323</v>
      </c>
      <c r="N62" s="47">
        <f t="shared" si="16"/>
        <v>99.953996115936022</v>
      </c>
      <c r="O62" s="47">
        <f t="shared" si="17"/>
        <v>95.211232895925633</v>
      </c>
      <c r="P62" s="47">
        <f t="shared" si="18"/>
        <v>99.679324468850211</v>
      </c>
      <c r="Q62" s="47">
        <f t="shared" si="19"/>
        <v>96.068262978996884</v>
      </c>
      <c r="R62" s="47">
        <f t="shared" si="20"/>
        <v>98.508860107453842</v>
      </c>
      <c r="S62" s="47">
        <f t="shared" si="21"/>
        <v>97.06886689186075</v>
      </c>
      <c r="T62" s="47">
        <f t="shared" si="22"/>
        <v>70.128254255892557</v>
      </c>
    </row>
    <row r="63" spans="1:20" x14ac:dyDescent="0.2">
      <c r="A63" s="16"/>
      <c r="B63" s="32"/>
      <c r="C63" s="77" t="s">
        <v>103</v>
      </c>
      <c r="D63" s="42">
        <f>158.461096266269*Deflactores!$T$5</f>
        <v>246.4616231091249</v>
      </c>
      <c r="E63" s="42">
        <f>152.99658738152*Deflactores!$U$5</f>
        <v>234.19193808176965</v>
      </c>
      <c r="F63" s="42">
        <f>160.79729992181*Deflactores!$V$5</f>
        <v>233.03587570247961</v>
      </c>
      <c r="G63" s="42">
        <f>181.39145927126*Deflactores!$W$5</f>
        <v>232.392159595262</v>
      </c>
      <c r="H63" s="42">
        <f>203.39465589288*Deflactores!$X$5</f>
        <v>238.45338321533606</v>
      </c>
      <c r="I63" s="42">
        <f>147.8715608369*Deflactores!$Y$5</f>
        <v>164.79076431034534</v>
      </c>
      <c r="J63" s="42">
        <f>155.87468854149*Deflactores!$Z$5</f>
        <v>165.27869632519003</v>
      </c>
      <c r="K63" s="42">
        <f>44.78317164316*Deflactores!$AA$5</f>
        <v>44.783171643160003</v>
      </c>
      <c r="L63" s="42"/>
      <c r="M63" s="47">
        <f t="shared" si="15"/>
        <v>97.898106351678791</v>
      </c>
      <c r="N63" s="47">
        <f t="shared" si="16"/>
        <v>97.849973651726913</v>
      </c>
      <c r="O63" s="47">
        <f t="shared" si="17"/>
        <v>56.176440462735535</v>
      </c>
      <c r="P63" s="47">
        <f t="shared" si="18"/>
        <v>76.758409079206785</v>
      </c>
      <c r="Q63" s="47">
        <f t="shared" si="19"/>
        <v>68.904803532376818</v>
      </c>
      <c r="R63" s="47">
        <f t="shared" si="20"/>
        <v>50.087750210487926</v>
      </c>
      <c r="S63" s="47">
        <f t="shared" si="21"/>
        <v>52.872958163011518</v>
      </c>
      <c r="T63" s="47">
        <f t="shared" si="22"/>
        <v>17.362618491365915</v>
      </c>
    </row>
    <row r="64" spans="1:20" x14ac:dyDescent="0.2">
      <c r="A64" s="16"/>
      <c r="B64" s="32"/>
      <c r="C64" s="77" t="s">
        <v>104</v>
      </c>
      <c r="D64" s="42">
        <f>489.836*Deflactores!$T$5</f>
        <v>761.86381680977763</v>
      </c>
      <c r="E64" s="42">
        <f>773*Deflactores!$U$5</f>
        <v>1183.2314121215102</v>
      </c>
      <c r="F64" s="42">
        <f>834.3623*Deflactores!$V$5</f>
        <v>1209.2015806744421</v>
      </c>
      <c r="G64" s="42">
        <f>1235.69407039082*Deflactores!$W$5</f>
        <v>1583.1264314806765</v>
      </c>
      <c r="H64" s="42">
        <f>3960.52839647297*Deflactores!$X$5</f>
        <v>4643.1967020646243</v>
      </c>
      <c r="I64" s="42">
        <f>1427.021447*Deflactores!$Y$5</f>
        <v>1590.2987268644761</v>
      </c>
      <c r="J64" s="42">
        <f>1907.097618124*Deflactores!$Z$5</f>
        <v>2022.1538919355123</v>
      </c>
      <c r="K64" s="42">
        <f>205.438653436*Deflactores!$AA$5</f>
        <v>205.43865343600001</v>
      </c>
      <c r="L64" s="42"/>
      <c r="M64" s="47">
        <f t="shared" si="15"/>
        <v>99.306648069156793</v>
      </c>
      <c r="N64" s="47">
        <f t="shared" si="16"/>
        <v>100</v>
      </c>
      <c r="O64" s="47">
        <f t="shared" si="17"/>
        <v>100</v>
      </c>
      <c r="P64" s="47">
        <f t="shared" si="18"/>
        <v>99.99999989170621</v>
      </c>
      <c r="Q64" s="47">
        <f t="shared" si="19"/>
        <v>99.999999999721496</v>
      </c>
      <c r="R64" s="47">
        <f t="shared" si="20"/>
        <v>100</v>
      </c>
      <c r="S64" s="47">
        <f t="shared" si="21"/>
        <v>100</v>
      </c>
      <c r="T64" s="47">
        <f t="shared" si="22"/>
        <v>7.707818419547305</v>
      </c>
    </row>
    <row r="65" spans="1:20" x14ac:dyDescent="0.2">
      <c r="A65" s="16"/>
      <c r="B65" s="34" t="s">
        <v>45</v>
      </c>
      <c r="C65" s="76" t="s">
        <v>46</v>
      </c>
      <c r="D65" s="41">
        <f>32396.2356068252*Deflactores!$T$5</f>
        <v>50387.312712182589</v>
      </c>
      <c r="E65" s="41">
        <f>34195.4435213849*Deflactores!$U$5</f>
        <v>52342.979205601041</v>
      </c>
      <c r="F65" s="41">
        <f>47539.6524494709*Deflactores!$V$5</f>
        <v>68896.95625822719</v>
      </c>
      <c r="G65" s="41">
        <f>56709.4881041401*Deflactores!$W$5</f>
        <v>72654.139632642662</v>
      </c>
      <c r="H65" s="41">
        <f>65247.8056745666*Deflactores!$X$5</f>
        <v>76494.438569080667</v>
      </c>
      <c r="I65" s="41">
        <f>74908.7800024841*Deflactores!$Y$5</f>
        <v>83479.710637398413</v>
      </c>
      <c r="J65" s="41">
        <f>62911.6282977905*Deflactores!$Z$5</f>
        <v>66707.122279099654</v>
      </c>
      <c r="K65" s="41">
        <f>48056.2579837784*Deflactores!$AA$5</f>
        <v>48056.2579837784</v>
      </c>
      <c r="L65" s="71"/>
      <c r="M65" s="46">
        <f t="shared" si="15"/>
        <v>96.794107625128206</v>
      </c>
      <c r="N65" s="46">
        <f t="shared" si="16"/>
        <v>95.965422045606729</v>
      </c>
      <c r="O65" s="46">
        <f t="shared" si="17"/>
        <v>96.277972461593393</v>
      </c>
      <c r="P65" s="46">
        <f t="shared" si="18"/>
        <v>95.645640539801789</v>
      </c>
      <c r="Q65" s="46">
        <f t="shared" si="19"/>
        <v>90.679362844322924</v>
      </c>
      <c r="R65" s="46">
        <f t="shared" si="20"/>
        <v>97.176004920468714</v>
      </c>
      <c r="S65" s="46">
        <f t="shared" si="21"/>
        <v>97.786367306953224</v>
      </c>
      <c r="T65" s="46">
        <f t="shared" si="22"/>
        <v>65.374043718181809</v>
      </c>
    </row>
    <row r="66" spans="1:20" x14ac:dyDescent="0.2">
      <c r="A66" s="16"/>
      <c r="B66" s="36" t="s">
        <v>47</v>
      </c>
      <c r="C66" s="78" t="s">
        <v>48</v>
      </c>
      <c r="D66" s="43">
        <f t="shared" ref="D66:K66" si="26">+D47+D65</f>
        <v>282605.60267274332</v>
      </c>
      <c r="E66" s="43">
        <f t="shared" si="26"/>
        <v>334215.0776207301</v>
      </c>
      <c r="F66" s="43">
        <f t="shared" si="26"/>
        <v>359967.38882514962</v>
      </c>
      <c r="G66" s="43">
        <f t="shared" si="26"/>
        <v>323440.14913852274</v>
      </c>
      <c r="H66" s="43">
        <f t="shared" si="26"/>
        <v>365036.11957285187</v>
      </c>
      <c r="I66" s="43">
        <f t="shared" si="26"/>
        <v>380143.34696694341</v>
      </c>
      <c r="J66" s="43">
        <f t="shared" si="26"/>
        <v>388351.36607271293</v>
      </c>
      <c r="K66" s="43">
        <f t="shared" si="26"/>
        <v>229160.13268586723</v>
      </c>
      <c r="L66" s="71"/>
      <c r="M66" s="48">
        <f t="shared" si="15"/>
        <v>98.95263207757742</v>
      </c>
      <c r="N66" s="48">
        <f t="shared" si="16"/>
        <v>90.673464516737255</v>
      </c>
      <c r="O66" s="48">
        <f t="shared" si="17"/>
        <v>97.511191441005622</v>
      </c>
      <c r="P66" s="48">
        <f t="shared" si="18"/>
        <v>96.31596402135024</v>
      </c>
      <c r="Q66" s="48">
        <f t="shared" si="19"/>
        <v>96.413572752462713</v>
      </c>
      <c r="R66" s="48">
        <f t="shared" si="20"/>
        <v>96.42012710828439</v>
      </c>
      <c r="S66" s="48">
        <f t="shared" si="21"/>
        <v>98.575912535591343</v>
      </c>
      <c r="T66" s="48">
        <f t="shared" si="22"/>
        <v>53.838274058412736</v>
      </c>
    </row>
    <row r="67" spans="1:20" x14ac:dyDescent="0.2">
      <c r="A67" s="16"/>
      <c r="B67" s="38" t="s">
        <v>49</v>
      </c>
      <c r="C67" s="79" t="s">
        <v>63</v>
      </c>
      <c r="D67" s="44">
        <f t="shared" ref="D67:K67" si="27">+D47+D55+D65</f>
        <v>362858.0533694324</v>
      </c>
      <c r="E67" s="44">
        <f t="shared" si="27"/>
        <v>415697.24098543951</v>
      </c>
      <c r="F67" s="44">
        <f t="shared" si="27"/>
        <v>446413.70079658774</v>
      </c>
      <c r="G67" s="44">
        <f t="shared" si="27"/>
        <v>414149.34976234735</v>
      </c>
      <c r="H67" s="44">
        <f t="shared" si="27"/>
        <v>453206.95094185643</v>
      </c>
      <c r="I67" s="44">
        <f t="shared" si="27"/>
        <v>481085.63338057103</v>
      </c>
      <c r="J67" s="44">
        <f t="shared" si="27"/>
        <v>499739.04796777258</v>
      </c>
      <c r="K67" s="44">
        <f t="shared" si="27"/>
        <v>283037.33796463569</v>
      </c>
      <c r="L67" s="71"/>
      <c r="M67" s="45">
        <f t="shared" si="15"/>
        <v>99.041058063521206</v>
      </c>
      <c r="N67" s="45">
        <f t="shared" si="16"/>
        <v>92.242559061969558</v>
      </c>
      <c r="O67" s="45">
        <f t="shared" si="17"/>
        <v>94.708805367560018</v>
      </c>
      <c r="P67" s="45">
        <f t="shared" si="18"/>
        <v>96.853576641402924</v>
      </c>
      <c r="Q67" s="45">
        <f t="shared" si="19"/>
        <v>96.307808588322857</v>
      </c>
      <c r="R67" s="45">
        <f t="shared" si="20"/>
        <v>96.31441523402863</v>
      </c>
      <c r="S67" s="45">
        <f t="shared" si="21"/>
        <v>97.346620978542589</v>
      </c>
      <c r="T67" s="45">
        <f t="shared" si="22"/>
        <v>53.79965289332528</v>
      </c>
    </row>
    <row r="68" spans="1:20" s="5" customFormat="1" x14ac:dyDescent="0.2">
      <c r="A68" s="70"/>
      <c r="B68" s="72" t="str">
        <f>+'C1 Aprop Resumen 2000-2026'!B20</f>
        <v>* Información con corte a 30 de Junio</v>
      </c>
      <c r="C68" s="68"/>
      <c r="D68" s="69"/>
      <c r="E68" s="69"/>
      <c r="F68" s="69"/>
      <c r="G68" s="69"/>
      <c r="H68" s="69"/>
      <c r="I68" s="69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  <c r="M69" s="109"/>
      <c r="N69" s="109"/>
      <c r="O69" s="109"/>
      <c r="P69" s="109"/>
      <c r="Q69" s="109"/>
      <c r="R69" s="109"/>
      <c r="S69" s="109"/>
    </row>
    <row r="70" spans="1:20" x14ac:dyDescent="0.2">
      <c r="M70" s="109"/>
      <c r="N70" s="109"/>
      <c r="O70" s="109"/>
      <c r="P70" s="109"/>
      <c r="Q70" s="109"/>
      <c r="R70" s="109"/>
      <c r="S70" s="109"/>
    </row>
    <row r="71" spans="1:20" x14ac:dyDescent="0.2">
      <c r="M71" s="109"/>
      <c r="N71" s="109"/>
      <c r="O71" s="109"/>
      <c r="P71" s="109"/>
      <c r="Q71" s="109"/>
      <c r="R71" s="109"/>
      <c r="S71" s="109"/>
    </row>
    <row r="72" spans="1:20" x14ac:dyDescent="0.2">
      <c r="M72" s="109"/>
      <c r="N72" s="109"/>
      <c r="O72" s="109"/>
      <c r="P72" s="109"/>
      <c r="Q72" s="109"/>
      <c r="R72" s="109"/>
      <c r="S72" s="109"/>
    </row>
    <row r="73" spans="1:20" x14ac:dyDescent="0.2">
      <c r="M73" s="109"/>
      <c r="N73" s="109"/>
      <c r="O73" s="109"/>
      <c r="P73" s="109"/>
      <c r="Q73" s="109"/>
      <c r="R73" s="109"/>
      <c r="S73" s="109"/>
    </row>
    <row r="74" spans="1:20" ht="18" customHeight="1" x14ac:dyDescent="0.2">
      <c r="C74" s="131"/>
      <c r="D74" s="164" t="s">
        <v>112</v>
      </c>
      <c r="E74" s="160"/>
      <c r="F74" s="160"/>
      <c r="G74" s="160"/>
      <c r="H74" s="160"/>
      <c r="I74" s="160"/>
      <c r="J74" s="160"/>
      <c r="K74" s="170"/>
      <c r="L74" s="170"/>
      <c r="M74" s="160"/>
      <c r="N74" s="160"/>
      <c r="O74" s="160"/>
      <c r="P74" s="160"/>
      <c r="Q74" s="160"/>
      <c r="R74" s="160"/>
      <c r="S74" s="160"/>
      <c r="T74" s="160"/>
    </row>
    <row r="75" spans="1:20" ht="15.75" customHeight="1" x14ac:dyDescent="0.2">
      <c r="B75" s="2"/>
      <c r="C75" s="2"/>
      <c r="D75" s="2"/>
      <c r="E75" s="2"/>
      <c r="F75" s="2"/>
      <c r="G75" s="2"/>
      <c r="H75" s="2"/>
      <c r="I75" s="2"/>
    </row>
    <row r="76" spans="1:20" ht="15.75" customHeight="1" thickBot="1" x14ac:dyDescent="0.3">
      <c r="B76" s="19"/>
      <c r="C76" s="92"/>
      <c r="D76" s="173"/>
      <c r="E76" s="156"/>
      <c r="F76" s="156"/>
      <c r="G76" s="156"/>
      <c r="H76" s="156"/>
      <c r="I76" s="156"/>
      <c r="J76" s="156"/>
      <c r="K76" s="156"/>
      <c r="M76" s="173" t="s">
        <v>113</v>
      </c>
      <c r="N76" s="156"/>
      <c r="O76" s="156"/>
      <c r="P76" s="156"/>
      <c r="Q76" s="156"/>
      <c r="R76" s="156"/>
      <c r="S76" s="156"/>
      <c r="T76" s="156"/>
    </row>
    <row r="77" spans="1:20" x14ac:dyDescent="0.2">
      <c r="B77" s="49"/>
      <c r="C77" s="175" t="s">
        <v>38</v>
      </c>
      <c r="D77" s="155">
        <v>2019</v>
      </c>
      <c r="E77" s="155">
        <v>2020</v>
      </c>
      <c r="F77" s="155">
        <v>2021</v>
      </c>
      <c r="G77" s="155">
        <v>2022</v>
      </c>
      <c r="H77" s="155">
        <v>2023</v>
      </c>
      <c r="I77" s="155">
        <v>2024</v>
      </c>
      <c r="J77" s="155">
        <v>2025</v>
      </c>
      <c r="K77" s="155" t="s">
        <v>36</v>
      </c>
      <c r="M77" s="155">
        <v>2019</v>
      </c>
      <c r="N77" s="155">
        <v>2020</v>
      </c>
      <c r="O77" s="155">
        <v>2021</v>
      </c>
      <c r="P77" s="155">
        <v>2022</v>
      </c>
      <c r="Q77" s="155">
        <v>2023</v>
      </c>
      <c r="R77" s="155">
        <v>2024</v>
      </c>
      <c r="S77" s="155">
        <v>2025</v>
      </c>
      <c r="T77" s="155" t="s">
        <v>36</v>
      </c>
    </row>
    <row r="78" spans="1:20" ht="12" customHeight="1" thickBot="1" x14ac:dyDescent="0.25">
      <c r="B78" s="84"/>
      <c r="C78" s="156"/>
      <c r="D78" s="156"/>
      <c r="E78" s="156"/>
      <c r="F78" s="156"/>
      <c r="G78" s="156"/>
      <c r="H78" s="156"/>
      <c r="I78" s="156"/>
      <c r="J78" s="156"/>
      <c r="K78" s="156"/>
      <c r="L78" s="114"/>
      <c r="M78" s="156"/>
      <c r="N78" s="156"/>
      <c r="O78" s="156"/>
      <c r="P78" s="156"/>
      <c r="Q78" s="156"/>
      <c r="R78" s="156"/>
      <c r="S78" s="156"/>
      <c r="T78" s="156"/>
    </row>
    <row r="79" spans="1:20" x14ac:dyDescent="0.2">
      <c r="B79" s="34" t="s">
        <v>39</v>
      </c>
      <c r="C79" s="76" t="s">
        <v>40</v>
      </c>
      <c r="D79" s="41">
        <f t="shared" ref="D79:K79" si="28">+SUM(D80:D86)</f>
        <v>220473.90619964822</v>
      </c>
      <c r="E79" s="41">
        <f t="shared" si="28"/>
        <v>264295.21205969894</v>
      </c>
      <c r="F79" s="41">
        <f t="shared" si="28"/>
        <v>280000.67557732883</v>
      </c>
      <c r="G79" s="41">
        <f t="shared" si="28"/>
        <v>231571.53683933921</v>
      </c>
      <c r="H79" s="41">
        <f t="shared" si="28"/>
        <v>266504.83324895473</v>
      </c>
      <c r="I79" s="41">
        <f t="shared" si="28"/>
        <v>276797.90722952568</v>
      </c>
      <c r="J79" s="41">
        <f t="shared" si="28"/>
        <v>299124.56841418921</v>
      </c>
      <c r="K79" s="41">
        <f t="shared" si="28"/>
        <v>147231.12524177693</v>
      </c>
      <c r="M79" s="46">
        <f t="shared" ref="M79:M99" si="29">+D79/D14*100</f>
        <v>94.404928151171006</v>
      </c>
      <c r="N79" s="46">
        <f t="shared" ref="N79:N99" si="30">+E79/E14*100</f>
        <v>84.157490334955327</v>
      </c>
      <c r="O79" s="46">
        <f t="shared" ref="O79:O99" si="31">+F79/F14*100</f>
        <v>94.087989696853697</v>
      </c>
      <c r="P79" s="46">
        <f t="shared" ref="P79:P99" si="32">+G79/G14*100</f>
        <v>89.117465327572646</v>
      </c>
      <c r="Q79" s="46">
        <f t="shared" ref="Q79:Q99" si="33">+H79/H14*100</f>
        <v>90.568481649866101</v>
      </c>
      <c r="R79" s="46">
        <f t="shared" ref="R79:R99" si="34">+I79/I14*100</f>
        <v>89.766984100901979</v>
      </c>
      <c r="S79" s="46">
        <f t="shared" ref="S79:S99" si="35">+J79/J14*100</f>
        <v>91.827964977156981</v>
      </c>
      <c r="T79" s="46">
        <f t="shared" ref="T79:T99" si="36">+K79/K14*100</f>
        <v>41.810905595315887</v>
      </c>
    </row>
    <row r="80" spans="1:20" x14ac:dyDescent="0.2">
      <c r="B80" s="40"/>
      <c r="C80" s="77" t="s">
        <v>92</v>
      </c>
      <c r="D80" s="42">
        <f>28930.3242307902*Deflactores!$T$5</f>
        <v>44996.625891143602</v>
      </c>
      <c r="E80" s="42">
        <f>29987.8604092728*Deflactores!$U$5</f>
        <v>45902.430036955477</v>
      </c>
      <c r="F80" s="42">
        <f>31805.4886393179*Deflactores!$V$5</f>
        <v>46094.181312825633</v>
      </c>
      <c r="G80" s="42">
        <f>35133.5886145727*Deflactores!$W$5</f>
        <v>45011.879640166168</v>
      </c>
      <c r="H80" s="42">
        <f>40712.2239028889*Deflactores!$X$5</f>
        <v>47729.707967238523</v>
      </c>
      <c r="I80" s="42">
        <f>46477.0791145016*Deflactores!$Y$5</f>
        <v>51794.904624283066</v>
      </c>
      <c r="J80" s="42">
        <f>52301.6159609008*Deflactores!$Z$5</f>
        <v>55457.001919959082</v>
      </c>
      <c r="K80" s="42">
        <f>27117.8530563159*Deflactores!$AA$5</f>
        <v>27117.8530563159</v>
      </c>
      <c r="M80" s="47">
        <f t="shared" si="29"/>
        <v>98.287463588295694</v>
      </c>
      <c r="N80" s="47">
        <f t="shared" si="30"/>
        <v>96.476834776136727</v>
      </c>
      <c r="O80" s="47">
        <f t="shared" si="31"/>
        <v>96.571812798125166</v>
      </c>
      <c r="P80" s="47">
        <f t="shared" si="32"/>
        <v>97.135570115112657</v>
      </c>
      <c r="Q80" s="47">
        <f t="shared" si="33"/>
        <v>95.603878854158921</v>
      </c>
      <c r="R80" s="47">
        <f t="shared" si="34"/>
        <v>97.197689509040998</v>
      </c>
      <c r="S80" s="47">
        <f t="shared" si="35"/>
        <v>96.978044858017853</v>
      </c>
      <c r="T80" s="47">
        <f t="shared" si="36"/>
        <v>43.320801650318842</v>
      </c>
    </row>
    <row r="81" spans="2:20" x14ac:dyDescent="0.2">
      <c r="B81" s="40"/>
      <c r="C81" s="77" t="s">
        <v>93</v>
      </c>
      <c r="D81" s="42">
        <f>7916.76693307716*Deflactores!$T$5</f>
        <v>12313.301334380491</v>
      </c>
      <c r="E81" s="42">
        <f>7830.61737594962*Deflactores!$U$5</f>
        <v>11986.329179208413</v>
      </c>
      <c r="F81" s="42">
        <f>8832.08523291498*Deflactores!$V$5</f>
        <v>12799.920878846267</v>
      </c>
      <c r="G81" s="42">
        <f>10918.0744858895*Deflactores!$W$5</f>
        <v>13987.841095668397</v>
      </c>
      <c r="H81" s="42">
        <f>11629.6451423471*Deflactores!$X$5</f>
        <v>13634.223660463147</v>
      </c>
      <c r="I81" s="42">
        <f>11110.7048443562*Deflactores!$Y$5</f>
        <v>12381.972118003234</v>
      </c>
      <c r="J81" s="42">
        <f>13886.6344887654*Deflactores!$Z$5</f>
        <v>14724.422971575983</v>
      </c>
      <c r="K81" s="42">
        <f>6764.85924653821*Deflactores!$AA$5</f>
        <v>6764.8592465382098</v>
      </c>
      <c r="L81" s="42"/>
      <c r="M81" s="47">
        <f t="shared" si="29"/>
        <v>88.733010350834917</v>
      </c>
      <c r="N81" s="47">
        <f t="shared" si="30"/>
        <v>87.170137193609364</v>
      </c>
      <c r="O81" s="47">
        <f t="shared" si="31"/>
        <v>88.228046988514791</v>
      </c>
      <c r="P81" s="47">
        <f t="shared" si="32"/>
        <v>87.151275716755023</v>
      </c>
      <c r="Q81" s="47">
        <f t="shared" si="33"/>
        <v>78.52623141384899</v>
      </c>
      <c r="R81" s="47">
        <f t="shared" si="34"/>
        <v>70.747485392212781</v>
      </c>
      <c r="S81" s="47">
        <f t="shared" si="35"/>
        <v>74.492863628810639</v>
      </c>
      <c r="T81" s="47">
        <f t="shared" si="36"/>
        <v>35.206900530198034</v>
      </c>
    </row>
    <row r="82" spans="2:20" x14ac:dyDescent="0.2">
      <c r="B82" s="40"/>
      <c r="C82" s="77" t="s">
        <v>58</v>
      </c>
      <c r="D82" s="42">
        <f>103909.33207771*Deflactores!$T$5</f>
        <v>161614.82687854467</v>
      </c>
      <c r="E82" s="42">
        <f>133619.23676565*Deflactores!$U$5</f>
        <v>204531.01966988161</v>
      </c>
      <c r="F82" s="42">
        <f>150390.836710539*Deflactores!$V$5</f>
        <v>217954.28373182213</v>
      </c>
      <c r="G82" s="42">
        <f>132938.086283949*Deflactores!$W$5</f>
        <v>170315.45524857604</v>
      </c>
      <c r="H82" s="42">
        <f>173020.915782757*Deflactores!$X$5</f>
        <v>202844.18267677005</v>
      </c>
      <c r="I82" s="42">
        <f>188855.069612431*Deflactores!$Y$5</f>
        <v>210463.53395594831</v>
      </c>
      <c r="J82" s="42">
        <f>213943.027469373*Deflactores!$Z$5</f>
        <v>226850.33085785614</v>
      </c>
      <c r="K82" s="42">
        <f>112954.639383968*Deflactores!$AA$5</f>
        <v>112954.63938396799</v>
      </c>
      <c r="L82" s="42"/>
      <c r="M82" s="47">
        <f t="shared" si="29"/>
        <v>93.829810849140443</v>
      </c>
      <c r="N82" s="47">
        <f t="shared" si="30"/>
        <v>81.574215932982838</v>
      </c>
      <c r="O82" s="47">
        <f t="shared" si="31"/>
        <v>94.00794488436388</v>
      </c>
      <c r="P82" s="47">
        <f t="shared" si="32"/>
        <v>87.324916827771091</v>
      </c>
      <c r="Q82" s="47">
        <f t="shared" si="33"/>
        <v>90.382844815238514</v>
      </c>
      <c r="R82" s="47">
        <f t="shared" si="34"/>
        <v>89.482475798369563</v>
      </c>
      <c r="S82" s="47">
        <f t="shared" si="35"/>
        <v>92.032821730604311</v>
      </c>
      <c r="T82" s="47">
        <f t="shared" si="36"/>
        <v>42.145214004255067</v>
      </c>
    </row>
    <row r="83" spans="2:20" x14ac:dyDescent="0.2">
      <c r="B83" s="40"/>
      <c r="C83" s="77" t="s">
        <v>94</v>
      </c>
      <c r="D83" s="42">
        <f>56.45194425434*Deflactores!$T$5</f>
        <v>87.80223118746737</v>
      </c>
      <c r="E83" s="42">
        <f>56.68118135849*Deflactores!$U$5</f>
        <v>86.761907192136547</v>
      </c>
      <c r="F83" s="42">
        <f>70.72593952125*Deflactores!$V$5</f>
        <v>102.49973885898308</v>
      </c>
      <c r="G83" s="42">
        <f>66.9975835885899*Deflactores!$W$5</f>
        <v>85.834874477375052</v>
      </c>
      <c r="H83" s="42">
        <f>83.32313846065*Deflactores!$X$5</f>
        <v>97.685380074715127</v>
      </c>
      <c r="I83" s="42">
        <f>95.11583335392*Deflactores!$Y$5</f>
        <v>105.99881943287474</v>
      </c>
      <c r="J83" s="42">
        <f>99.36330705232*Deflactores!$Z$5</f>
        <v>105.35795135074613</v>
      </c>
      <c r="K83" s="42">
        <f>24.96803613438*Deflactores!$AA$5</f>
        <v>24.96803613438</v>
      </c>
      <c r="L83" s="42"/>
      <c r="M83" s="47">
        <f t="shared" si="29"/>
        <v>79.166450040651014</v>
      </c>
      <c r="N83" s="47">
        <f t="shared" si="30"/>
        <v>81.950541272258292</v>
      </c>
      <c r="O83" s="47">
        <f t="shared" si="31"/>
        <v>79.712175658961897</v>
      </c>
      <c r="P83" s="47">
        <f t="shared" si="32"/>
        <v>77.584883170307833</v>
      </c>
      <c r="Q83" s="47">
        <f t="shared" si="33"/>
        <v>82.688576094165199</v>
      </c>
      <c r="R83" s="47">
        <f t="shared" si="34"/>
        <v>90.120544518011414</v>
      </c>
      <c r="S83" s="47">
        <f t="shared" si="35"/>
        <v>85.409007021584173</v>
      </c>
      <c r="T83" s="47">
        <f t="shared" si="36"/>
        <v>20.092153333886639</v>
      </c>
    </row>
    <row r="84" spans="2:20" x14ac:dyDescent="0.2">
      <c r="B84" s="40"/>
      <c r="C84" s="77" t="s">
        <v>95</v>
      </c>
      <c r="D84" s="42">
        <f>289.96309008*Deflactores!$T$5</f>
        <v>450.99254963356339</v>
      </c>
      <c r="E84" s="42">
        <f>319.153394823*Deflactores!$U$5</f>
        <v>488.52823032314643</v>
      </c>
      <c r="F84" s="42">
        <f>393.627104752729*Deflactores!$V$5</f>
        <v>570.46503331143333</v>
      </c>
      <c r="G84" s="42">
        <f>468.54035323696*Deflactores!$W$5</f>
        <v>600.27690930824326</v>
      </c>
      <c r="H84" s="42">
        <f>571.1550256005*Deflactores!$X$5</f>
        <v>669.60386740253921</v>
      </c>
      <c r="I84" s="42">
        <f>516.92552704158*Deflactores!$Y$5</f>
        <v>576.07123513538409</v>
      </c>
      <c r="J84" s="42">
        <f>521.325997017*Deflactores!$Z$5</f>
        <v>552.77788814612393</v>
      </c>
      <c r="K84" s="42">
        <f>10.190186332*Deflactores!$AA$5</f>
        <v>10.190186332</v>
      </c>
      <c r="L84" s="42"/>
      <c r="M84" s="47">
        <f t="shared" si="29"/>
        <v>99.690949687480639</v>
      </c>
      <c r="N84" s="47">
        <f t="shared" si="30"/>
        <v>99.732942558623535</v>
      </c>
      <c r="O84" s="47">
        <f t="shared" si="31"/>
        <v>83.049650133707701</v>
      </c>
      <c r="P84" s="47">
        <f t="shared" si="32"/>
        <v>99.346435919313066</v>
      </c>
      <c r="Q84" s="47">
        <f t="shared" si="33"/>
        <v>99.714712051225575</v>
      </c>
      <c r="R84" s="47">
        <f t="shared" si="34"/>
        <v>99.811485785454721</v>
      </c>
      <c r="S84" s="47">
        <f t="shared" si="35"/>
        <v>95.161625117832401</v>
      </c>
      <c r="T84" s="47">
        <f t="shared" si="36"/>
        <v>1.6262172599298776</v>
      </c>
    </row>
    <row r="85" spans="2:20" x14ac:dyDescent="0.2">
      <c r="B85" s="40"/>
      <c r="C85" s="77" t="s">
        <v>96</v>
      </c>
      <c r="D85" s="42">
        <f>242.43691582327*Deflactores!$T$5</f>
        <v>377.07296732928421</v>
      </c>
      <c r="E85" s="42">
        <f>226.287615511899*Deflactores!$U$5</f>
        <v>346.3785444343514</v>
      </c>
      <c r="F85" s="42">
        <f>419.767443770919*Deflactores!$V$5</f>
        <v>608.34898283810912</v>
      </c>
      <c r="G85" s="42">
        <f>344.82860338001*Deflactores!$W$5</f>
        <v>441.78190170387694</v>
      </c>
      <c r="H85" s="42">
        <f>434.60266397204*Deflactores!$X$5</f>
        <v>509.51425013403468</v>
      </c>
      <c r="I85" s="42">
        <f>324.60056403218*Deflactores!$Y$5</f>
        <v>361.74078869318259</v>
      </c>
      <c r="J85" s="42">
        <f>285.97555456361*Deflactores!$Z$5</f>
        <v>303.22862089675164</v>
      </c>
      <c r="K85" s="42">
        <f>161.20003950662*Deflactores!$AA$5</f>
        <v>161.20003950661999</v>
      </c>
      <c r="L85" s="42"/>
      <c r="M85" s="47">
        <f t="shared" si="29"/>
        <v>91.666391651712487</v>
      </c>
      <c r="N85" s="47">
        <f t="shared" si="30"/>
        <v>81.484492919214219</v>
      </c>
      <c r="O85" s="47">
        <f t="shared" si="31"/>
        <v>93.285046827819798</v>
      </c>
      <c r="P85" s="47">
        <f t="shared" si="32"/>
        <v>86.480507120605864</v>
      </c>
      <c r="Q85" s="47">
        <f t="shared" si="33"/>
        <v>90.563596975514784</v>
      </c>
      <c r="R85" s="47">
        <f t="shared" si="34"/>
        <v>94.735039437725661</v>
      </c>
      <c r="S85" s="47">
        <f t="shared" si="35"/>
        <v>85.549317980724666</v>
      </c>
      <c r="T85" s="47">
        <f t="shared" si="36"/>
        <v>44.601644023855002</v>
      </c>
    </row>
    <row r="86" spans="2:20" x14ac:dyDescent="0.2">
      <c r="B86" s="40"/>
      <c r="C86" s="77" t="s">
        <v>97</v>
      </c>
      <c r="D86" s="42">
        <f>407.16656279366*Deflactores!$T$5</f>
        <v>633.28434742913089</v>
      </c>
      <c r="E86" s="42">
        <f>623.09024636622*Deflactores!$U$5</f>
        <v>953.76449170380613</v>
      </c>
      <c r="F86" s="42">
        <f>1290.99380875652*Deflactores!$V$5</f>
        <v>1870.9758988263279</v>
      </c>
      <c r="G86" s="42">
        <f>880.814167572469*Deflactores!$W$5</f>
        <v>1128.4671694391138</v>
      </c>
      <c r="H86" s="42">
        <f>869.96187078198*Deflactores!$X$5</f>
        <v>1019.9154468717186</v>
      </c>
      <c r="I86" s="42">
        <f>999.34266134307*Deflactores!$Y$5</f>
        <v>1113.6856880296357</v>
      </c>
      <c r="J86" s="42">
        <f>1067.07119782311*Deflactores!$Z$5</f>
        <v>1131.4482044043909</v>
      </c>
      <c r="K86" s="42">
        <f>197.41529298181*Deflactores!$AA$5</f>
        <v>197.41529298181001</v>
      </c>
      <c r="L86" s="42"/>
      <c r="M86" s="47">
        <f t="shared" si="29"/>
        <v>95.077538900167596</v>
      </c>
      <c r="N86" s="47">
        <f t="shared" si="30"/>
        <v>98.491865681117304</v>
      </c>
      <c r="O86" s="47">
        <f t="shared" si="31"/>
        <v>91.626215736724987</v>
      </c>
      <c r="P86" s="47">
        <f t="shared" si="32"/>
        <v>94.174209005260565</v>
      </c>
      <c r="Q86" s="47">
        <f t="shared" si="33"/>
        <v>85.655179431315361</v>
      </c>
      <c r="R86" s="47">
        <f t="shared" si="34"/>
        <v>86.717931188385165</v>
      </c>
      <c r="S86" s="47">
        <f t="shared" si="35"/>
        <v>90.806704104567757</v>
      </c>
      <c r="T86" s="47">
        <f t="shared" si="36"/>
        <v>16.477695641960207</v>
      </c>
    </row>
    <row r="87" spans="2:20" x14ac:dyDescent="0.2">
      <c r="B87" s="34" t="s">
        <v>41</v>
      </c>
      <c r="C87" s="76" t="s">
        <v>42</v>
      </c>
      <c r="D87" s="41">
        <f t="shared" ref="D87:K87" si="37">+D88+D92</f>
        <v>80184.865557463592</v>
      </c>
      <c r="E87" s="41">
        <f t="shared" si="37"/>
        <v>69307.82771116076</v>
      </c>
      <c r="F87" s="41">
        <f t="shared" si="37"/>
        <v>79117.766608239093</v>
      </c>
      <c r="G87" s="41">
        <f t="shared" si="37"/>
        <v>88102.932149773987</v>
      </c>
      <c r="H87" s="41">
        <f t="shared" si="37"/>
        <v>87982.03196645822</v>
      </c>
      <c r="I87" s="41">
        <f t="shared" si="37"/>
        <v>92256.522652724962</v>
      </c>
      <c r="J87" s="41">
        <f t="shared" si="37"/>
        <v>110761.28456322767</v>
      </c>
      <c r="K87" s="41">
        <f t="shared" si="37"/>
        <v>49425.048264436286</v>
      </c>
      <c r="L87" s="71"/>
      <c r="M87" s="46">
        <f t="shared" si="29"/>
        <v>99.270037157022259</v>
      </c>
      <c r="N87" s="46">
        <f t="shared" si="30"/>
        <v>84.455072681777693</v>
      </c>
      <c r="O87" s="46">
        <f t="shared" si="31"/>
        <v>77.415396442815947</v>
      </c>
      <c r="P87" s="46">
        <f t="shared" si="32"/>
        <v>95.981057138023701</v>
      </c>
      <c r="Q87" s="46">
        <f t="shared" si="33"/>
        <v>95.667101454170478</v>
      </c>
      <c r="R87" s="46">
        <f t="shared" si="34"/>
        <v>87.664908838561487</v>
      </c>
      <c r="S87" s="46">
        <f t="shared" si="35"/>
        <v>92.765888849015838</v>
      </c>
      <c r="T87" s="46">
        <f t="shared" si="36"/>
        <v>49.203774722771435</v>
      </c>
    </row>
    <row r="88" spans="2:20" x14ac:dyDescent="0.2">
      <c r="B88" s="34"/>
      <c r="C88" s="76" t="s">
        <v>43</v>
      </c>
      <c r="D88" s="41">
        <f>+SUM(D89:D91)</f>
        <v>21926.039621444277</v>
      </c>
      <c r="E88" s="41">
        <f>+SUM(E89:E91)</f>
        <v>22728.52175071188</v>
      </c>
      <c r="F88" s="41">
        <f t="shared" ref="F88:K88" si="38">(+SUM(F89:F91))</f>
        <v>29430.894855465744</v>
      </c>
      <c r="G88" s="41">
        <f t="shared" si="38"/>
        <v>19438.081214496335</v>
      </c>
      <c r="H88" s="41">
        <f t="shared" si="38"/>
        <v>29229.471003748546</v>
      </c>
      <c r="I88" s="41">
        <f t="shared" si="38"/>
        <v>35595.738836550736</v>
      </c>
      <c r="J88" s="41">
        <f t="shared" si="38"/>
        <v>50768.289815977427</v>
      </c>
      <c r="K88" s="41">
        <f t="shared" si="38"/>
        <v>14576.990337070189</v>
      </c>
      <c r="L88" s="71"/>
      <c r="M88" s="46">
        <f t="shared" si="29"/>
        <v>97.913486747181366</v>
      </c>
      <c r="N88" s="46">
        <f t="shared" si="30"/>
        <v>99.032710760723859</v>
      </c>
      <c r="O88" s="46">
        <f t="shared" si="31"/>
        <v>80.563045668736265</v>
      </c>
      <c r="P88" s="46">
        <f t="shared" si="32"/>
        <v>90.38419877922459</v>
      </c>
      <c r="Q88" s="46">
        <f t="shared" si="33"/>
        <v>93.925312356068375</v>
      </c>
      <c r="R88" s="46">
        <f t="shared" si="34"/>
        <v>85.725266815904774</v>
      </c>
      <c r="S88" s="46">
        <f t="shared" si="35"/>
        <v>88.965244172566955</v>
      </c>
      <c r="T88" s="46">
        <f t="shared" si="36"/>
        <v>37.954937399661155</v>
      </c>
    </row>
    <row r="89" spans="2:20" x14ac:dyDescent="0.2">
      <c r="B89" s="32"/>
      <c r="C89" s="77" t="s">
        <v>98</v>
      </c>
      <c r="D89" s="42">
        <f>7910.47617477022*Deflactores!$T$5</f>
        <v>12303.517036912863</v>
      </c>
      <c r="E89" s="42">
        <f>6388.91910730776*Deflactores!$U$5</f>
        <v>9779.5210572701926</v>
      </c>
      <c r="F89" s="42">
        <f>10847.4859933545*Deflactores!$V$5</f>
        <v>15720.745303938267</v>
      </c>
      <c r="G89" s="42">
        <f>4196.92598344154*Deflactores!$W$5</f>
        <v>5376.9493716619645</v>
      </c>
      <c r="H89" s="42">
        <f>12570.0240204341*Deflactores!$X$5</f>
        <v>14736.693752411797</v>
      </c>
      <c r="I89" s="42">
        <f>16973.3873916283*Deflactores!$Y$5</f>
        <v>18915.452473563306</v>
      </c>
      <c r="J89" s="42">
        <f>31951.3541477027*Deflactores!$Z$5</f>
        <v>33878.997345685893</v>
      </c>
      <c r="K89" s="42">
        <f>7222.90397051665*Deflactores!$AA$5</f>
        <v>7222.9039705166497</v>
      </c>
      <c r="L89" s="42"/>
      <c r="M89" s="47">
        <f t="shared" si="29"/>
        <v>99.388399633902537</v>
      </c>
      <c r="N89" s="47">
        <f t="shared" si="30"/>
        <v>98.433201721859902</v>
      </c>
      <c r="O89" s="47">
        <f t="shared" si="31"/>
        <v>75.917390481882123</v>
      </c>
      <c r="P89" s="47">
        <f t="shared" si="32"/>
        <v>96.760553481122784</v>
      </c>
      <c r="Q89" s="47">
        <f t="shared" si="33"/>
        <v>95.285042047852386</v>
      </c>
      <c r="R89" s="47">
        <f t="shared" si="34"/>
        <v>87.000273850086685</v>
      </c>
      <c r="S89" s="47">
        <f t="shared" si="35"/>
        <v>92.714856987671055</v>
      </c>
      <c r="T89" s="47">
        <f t="shared" si="36"/>
        <v>41.81604326649321</v>
      </c>
    </row>
    <row r="90" spans="2:20" x14ac:dyDescent="0.2">
      <c r="B90" s="32"/>
      <c r="C90" s="77" t="s">
        <v>61</v>
      </c>
      <c r="D90" s="42">
        <f>6110.39162561193*Deflactores!$T$5</f>
        <v>9503.7651093247678</v>
      </c>
      <c r="E90" s="42">
        <f>8217.53210757637*Deflactores!$U$5</f>
        <v>12578.579715137696</v>
      </c>
      <c r="F90" s="42">
        <f>9332.39927500143*Deflactores!$V$5</f>
        <v>13525.002214046279</v>
      </c>
      <c r="G90" s="42">
        <f>10879.5959443922*Deflactores!$W$5</f>
        <v>13938.543783697049</v>
      </c>
      <c r="H90" s="42">
        <f>12281.4127979816*Deflactores!$X$5</f>
        <v>14398.335194633573</v>
      </c>
      <c r="I90" s="42">
        <f>14870.5876881979*Deflactores!$Y$5</f>
        <v>16572.054132741898</v>
      </c>
      <c r="J90" s="42">
        <f>15711.6153676201*Deflactores!$Z$5</f>
        <v>16659.505975095297</v>
      </c>
      <c r="K90" s="42">
        <f>7299.28402648375*Deflactores!$AA$5</f>
        <v>7299.2840264837496</v>
      </c>
      <c r="L90" s="42"/>
      <c r="M90" s="47">
        <f t="shared" si="29"/>
        <v>96.817670243193476</v>
      </c>
      <c r="N90" s="47">
        <f t="shared" si="30"/>
        <v>99.773939366644953</v>
      </c>
      <c r="O90" s="47">
        <f t="shared" si="31"/>
        <v>86.762291864065872</v>
      </c>
      <c r="P90" s="47">
        <f t="shared" si="32"/>
        <v>88.430494290039277</v>
      </c>
      <c r="Q90" s="47">
        <f t="shared" si="33"/>
        <v>93.025474680170845</v>
      </c>
      <c r="R90" s="47">
        <f t="shared" si="34"/>
        <v>84.873182322204244</v>
      </c>
      <c r="S90" s="47">
        <f t="shared" si="35"/>
        <v>83.663837569783212</v>
      </c>
      <c r="T90" s="47">
        <f t="shared" si="36"/>
        <v>36.520044229682838</v>
      </c>
    </row>
    <row r="91" spans="2:20" x14ac:dyDescent="0.2">
      <c r="B91" s="32"/>
      <c r="C91" s="77" t="s">
        <v>103</v>
      </c>
      <c r="D91" s="42">
        <f>76.35444201683*Deflactores!$T$5</f>
        <v>118.75747520664665</v>
      </c>
      <c r="E91" s="42">
        <f>241.99443430562*Deflactores!$U$5</f>
        <v>370.42097830399069</v>
      </c>
      <c r="F91" s="42">
        <f>127.753685414079*Deflactores!$V$5</f>
        <v>185.1473374811994</v>
      </c>
      <c r="G91" s="42">
        <f>95.68492747293*Deflactores!$W$5</f>
        <v>122.58805913732124</v>
      </c>
      <c r="H91" s="42">
        <f>80.5566663216999*Deflactores!$X$5</f>
        <v>94.442056703175595</v>
      </c>
      <c r="I91" s="42">
        <f>97.1199380392699*Deflactores!$Y$5</f>
        <v>108.23223024552603</v>
      </c>
      <c r="J91" s="42">
        <f>216.71213027528*Deflactores!$Z$5</f>
        <v>229.78649519623053</v>
      </c>
      <c r="K91" s="42">
        <f>54.8023400697899*Deflactores!$AA$5</f>
        <v>54.802340069789899</v>
      </c>
      <c r="L91" s="42"/>
      <c r="M91" s="47">
        <f t="shared" si="29"/>
        <v>60.008037986718321</v>
      </c>
      <c r="N91" s="47">
        <f t="shared" si="30"/>
        <v>90.732763379105563</v>
      </c>
      <c r="O91" s="47">
        <f t="shared" si="31"/>
        <v>78.707196030640432</v>
      </c>
      <c r="P91" s="47">
        <f t="shared" si="32"/>
        <v>65.572336683188809</v>
      </c>
      <c r="Q91" s="47">
        <f t="shared" si="33"/>
        <v>53.610783607904445</v>
      </c>
      <c r="R91" s="47">
        <f t="shared" si="34"/>
        <v>42.353433910073853</v>
      </c>
      <c r="S91" s="47">
        <f t="shared" si="35"/>
        <v>37.558633518332343</v>
      </c>
      <c r="T91" s="47">
        <f t="shared" si="36"/>
        <v>4.7823144831068127</v>
      </c>
    </row>
    <row r="92" spans="2:20" x14ac:dyDescent="0.2">
      <c r="B92" s="34"/>
      <c r="C92" s="76" t="s">
        <v>44</v>
      </c>
      <c r="D92" s="41">
        <f t="shared" ref="D92:K92" si="39">+SUM(D93:D96)</f>
        <v>58258.825936019311</v>
      </c>
      <c r="E92" s="41">
        <f t="shared" si="39"/>
        <v>46579.305960448888</v>
      </c>
      <c r="F92" s="41">
        <f t="shared" si="39"/>
        <v>49686.871752773353</v>
      </c>
      <c r="G92" s="41">
        <f t="shared" si="39"/>
        <v>68664.850935277645</v>
      </c>
      <c r="H92" s="41">
        <f t="shared" si="39"/>
        <v>58752.560962709678</v>
      </c>
      <c r="I92" s="41">
        <f t="shared" si="39"/>
        <v>56660.783816174218</v>
      </c>
      <c r="J92" s="41">
        <f t="shared" si="39"/>
        <v>59992.994747250254</v>
      </c>
      <c r="K92" s="41">
        <f t="shared" si="39"/>
        <v>34848.057927366099</v>
      </c>
      <c r="L92" s="71"/>
      <c r="M92" s="46">
        <f t="shared" si="29"/>
        <v>99.790369133788019</v>
      </c>
      <c r="N92" s="46">
        <f t="shared" si="30"/>
        <v>78.795445917679956</v>
      </c>
      <c r="O92" s="46">
        <f t="shared" si="31"/>
        <v>75.664326728468126</v>
      </c>
      <c r="P92" s="46">
        <f t="shared" si="32"/>
        <v>97.693581449597602</v>
      </c>
      <c r="Q92" s="46">
        <f t="shared" si="33"/>
        <v>96.5579318536399</v>
      </c>
      <c r="R92" s="46">
        <f t="shared" si="34"/>
        <v>88.928979883116781</v>
      </c>
      <c r="S92" s="46">
        <f t="shared" si="35"/>
        <v>96.245322159843852</v>
      </c>
      <c r="T92" s="46">
        <f t="shared" si="36"/>
        <v>56.166989469625662</v>
      </c>
    </row>
    <row r="93" spans="2:20" x14ac:dyDescent="0.2">
      <c r="B93" s="32"/>
      <c r="C93" s="77" t="s">
        <v>98</v>
      </c>
      <c r="D93" s="42">
        <f>17912.4359059928*Deflactores!$T$5</f>
        <v>27860.011897247612</v>
      </c>
      <c r="E93" s="42">
        <f>8621.15428168121*Deflactores!$U$5</f>
        <v>13196.404340014313</v>
      </c>
      <c r="F93" s="42">
        <f>10355.5871017508*Deflactores!$V$5</f>
        <v>15007.859645922319</v>
      </c>
      <c r="G93" s="42">
        <f>25458.9737706393*Deflactores!$W$5</f>
        <v>32617.113944655346</v>
      </c>
      <c r="H93" s="42">
        <f>17051.1250393413*Deflactores!$X$5</f>
        <v>19990.19313172128</v>
      </c>
      <c r="I93" s="42">
        <f>8643.83614344078*Deflactores!$Y$5</f>
        <v>9632.8486464149228</v>
      </c>
      <c r="J93" s="42">
        <f>10247.7990207593*Deflactores!$Z$5</f>
        <v>10866.054509567301</v>
      </c>
      <c r="K93" s="42">
        <f>603.79060194526*Deflactores!$AA$5</f>
        <v>603.79060194526005</v>
      </c>
      <c r="L93" s="42"/>
      <c r="M93" s="47">
        <f t="shared" si="29"/>
        <v>99.855465757506934</v>
      </c>
      <c r="N93" s="47">
        <f t="shared" si="30"/>
        <v>52.860247248738901</v>
      </c>
      <c r="O93" s="47">
        <f t="shared" si="31"/>
        <v>51.644099692267474</v>
      </c>
      <c r="P93" s="47">
        <f t="shared" si="32"/>
        <v>95.963456435145957</v>
      </c>
      <c r="Q93" s="47">
        <f t="shared" si="33"/>
        <v>97.46958516518967</v>
      </c>
      <c r="R93" s="47">
        <f t="shared" si="34"/>
        <v>62.08735476138628</v>
      </c>
      <c r="S93" s="47">
        <f t="shared" si="35"/>
        <v>98.68192570549499</v>
      </c>
      <c r="T93" s="47">
        <f t="shared" si="36"/>
        <v>5.8377446865291578</v>
      </c>
    </row>
    <row r="94" spans="2:20" x14ac:dyDescent="0.2">
      <c r="B94" s="32"/>
      <c r="C94" s="77" t="s">
        <v>61</v>
      </c>
      <c r="D94" s="42">
        <f>18932.2539580717*Deflactores!$T$5</f>
        <v>29446.180479402337</v>
      </c>
      <c r="E94" s="42">
        <f>20925.9314488055*Deflactores!$U$5</f>
        <v>32031.331718147543</v>
      </c>
      <c r="F94" s="42">
        <f>22982.8898455461*Deflactores!$V$5</f>
        <v>33308.008678844824</v>
      </c>
      <c r="G94" s="42">
        <f>26772.9866756672*Deflactores!$W$5</f>
        <v>34300.579626900188</v>
      </c>
      <c r="H94" s="42">
        <f>28965.9060578736*Deflactores!$X$5</f>
        <v>33958.700965256496</v>
      </c>
      <c r="I94" s="42">
        <f>40687.9987502948*Deflactores!$Y$5</f>
        <v>45343.447883903602</v>
      </c>
      <c r="J94" s="42">
        <f>44845.9790189781*Deflactores!$Z$5</f>
        <v>47551.562200623805</v>
      </c>
      <c r="K94" s="42">
        <f>34206.8318239497*Deflactores!$AA$5</f>
        <v>34206.831823949702</v>
      </c>
      <c r="L94" s="42"/>
      <c r="M94" s="47">
        <f t="shared" si="29"/>
        <v>99.946518272929026</v>
      </c>
      <c r="N94" s="47">
        <f t="shared" si="30"/>
        <v>97.874516352881813</v>
      </c>
      <c r="O94" s="47">
        <f t="shared" si="31"/>
        <v>95.211150041984567</v>
      </c>
      <c r="P94" s="47">
        <f t="shared" si="32"/>
        <v>99.679241197332885</v>
      </c>
      <c r="Q94" s="47">
        <f t="shared" si="33"/>
        <v>96.068196647084832</v>
      </c>
      <c r="R94" s="47">
        <f t="shared" si="34"/>
        <v>97.975595653713626</v>
      </c>
      <c r="S94" s="47">
        <f t="shared" si="35"/>
        <v>97.068819139431966</v>
      </c>
      <c r="T94" s="47">
        <f t="shared" si="36"/>
        <v>70.128254255892557</v>
      </c>
    </row>
    <row r="95" spans="2:20" x14ac:dyDescent="0.2">
      <c r="B95" s="32"/>
      <c r="C95" s="77" t="s">
        <v>103</v>
      </c>
      <c r="D95" s="42">
        <f>122.65431899327*Deflactores!$T$5</f>
        <v>190.76974255958459</v>
      </c>
      <c r="E95" s="42">
        <f>109.97481267391*Deflactores!$U$5</f>
        <v>168.33849016552276</v>
      </c>
      <c r="F95" s="42">
        <f>111.64504218452*Deflactores!$V$5</f>
        <v>161.80184733177225</v>
      </c>
      <c r="G95" s="42">
        <f>128.07581098297*Deflactores!$W$5</f>
        <v>164.08608445967121</v>
      </c>
      <c r="H95" s="42">
        <f>144.94604767359*Deflactores!$X$5</f>
        <v>169.9301060774273</v>
      </c>
      <c r="I95" s="42">
        <f>84.5181420773*Deflactores!$Y$5</f>
        <v>94.188558991209803</v>
      </c>
      <c r="J95" s="42">
        <f>98.92710023622*Deflactores!$Z$5</f>
        <v>104.89542793166017</v>
      </c>
      <c r="K95" s="42">
        <f>37.43550147114*Deflactores!$AA$5</f>
        <v>37.43550147114</v>
      </c>
      <c r="L95" s="42"/>
      <c r="M95" s="47">
        <f t="shared" si="29"/>
        <v>75.776489297530475</v>
      </c>
      <c r="N95" s="47">
        <f t="shared" si="30"/>
        <v>70.335114702012561</v>
      </c>
      <c r="O95" s="47">
        <f t="shared" si="31"/>
        <v>39.00451729157173</v>
      </c>
      <c r="P95" s="47">
        <f t="shared" si="32"/>
        <v>54.197124451600921</v>
      </c>
      <c r="Q95" s="47">
        <f t="shared" si="33"/>
        <v>49.103939795759707</v>
      </c>
      <c r="R95" s="47">
        <f t="shared" si="34"/>
        <v>28.628382392552282</v>
      </c>
      <c r="S95" s="47">
        <f t="shared" si="35"/>
        <v>33.556239829056395</v>
      </c>
      <c r="T95" s="47">
        <f t="shared" si="36"/>
        <v>14.513896765854595</v>
      </c>
    </row>
    <row r="96" spans="2:20" x14ac:dyDescent="0.2">
      <c r="B96" s="32"/>
      <c r="C96" s="77" t="s">
        <v>104</v>
      </c>
      <c r="D96" s="42">
        <f>489.836*Deflactores!$T$5</f>
        <v>761.86381680977763</v>
      </c>
      <c r="E96" s="42">
        <f>773*Deflactores!$U$5</f>
        <v>1183.2314121215102</v>
      </c>
      <c r="F96" s="42">
        <f>834.3623*Deflactores!$V$5</f>
        <v>1209.2015806744421</v>
      </c>
      <c r="G96" s="42">
        <f>1235.65102185869*Deflactores!$W$5</f>
        <v>1583.071279262434</v>
      </c>
      <c r="H96" s="42">
        <f>3952.45930680297*Deflactores!$X$5</f>
        <v>4633.7367596544718</v>
      </c>
      <c r="I96" s="42">
        <f>1427.021447*Deflactores!$Y$5</f>
        <v>1590.2987268644761</v>
      </c>
      <c r="J96" s="42">
        <f>1386.815262945*Deflactores!$Z$5</f>
        <v>1470.4826091274908</v>
      </c>
      <c r="K96" s="42">
        <f>0*Deflactores!$AA$5</f>
        <v>0</v>
      </c>
      <c r="L96" s="42"/>
      <c r="M96" s="47">
        <f t="shared" si="29"/>
        <v>99.306648069156793</v>
      </c>
      <c r="N96" s="47">
        <f t="shared" si="30"/>
        <v>100</v>
      </c>
      <c r="O96" s="47">
        <f t="shared" si="31"/>
        <v>100</v>
      </c>
      <c r="P96" s="47">
        <f t="shared" si="32"/>
        <v>99.996516138476764</v>
      </c>
      <c r="Q96" s="47">
        <f t="shared" si="33"/>
        <v>99.796262294490973</v>
      </c>
      <c r="R96" s="47">
        <f t="shared" si="34"/>
        <v>100</v>
      </c>
      <c r="S96" s="47">
        <f t="shared" si="35"/>
        <v>72.718630119689493</v>
      </c>
      <c r="T96" s="47">
        <f t="shared" si="36"/>
        <v>0</v>
      </c>
    </row>
    <row r="97" spans="2:21" x14ac:dyDescent="0.2">
      <c r="B97" s="34" t="s">
        <v>45</v>
      </c>
      <c r="C97" s="76" t="s">
        <v>46</v>
      </c>
      <c r="D97" s="41">
        <f>25313.31533228*Deflactores!$T$5</f>
        <v>39370.930342319276</v>
      </c>
      <c r="E97" s="41">
        <f>28600.6394548803*Deflactores!$U$5</f>
        <v>43779.010361935572</v>
      </c>
      <c r="F97" s="41">
        <f>38269.5755933448*Deflactores!$V$5</f>
        <v>55462.274960424969</v>
      </c>
      <c r="G97" s="41">
        <f>47226.7104513753*Deflactores!$W$5</f>
        <v>60505.148789627463</v>
      </c>
      <c r="H97" s="41">
        <f>51035.865060861*Deflactores!$X$5</f>
        <v>59832.814366041937</v>
      </c>
      <c r="I97" s="41">
        <f>41418.2077791406*Deflactores!$Y$5</f>
        <v>46157.206143360527</v>
      </c>
      <c r="J97" s="41">
        <f>39620.1741007452*Deflactores!$Z$5</f>
        <v>42010.481527314871</v>
      </c>
      <c r="K97" s="41">
        <f>23272.9260235513*Deflactores!$AA$5</f>
        <v>23272.926023551299</v>
      </c>
      <c r="L97" s="71"/>
      <c r="M97" s="46">
        <f t="shared" si="29"/>
        <v>75.631619622661262</v>
      </c>
      <c r="N97" s="46">
        <f t="shared" si="30"/>
        <v>80.264273640591213</v>
      </c>
      <c r="O97" s="46">
        <f t="shared" si="31"/>
        <v>77.504082492170696</v>
      </c>
      <c r="P97" s="46">
        <f t="shared" si="32"/>
        <v>79.652085086971098</v>
      </c>
      <c r="Q97" s="46">
        <f t="shared" si="33"/>
        <v>70.928051573260149</v>
      </c>
      <c r="R97" s="46">
        <f t="shared" si="34"/>
        <v>53.73009629591207</v>
      </c>
      <c r="S97" s="46">
        <f t="shared" si="35"/>
        <v>61.58341473919495</v>
      </c>
      <c r="T97" s="46">
        <f t="shared" si="36"/>
        <v>31.6596702936634</v>
      </c>
    </row>
    <row r="98" spans="2:21" x14ac:dyDescent="0.2">
      <c r="B98" s="36" t="s">
        <v>47</v>
      </c>
      <c r="C98" s="78" t="s">
        <v>48</v>
      </c>
      <c r="D98" s="43">
        <f t="shared" ref="D98:K98" si="40">+D79+D97</f>
        <v>259844.8365419675</v>
      </c>
      <c r="E98" s="43">
        <f t="shared" si="40"/>
        <v>308074.22242163453</v>
      </c>
      <c r="F98" s="43">
        <f t="shared" si="40"/>
        <v>335462.95053775382</v>
      </c>
      <c r="G98" s="43">
        <f t="shared" si="40"/>
        <v>292076.68562896666</v>
      </c>
      <c r="H98" s="43">
        <f t="shared" si="40"/>
        <v>326337.64761499665</v>
      </c>
      <c r="I98" s="43">
        <f t="shared" si="40"/>
        <v>322955.1133728862</v>
      </c>
      <c r="J98" s="43">
        <f t="shared" si="40"/>
        <v>341135.04994150408</v>
      </c>
      <c r="K98" s="43">
        <f t="shared" si="40"/>
        <v>170504.05126532822</v>
      </c>
      <c r="L98" s="71"/>
      <c r="M98" s="48">
        <f t="shared" si="29"/>
        <v>90.983088319626759</v>
      </c>
      <c r="N98" s="48">
        <f t="shared" si="30"/>
        <v>83.581379015369862</v>
      </c>
      <c r="O98" s="48">
        <f t="shared" si="31"/>
        <v>90.873209648279357</v>
      </c>
      <c r="P98" s="48">
        <f t="shared" si="32"/>
        <v>86.97636214750375</v>
      </c>
      <c r="Q98" s="48">
        <f t="shared" si="33"/>
        <v>86.192507653798728</v>
      </c>
      <c r="R98" s="48">
        <f t="shared" si="34"/>
        <v>81.914818002567628</v>
      </c>
      <c r="S98" s="48">
        <f t="shared" si="35"/>
        <v>86.590911694030225</v>
      </c>
      <c r="T98" s="48">
        <f t="shared" si="36"/>
        <v>40.05776978963376</v>
      </c>
    </row>
    <row r="99" spans="2:21" x14ac:dyDescent="0.2">
      <c r="B99" s="38" t="s">
        <v>49</v>
      </c>
      <c r="C99" s="79" t="s">
        <v>63</v>
      </c>
      <c r="D99" s="44">
        <f t="shared" ref="D99:K99" si="41">+D79+D87+D97</f>
        <v>340029.70209943107</v>
      </c>
      <c r="E99" s="44">
        <f t="shared" si="41"/>
        <v>377382.0501327953</v>
      </c>
      <c r="F99" s="44">
        <f t="shared" si="41"/>
        <v>414580.71714599291</v>
      </c>
      <c r="G99" s="44">
        <f t="shared" si="41"/>
        <v>380179.61777874071</v>
      </c>
      <c r="H99" s="44">
        <f t="shared" si="41"/>
        <v>414319.67958145484</v>
      </c>
      <c r="I99" s="44">
        <f t="shared" si="41"/>
        <v>415211.63602561114</v>
      </c>
      <c r="J99" s="44">
        <f t="shared" si="41"/>
        <v>451896.33450473176</v>
      </c>
      <c r="K99" s="44">
        <f t="shared" si="41"/>
        <v>219929.0995297645</v>
      </c>
      <c r="L99" s="71"/>
      <c r="M99" s="45">
        <f t="shared" si="29"/>
        <v>92.810125491866941</v>
      </c>
      <c r="N99" s="45">
        <f t="shared" si="30"/>
        <v>83.740478925913365</v>
      </c>
      <c r="O99" s="45">
        <f t="shared" si="31"/>
        <v>87.955285376007026</v>
      </c>
      <c r="P99" s="45">
        <f t="shared" si="32"/>
        <v>88.909365109862122</v>
      </c>
      <c r="Q99" s="45">
        <f t="shared" si="33"/>
        <v>88.04414917419308</v>
      </c>
      <c r="R99" s="45">
        <f t="shared" si="34"/>
        <v>83.12629425484343</v>
      </c>
      <c r="S99" s="45">
        <f t="shared" si="35"/>
        <v>88.027104096659869</v>
      </c>
      <c r="T99" s="45">
        <f t="shared" si="36"/>
        <v>41.804057729377348</v>
      </c>
    </row>
    <row r="100" spans="2:21" s="5" customFormat="1" x14ac:dyDescent="0.2">
      <c r="B100" s="72" t="str">
        <f>+'C1 Aprop Resumen 2000-2026'!B20</f>
        <v>* Información con corte a 30 de Junio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1" x14ac:dyDescent="0.2">
      <c r="B101" s="1" t="s">
        <v>52</v>
      </c>
      <c r="M101" s="109"/>
      <c r="N101" s="109"/>
      <c r="O101" s="109"/>
      <c r="P101" s="109"/>
      <c r="Q101" s="109"/>
      <c r="R101" s="109"/>
      <c r="S101" s="109"/>
    </row>
    <row r="102" spans="2:21" x14ac:dyDescent="0.2">
      <c r="M102" s="109"/>
      <c r="N102" s="109"/>
      <c r="O102" s="109"/>
      <c r="P102" s="109"/>
      <c r="Q102" s="109"/>
      <c r="R102" s="109"/>
      <c r="S102" s="109"/>
    </row>
    <row r="103" spans="2:21" x14ac:dyDescent="0.2">
      <c r="M103" s="109"/>
      <c r="N103" s="109"/>
      <c r="O103" s="109"/>
      <c r="P103" s="109"/>
      <c r="Q103" s="109"/>
      <c r="R103" s="109"/>
      <c r="S103" s="109"/>
    </row>
    <row r="104" spans="2:21" x14ac:dyDescent="0.2">
      <c r="M104" s="109"/>
      <c r="N104" s="109"/>
      <c r="O104" s="109"/>
      <c r="P104" s="109"/>
      <c r="Q104" s="109"/>
      <c r="R104" s="109"/>
      <c r="S104" s="109"/>
    </row>
    <row r="105" spans="2:21" x14ac:dyDescent="0.2">
      <c r="M105" s="109"/>
      <c r="N105" s="109"/>
      <c r="O105" s="109"/>
      <c r="P105" s="109"/>
      <c r="Q105" s="109"/>
      <c r="R105" s="109"/>
      <c r="S105" s="109"/>
    </row>
    <row r="106" spans="2:21" x14ac:dyDescent="0.2">
      <c r="M106" s="109"/>
      <c r="N106" s="109"/>
      <c r="O106" s="109"/>
      <c r="P106" s="109"/>
      <c r="Q106" s="109"/>
      <c r="R106" s="109"/>
      <c r="S106" s="109"/>
    </row>
    <row r="107" spans="2:21" ht="18" customHeight="1" x14ac:dyDescent="0.2">
      <c r="C107" s="131"/>
      <c r="D107" s="164" t="s">
        <v>114</v>
      </c>
      <c r="E107" s="160"/>
      <c r="F107" s="160"/>
      <c r="G107" s="160"/>
      <c r="H107" s="160"/>
      <c r="I107" s="160"/>
      <c r="J107" s="160"/>
      <c r="K107" s="170"/>
      <c r="L107" s="170"/>
      <c r="M107" s="160"/>
      <c r="N107" s="160"/>
      <c r="O107" s="160"/>
      <c r="P107" s="160"/>
      <c r="Q107" s="160"/>
      <c r="R107" s="160"/>
      <c r="S107" s="160"/>
      <c r="T107" s="160"/>
    </row>
    <row r="108" spans="2:21" x14ac:dyDescent="0.2">
      <c r="B108" s="159"/>
      <c r="C108" s="160"/>
      <c r="D108" s="160"/>
      <c r="E108" s="160"/>
      <c r="F108" s="160"/>
      <c r="G108" s="160"/>
      <c r="H108" s="160"/>
      <c r="I108" s="160"/>
    </row>
    <row r="109" spans="2:21" ht="12" customHeight="1" thickBot="1" x14ac:dyDescent="0.3">
      <c r="B109" s="19"/>
      <c r="C109" s="92"/>
      <c r="D109" s="173"/>
      <c r="E109" s="156"/>
      <c r="F109" s="156"/>
      <c r="G109" s="156"/>
      <c r="H109" s="156"/>
      <c r="I109" s="156"/>
      <c r="J109" s="156"/>
      <c r="K109" s="136"/>
      <c r="M109" s="173" t="s">
        <v>108</v>
      </c>
      <c r="N109" s="156"/>
      <c r="O109" s="156"/>
      <c r="P109" s="156"/>
      <c r="Q109" s="156"/>
      <c r="R109" s="156"/>
      <c r="S109" s="156"/>
      <c r="T109" s="156"/>
      <c r="U109" s="98"/>
    </row>
    <row r="110" spans="2:21" x14ac:dyDescent="0.2">
      <c r="B110" s="49"/>
      <c r="C110" s="175" t="s">
        <v>38</v>
      </c>
      <c r="D110" s="155">
        <v>2019</v>
      </c>
      <c r="E110" s="155">
        <v>2020</v>
      </c>
      <c r="F110" s="155">
        <v>2021</v>
      </c>
      <c r="G110" s="155">
        <v>2022</v>
      </c>
      <c r="H110" s="155">
        <v>2023</v>
      </c>
      <c r="I110" s="155">
        <v>2024</v>
      </c>
      <c r="J110" s="155">
        <v>2025</v>
      </c>
      <c r="K110" s="174" t="s">
        <v>36</v>
      </c>
      <c r="L110" s="114"/>
      <c r="M110" s="155">
        <v>2019</v>
      </c>
      <c r="N110" s="155">
        <v>2020</v>
      </c>
      <c r="O110" s="155">
        <v>2021</v>
      </c>
      <c r="P110" s="155">
        <v>2022</v>
      </c>
      <c r="Q110" s="155">
        <v>2023</v>
      </c>
      <c r="R110" s="155">
        <v>2024</v>
      </c>
      <c r="S110" s="155">
        <v>2025</v>
      </c>
      <c r="T110" s="155" t="s">
        <v>36</v>
      </c>
    </row>
    <row r="111" spans="2:21" ht="12" customHeight="1" thickBot="1" x14ac:dyDescent="0.25">
      <c r="B111" s="84"/>
      <c r="C111" s="156"/>
      <c r="D111" s="156"/>
      <c r="E111" s="156"/>
      <c r="F111" s="156"/>
      <c r="G111" s="156"/>
      <c r="H111" s="156"/>
      <c r="I111" s="156"/>
      <c r="J111" s="156"/>
      <c r="K111" s="156"/>
      <c r="M111" s="156"/>
      <c r="N111" s="156"/>
      <c r="O111" s="156"/>
      <c r="P111" s="156"/>
      <c r="Q111" s="156"/>
      <c r="R111" s="156"/>
      <c r="S111" s="156"/>
      <c r="T111" s="156"/>
    </row>
    <row r="112" spans="2:21" x14ac:dyDescent="0.2">
      <c r="B112" s="34" t="s">
        <v>39</v>
      </c>
      <c r="C112" s="76" t="s">
        <v>40</v>
      </c>
      <c r="D112" s="41">
        <f t="shared" ref="D112:K112" si="42">+SUM(D113:D119)</f>
        <v>220286.77070664035</v>
      </c>
      <c r="E112" s="41">
        <f t="shared" si="42"/>
        <v>264122.39186213154</v>
      </c>
      <c r="F112" s="41">
        <f t="shared" si="42"/>
        <v>279672.82718255423</v>
      </c>
      <c r="G112" s="41">
        <f t="shared" si="42"/>
        <v>231279.50038151833</v>
      </c>
      <c r="H112" s="41">
        <f t="shared" si="42"/>
        <v>266214.85006218153</v>
      </c>
      <c r="I112" s="41">
        <f t="shared" si="42"/>
        <v>276506.0318655686</v>
      </c>
      <c r="J112" s="41">
        <f t="shared" si="42"/>
        <v>298942.00034916092</v>
      </c>
      <c r="K112" s="41">
        <f t="shared" si="42"/>
        <v>146262.35443724858</v>
      </c>
      <c r="L112" s="42"/>
      <c r="M112" s="46">
        <f t="shared" ref="M112:M132" si="43">+D112/D14*100</f>
        <v>94.324798429352853</v>
      </c>
      <c r="N112" s="46">
        <f t="shared" ref="N112:N132" si="44">+E112/E14*100</f>
        <v>84.102460529484688</v>
      </c>
      <c r="O112" s="46">
        <f t="shared" ref="O112:O132" si="45">+F112/F14*100</f>
        <v>93.977823546982506</v>
      </c>
      <c r="P112" s="46">
        <f t="shared" ref="P112:P132" si="46">+G112/G14*100</f>
        <v>89.00507867911206</v>
      </c>
      <c r="Q112" s="46">
        <f t="shared" ref="Q112:Q132" si="47">+H112/H14*100</f>
        <v>90.469934330442797</v>
      </c>
      <c r="R112" s="46">
        <f t="shared" ref="R112:R132" si="48">+I112/I14*100</f>
        <v>89.672327420083747</v>
      </c>
      <c r="S112" s="46">
        <f t="shared" ref="S112:S132" si="49">+J112/J14*100</f>
        <v>91.771918581602634</v>
      </c>
      <c r="T112" s="46">
        <f t="shared" ref="T112:T132" si="50">+K112/K14*100</f>
        <v>41.535792676188791</v>
      </c>
    </row>
    <row r="113" spans="2:20" x14ac:dyDescent="0.2">
      <c r="B113" s="40"/>
      <c r="C113" s="77" t="s">
        <v>92</v>
      </c>
      <c r="D113" s="42">
        <f>28924.5088056233*Deflactores!$T$5</f>
        <v>44987.580900546694</v>
      </c>
      <c r="E113" s="42">
        <f>29966.3832701618*Deflactores!$U$5</f>
        <v>45869.554971446247</v>
      </c>
      <c r="F113" s="42">
        <f>31756.5040253775*Deflactores!$V$5</f>
        <v>46023.190242632918</v>
      </c>
      <c r="G113" s="42">
        <f>35068.8963163301*Deflactores!$W$5</f>
        <v>44928.998213674662</v>
      </c>
      <c r="H113" s="42">
        <f>40683.1436015652*Deflactores!$X$5</f>
        <v>47695.615152925784</v>
      </c>
      <c r="I113" s="42">
        <f>46391.6393140337*Deflactores!$Y$5</f>
        <v>51699.688952371973</v>
      </c>
      <c r="J113" s="42">
        <f>52278.1250712076*Deflactores!$Z$5</f>
        <v>55432.093811655293</v>
      </c>
      <c r="K113" s="42">
        <f>27031.8915208462*Deflactores!$AA$5</f>
        <v>27031.891520846199</v>
      </c>
      <c r="M113" s="47">
        <f t="shared" si="43"/>
        <v>98.267706347250538</v>
      </c>
      <c r="N113" s="47">
        <f t="shared" si="44"/>
        <v>96.407738602778679</v>
      </c>
      <c r="O113" s="47">
        <f t="shared" si="45"/>
        <v>96.423079570942718</v>
      </c>
      <c r="P113" s="47">
        <f t="shared" si="46"/>
        <v>96.95671211854453</v>
      </c>
      <c r="Q113" s="47">
        <f t="shared" si="47"/>
        <v>95.535590037231941</v>
      </c>
      <c r="R113" s="47">
        <f t="shared" si="48"/>
        <v>97.019008934533858</v>
      </c>
      <c r="S113" s="47">
        <f t="shared" si="49"/>
        <v>96.934487875837334</v>
      </c>
      <c r="T113" s="47">
        <f t="shared" si="50"/>
        <v>43.183477997893036</v>
      </c>
    </row>
    <row r="114" spans="2:20" x14ac:dyDescent="0.2">
      <c r="B114" s="40"/>
      <c r="C114" s="77" t="s">
        <v>93</v>
      </c>
      <c r="D114" s="42">
        <f>7844.02082923427*Deflactores!$T$5</f>
        <v>12200.156068757335</v>
      </c>
      <c r="E114" s="42">
        <f>7768.65442813741*Deflactores!$U$5</f>
        <v>11891.4824699729</v>
      </c>
      <c r="F114" s="42">
        <f>8763.22141740989*Deflactores!$V$5</f>
        <v>12700.119827720122</v>
      </c>
      <c r="G114" s="42">
        <f>10814.8278396698*Deflactores!$W$5</f>
        <v>13855.565236692684</v>
      </c>
      <c r="H114" s="42">
        <f>11469.6871447423*Deflactores!$X$5</f>
        <v>13446.694024869852</v>
      </c>
      <c r="I114" s="42">
        <f>10983.745543477*Deflactores!$Y$5</f>
        <v>12240.486357592097</v>
      </c>
      <c r="J114" s="42">
        <f>13813.7620042364*Deflactores!$Z$5</f>
        <v>14647.15404899703</v>
      </c>
      <c r="K114" s="42">
        <f>6620.44115995746*Deflactores!$AA$5</f>
        <v>6620.4411599574596</v>
      </c>
      <c r="L114" s="42"/>
      <c r="M114" s="47">
        <f t="shared" si="43"/>
        <v>87.917654683573275</v>
      </c>
      <c r="N114" s="47">
        <f t="shared" si="44"/>
        <v>86.480367996317227</v>
      </c>
      <c r="O114" s="47">
        <f t="shared" si="45"/>
        <v>87.54013243719811</v>
      </c>
      <c r="P114" s="47">
        <f t="shared" si="46"/>
        <v>86.327130676972374</v>
      </c>
      <c r="Q114" s="47">
        <f t="shared" si="47"/>
        <v>77.446155574675487</v>
      </c>
      <c r="R114" s="47">
        <f t="shared" si="48"/>
        <v>69.939071217758382</v>
      </c>
      <c r="S114" s="47">
        <f t="shared" si="49"/>
        <v>74.101949613128639</v>
      </c>
      <c r="T114" s="47">
        <f t="shared" si="50"/>
        <v>34.455293878276649</v>
      </c>
    </row>
    <row r="115" spans="2:20" x14ac:dyDescent="0.2">
      <c r="B115" s="40"/>
      <c r="C115" s="77" t="s">
        <v>58</v>
      </c>
      <c r="D115" s="42">
        <f>103868.433607807*Deflactores!$T$5</f>
        <v>161551.21566094944</v>
      </c>
      <c r="E115" s="42">
        <f>133590.601385534*Deflactores!$U$5</f>
        <v>204487.18748197568</v>
      </c>
      <c r="F115" s="42">
        <f>150287.793739377*Deflactores!$V$5</f>
        <v>217804.94845671862</v>
      </c>
      <c r="G115" s="42">
        <f>132879.300408608*Deflactores!$W$5</f>
        <v>170240.14091691413</v>
      </c>
      <c r="H115" s="42">
        <f>172974.963452394*Deflactores!$X$5</f>
        <v>202790.30963574263</v>
      </c>
      <c r="I115" s="42">
        <f>188815.625969979*Deflactores!$Y$5</f>
        <v>210419.5772414181</v>
      </c>
      <c r="J115" s="42">
        <f>213891.869978153*Deflactores!$Z$5</f>
        <v>226796.08700636736</v>
      </c>
      <c r="K115" s="42">
        <f>112220.043688094*Deflactores!$AA$5</f>
        <v>112220.043688094</v>
      </c>
      <c r="L115" s="42"/>
      <c r="M115" s="47">
        <f t="shared" si="43"/>
        <v>93.792879655201617</v>
      </c>
      <c r="N115" s="47">
        <f t="shared" si="44"/>
        <v>81.556734103738421</v>
      </c>
      <c r="O115" s="47">
        <f t="shared" si="45"/>
        <v>93.943533659813255</v>
      </c>
      <c r="P115" s="47">
        <f t="shared" si="46"/>
        <v>87.286301320219422</v>
      </c>
      <c r="Q115" s="47">
        <f t="shared" si="47"/>
        <v>90.358840189408724</v>
      </c>
      <c r="R115" s="47">
        <f t="shared" si="48"/>
        <v>89.463786785740183</v>
      </c>
      <c r="S115" s="47">
        <f t="shared" si="49"/>
        <v>92.010815085539406</v>
      </c>
      <c r="T115" s="47">
        <f t="shared" si="50"/>
        <v>41.871124396443804</v>
      </c>
    </row>
    <row r="116" spans="2:20" x14ac:dyDescent="0.2">
      <c r="B116" s="40"/>
      <c r="C116" s="77" t="s">
        <v>94</v>
      </c>
      <c r="D116" s="42">
        <f>56.26756120934*Deflactores!$T$5</f>
        <v>87.51545199929275</v>
      </c>
      <c r="E116" s="42">
        <f>55.9119396153699*Deflactores!$U$5</f>
        <v>85.584428545338611</v>
      </c>
      <c r="F116" s="42">
        <f>65.97694464187*Deflactores!$V$5</f>
        <v>95.617246547476284</v>
      </c>
      <c r="G116" s="42">
        <f>66.35370229692*Deflactores!$W$5</f>
        <v>85.009957116352069</v>
      </c>
      <c r="H116" s="42">
        <f>72.90962038414*Deflactores!$X$5</f>
        <v>85.47690485388317</v>
      </c>
      <c r="I116" s="42">
        <f>88.15327172341*Deflactores!$Y$5</f>
        <v>98.239613767120304</v>
      </c>
      <c r="J116" s="42">
        <f>89.78774310567*Deflactores!$Z$5</f>
        <v>95.20468823606447</v>
      </c>
      <c r="K116" s="42">
        <f>24.8372332982*Deflactores!$AA$5</f>
        <v>24.837233298200001</v>
      </c>
      <c r="L116" s="42"/>
      <c r="M116" s="47">
        <f t="shared" si="43"/>
        <v>78.90787699568078</v>
      </c>
      <c r="N116" s="47">
        <f t="shared" si="44"/>
        <v>80.838359491515206</v>
      </c>
      <c r="O116" s="47">
        <f t="shared" si="45"/>
        <v>74.359787036186347</v>
      </c>
      <c r="P116" s="47">
        <f t="shared" si="46"/>
        <v>76.839252475676872</v>
      </c>
      <c r="Q116" s="47">
        <f t="shared" si="47"/>
        <v>72.354364039921549</v>
      </c>
      <c r="R116" s="47">
        <f t="shared" si="48"/>
        <v>83.523642369796008</v>
      </c>
      <c r="S116" s="47">
        <f t="shared" si="49"/>
        <v>77.178208021260815</v>
      </c>
      <c r="T116" s="47">
        <f t="shared" si="50"/>
        <v>19.986894328857527</v>
      </c>
    </row>
    <row r="117" spans="2:20" x14ac:dyDescent="0.2">
      <c r="B117" s="40"/>
      <c r="C117" s="77" t="s">
        <v>95</v>
      </c>
      <c r="D117" s="42">
        <f>289.96309008*Deflactores!$T$5</f>
        <v>450.99254963356339</v>
      </c>
      <c r="E117" s="42">
        <f>319.153394823*Deflactores!$U$5</f>
        <v>488.52823032314643</v>
      </c>
      <c r="F117" s="42">
        <f>393.627104752729*Deflactores!$V$5</f>
        <v>570.46503331143333</v>
      </c>
      <c r="G117" s="42">
        <f>468.54035323696*Deflactores!$W$5</f>
        <v>600.27690930824326</v>
      </c>
      <c r="H117" s="42">
        <f>571.1550256005*Deflactores!$X$5</f>
        <v>669.60386740253921</v>
      </c>
      <c r="I117" s="42">
        <f>516.78952704158*Deflactores!$Y$5</f>
        <v>575.91967425498638</v>
      </c>
      <c r="J117" s="42">
        <f>520.864119517*Deflactores!$Z$5</f>
        <v>552.28814531631463</v>
      </c>
      <c r="K117" s="42">
        <f>10.118186332*Deflactores!$AA$5</f>
        <v>10.118186332000001</v>
      </c>
      <c r="L117" s="42"/>
      <c r="M117" s="47">
        <f t="shared" si="43"/>
        <v>99.690949687480639</v>
      </c>
      <c r="N117" s="47">
        <f t="shared" si="44"/>
        <v>99.732942558623535</v>
      </c>
      <c r="O117" s="47">
        <f t="shared" si="45"/>
        <v>83.049650133707701</v>
      </c>
      <c r="P117" s="47">
        <f t="shared" si="46"/>
        <v>99.346435919313066</v>
      </c>
      <c r="Q117" s="47">
        <f t="shared" si="47"/>
        <v>99.714712051225575</v>
      </c>
      <c r="R117" s="47">
        <f t="shared" si="48"/>
        <v>99.785225983303889</v>
      </c>
      <c r="S117" s="47">
        <f t="shared" si="49"/>
        <v>95.077315081968351</v>
      </c>
      <c r="T117" s="47">
        <f t="shared" si="50"/>
        <v>1.614727024236418</v>
      </c>
    </row>
    <row r="118" spans="2:20" x14ac:dyDescent="0.2">
      <c r="B118" s="40"/>
      <c r="C118" s="77" t="s">
        <v>96</v>
      </c>
      <c r="D118" s="42">
        <f>242.10615010751*Deflactores!$T$5</f>
        <v>376.55851263285774</v>
      </c>
      <c r="E118" s="42">
        <f>226.270350891899*Deflactores!$U$5</f>
        <v>346.35211747354629</v>
      </c>
      <c r="F118" s="42">
        <f>419.402111152919*Deflactores!$V$5</f>
        <v>607.8195236581372</v>
      </c>
      <c r="G118" s="42">
        <f>344.349394140089*Deflactores!$W$5</f>
        <v>441.16795620384812</v>
      </c>
      <c r="H118" s="42">
        <f>432.998092394749*Deflactores!$X$5</f>
        <v>507.63310178460256</v>
      </c>
      <c r="I118" s="42">
        <f>324.24536599626*Deflactores!$Y$5</f>
        <v>361.34494952377423</v>
      </c>
      <c r="J118" s="42">
        <f>285.65837413061*Deflactores!$Z$5</f>
        <v>302.89230478952078</v>
      </c>
      <c r="K118" s="42">
        <f>157.72660144175*Deflactores!$AA$5</f>
        <v>157.72660144175001</v>
      </c>
      <c r="L118" s="42"/>
      <c r="M118" s="47">
        <f t="shared" si="43"/>
        <v>91.541327778734001</v>
      </c>
      <c r="N118" s="47">
        <f t="shared" si="44"/>
        <v>81.478276057531517</v>
      </c>
      <c r="O118" s="47">
        <f t="shared" si="45"/>
        <v>93.203858848895791</v>
      </c>
      <c r="P118" s="47">
        <f t="shared" si="46"/>
        <v>86.36032492667232</v>
      </c>
      <c r="Q118" s="47">
        <f t="shared" si="47"/>
        <v>90.229232311672106</v>
      </c>
      <c r="R118" s="47">
        <f t="shared" si="48"/>
        <v>94.631374491728366</v>
      </c>
      <c r="S118" s="47">
        <f t="shared" si="49"/>
        <v>85.454433752730466</v>
      </c>
      <c r="T118" s="47">
        <f t="shared" si="50"/>
        <v>43.640595573852131</v>
      </c>
    </row>
    <row r="119" spans="2:20" x14ac:dyDescent="0.2">
      <c r="B119" s="40"/>
      <c r="C119" s="77" t="s">
        <v>97</v>
      </c>
      <c r="D119" s="42">
        <f>406.82401151566*Deflactores!$T$5</f>
        <v>632.75156212117042</v>
      </c>
      <c r="E119" s="42">
        <f>623.04952689622*Deflactores!$U$5</f>
        <v>953.70216239463548</v>
      </c>
      <c r="F119" s="42">
        <f>1290.78056304652*Deflactores!$V$5</f>
        <v>1870.6668519655052</v>
      </c>
      <c r="G119" s="42">
        <f>880.715836791469*Deflactores!$W$5</f>
        <v>1128.3411916083874</v>
      </c>
      <c r="H119" s="42">
        <f>869.62232528598*Deflactores!$X$5</f>
        <v>1019.5173746022123</v>
      </c>
      <c r="I119" s="42">
        <f>996.73088482207*Deflactores!$Y$5</f>
        <v>1110.7750766404849</v>
      </c>
      <c r="J119" s="42">
        <f>1052.76635636311*Deflactores!$Z$5</f>
        <v>1116.2803437993769</v>
      </c>
      <c r="K119" s="42">
        <f>197.29604727901*Deflactores!$AA$5</f>
        <v>197.29604727901</v>
      </c>
      <c r="L119" s="42"/>
      <c r="M119" s="47">
        <f t="shared" si="43"/>
        <v>94.997549688293518</v>
      </c>
      <c r="N119" s="47">
        <f t="shared" si="44"/>
        <v>98.485429155119292</v>
      </c>
      <c r="O119" s="47">
        <f t="shared" si="45"/>
        <v>91.611080964352837</v>
      </c>
      <c r="P119" s="47">
        <f t="shared" si="46"/>
        <v>94.16369575074846</v>
      </c>
      <c r="Q119" s="47">
        <f t="shared" si="47"/>
        <v>85.621748276040904</v>
      </c>
      <c r="R119" s="47">
        <f t="shared" si="48"/>
        <v>86.491294354605728</v>
      </c>
      <c r="S119" s="47">
        <f t="shared" si="49"/>
        <v>89.589376237063746</v>
      </c>
      <c r="T119" s="47">
        <f t="shared" si="50"/>
        <v>16.46774254072032</v>
      </c>
    </row>
    <row r="120" spans="2:20" x14ac:dyDescent="0.2">
      <c r="B120" s="34" t="s">
        <v>41</v>
      </c>
      <c r="C120" s="76" t="s">
        <v>42</v>
      </c>
      <c r="D120" s="41">
        <f t="shared" ref="D120:K120" si="51">+D121+D125</f>
        <v>80184.865557463592</v>
      </c>
      <c r="E120" s="41">
        <f t="shared" si="51"/>
        <v>69307.82771116076</v>
      </c>
      <c r="F120" s="41">
        <f t="shared" si="51"/>
        <v>79117.766608239093</v>
      </c>
      <c r="G120" s="41">
        <f t="shared" si="51"/>
        <v>88102.418008967215</v>
      </c>
      <c r="H120" s="41">
        <f t="shared" si="51"/>
        <v>87974.13431159388</v>
      </c>
      <c r="I120" s="41">
        <f t="shared" si="51"/>
        <v>92256.522652724962</v>
      </c>
      <c r="J120" s="41">
        <f t="shared" si="51"/>
        <v>110761.28456322767</v>
      </c>
      <c r="K120" s="41">
        <f t="shared" si="51"/>
        <v>48362.839338434351</v>
      </c>
      <c r="L120" s="71"/>
      <c r="M120" s="46">
        <f t="shared" si="43"/>
        <v>99.270037157022259</v>
      </c>
      <c r="N120" s="46">
        <f t="shared" si="44"/>
        <v>84.455072681777693</v>
      </c>
      <c r="O120" s="46">
        <f t="shared" si="45"/>
        <v>77.415396442815947</v>
      </c>
      <c r="P120" s="46">
        <f t="shared" si="46"/>
        <v>95.980497022974788</v>
      </c>
      <c r="Q120" s="46">
        <f t="shared" si="47"/>
        <v>95.658513953606217</v>
      </c>
      <c r="R120" s="46">
        <f t="shared" si="48"/>
        <v>87.664908838561487</v>
      </c>
      <c r="S120" s="46">
        <f t="shared" si="49"/>
        <v>92.765888849015838</v>
      </c>
      <c r="T120" s="46">
        <f t="shared" si="50"/>
        <v>48.146321254564647</v>
      </c>
    </row>
    <row r="121" spans="2:20" x14ac:dyDescent="0.2">
      <c r="B121" s="34"/>
      <c r="C121" s="76" t="s">
        <v>43</v>
      </c>
      <c r="D121" s="41">
        <f t="shared" ref="D121:K121" si="52">+SUM(D122:D124)</f>
        <v>21926.039621444277</v>
      </c>
      <c r="E121" s="41">
        <f t="shared" si="52"/>
        <v>22728.52175071188</v>
      </c>
      <c r="F121" s="41">
        <f t="shared" si="52"/>
        <v>29430.894855465744</v>
      </c>
      <c r="G121" s="41">
        <f t="shared" si="52"/>
        <v>19438.081214496335</v>
      </c>
      <c r="H121" s="41">
        <f t="shared" si="52"/>
        <v>29229.471003748546</v>
      </c>
      <c r="I121" s="41">
        <f t="shared" si="52"/>
        <v>35595.738836550736</v>
      </c>
      <c r="J121" s="41">
        <f t="shared" si="52"/>
        <v>50768.289815977427</v>
      </c>
      <c r="K121" s="41">
        <f t="shared" si="52"/>
        <v>13514.78141106825</v>
      </c>
      <c r="L121" s="71"/>
      <c r="M121" s="46">
        <f t="shared" si="43"/>
        <v>97.913486747181366</v>
      </c>
      <c r="N121" s="46">
        <f t="shared" si="44"/>
        <v>99.032710760723859</v>
      </c>
      <c r="O121" s="46">
        <f t="shared" si="45"/>
        <v>80.563045668736265</v>
      </c>
      <c r="P121" s="46">
        <f t="shared" si="46"/>
        <v>90.38419877922459</v>
      </c>
      <c r="Q121" s="46">
        <f t="shared" si="47"/>
        <v>93.925312356068375</v>
      </c>
      <c r="R121" s="46">
        <f t="shared" si="48"/>
        <v>85.725266815904774</v>
      </c>
      <c r="S121" s="46">
        <f t="shared" si="49"/>
        <v>88.965244172566955</v>
      </c>
      <c r="T121" s="46">
        <f t="shared" si="50"/>
        <v>35.18920370844517</v>
      </c>
    </row>
    <row r="122" spans="2:20" x14ac:dyDescent="0.2">
      <c r="B122" s="32"/>
      <c r="C122" s="77" t="s">
        <v>98</v>
      </c>
      <c r="D122" s="42">
        <f>7910.47617477022*Deflactores!$T$5</f>
        <v>12303.517036912863</v>
      </c>
      <c r="E122" s="42">
        <f>6388.91910730776*Deflactores!$U$5</f>
        <v>9779.5210572701926</v>
      </c>
      <c r="F122" s="42">
        <f>10847.4859933545*Deflactores!$V$5</f>
        <v>15720.745303938267</v>
      </c>
      <c r="G122" s="42">
        <f>4196.92598344154*Deflactores!$W$5</f>
        <v>5376.9493716619645</v>
      </c>
      <c r="H122" s="42">
        <f>12570.0240204341*Deflactores!$X$5</f>
        <v>14736.693752411797</v>
      </c>
      <c r="I122" s="42">
        <f>16973.3873916283*Deflactores!$Y$5</f>
        <v>18915.452473563306</v>
      </c>
      <c r="J122" s="42">
        <f>31951.3541477027*Deflactores!$Z$5</f>
        <v>33878.997345685893</v>
      </c>
      <c r="K122" s="42">
        <f>7206.40456965048*Deflactores!$AA$5</f>
        <v>7206.40456965048</v>
      </c>
      <c r="L122" s="42"/>
      <c r="M122" s="47">
        <f t="shared" si="43"/>
        <v>99.388399633902537</v>
      </c>
      <c r="N122" s="47">
        <f t="shared" si="44"/>
        <v>98.433201721859902</v>
      </c>
      <c r="O122" s="47">
        <f t="shared" si="45"/>
        <v>75.917390481882123</v>
      </c>
      <c r="P122" s="47">
        <f t="shared" si="46"/>
        <v>96.760553481122784</v>
      </c>
      <c r="Q122" s="47">
        <f t="shared" si="47"/>
        <v>95.285042047852386</v>
      </c>
      <c r="R122" s="47">
        <f t="shared" si="48"/>
        <v>87.000273850086685</v>
      </c>
      <c r="S122" s="47">
        <f t="shared" si="49"/>
        <v>92.714856987671055</v>
      </c>
      <c r="T122" s="47">
        <f t="shared" si="50"/>
        <v>41.72052217645696</v>
      </c>
    </row>
    <row r="123" spans="2:20" x14ac:dyDescent="0.2">
      <c r="B123" s="32"/>
      <c r="C123" s="77" t="s">
        <v>61</v>
      </c>
      <c r="D123" s="42">
        <f>6110.39162561193*Deflactores!$T$5</f>
        <v>9503.7651093247678</v>
      </c>
      <c r="E123" s="42">
        <f>8217.53210757637*Deflactores!$U$5</f>
        <v>12578.579715137696</v>
      </c>
      <c r="F123" s="42">
        <f>9332.39927500143*Deflactores!$V$5</f>
        <v>13525.002214046279</v>
      </c>
      <c r="G123" s="42">
        <f>10879.5959443922*Deflactores!$W$5</f>
        <v>13938.543783697049</v>
      </c>
      <c r="H123" s="42">
        <f>12281.4127979816*Deflactores!$X$5</f>
        <v>14398.335194633573</v>
      </c>
      <c r="I123" s="42">
        <f>14870.5876881979*Deflactores!$Y$5</f>
        <v>16572.054132741898</v>
      </c>
      <c r="J123" s="42">
        <f>15711.6153676201*Deflactores!$Z$5</f>
        <v>16659.505975095297</v>
      </c>
      <c r="K123" s="42">
        <f>6254.03186962299*Deflactores!$AA$5</f>
        <v>6254.0318696229897</v>
      </c>
      <c r="L123" s="42"/>
      <c r="M123" s="47">
        <f t="shared" si="43"/>
        <v>96.817670243193476</v>
      </c>
      <c r="N123" s="47">
        <f t="shared" si="44"/>
        <v>99.773939366644953</v>
      </c>
      <c r="O123" s="47">
        <f t="shared" si="45"/>
        <v>86.762291864065872</v>
      </c>
      <c r="P123" s="47">
        <f t="shared" si="46"/>
        <v>88.430494290039277</v>
      </c>
      <c r="Q123" s="47">
        <f t="shared" si="47"/>
        <v>93.025474680170845</v>
      </c>
      <c r="R123" s="47">
        <f t="shared" si="48"/>
        <v>84.873182322204244</v>
      </c>
      <c r="S123" s="47">
        <f t="shared" si="49"/>
        <v>83.663837569783212</v>
      </c>
      <c r="T123" s="47">
        <f t="shared" si="50"/>
        <v>31.290400491855163</v>
      </c>
    </row>
    <row r="124" spans="2:20" x14ac:dyDescent="0.2">
      <c r="B124" s="32"/>
      <c r="C124" s="77" t="s">
        <v>103</v>
      </c>
      <c r="D124" s="42">
        <f>76.35444201683*Deflactores!$T$5</f>
        <v>118.75747520664665</v>
      </c>
      <c r="E124" s="42">
        <f>241.99443430562*Deflactores!$U$5</f>
        <v>370.42097830399069</v>
      </c>
      <c r="F124" s="42">
        <f>127.753685414079*Deflactores!$V$5</f>
        <v>185.1473374811994</v>
      </c>
      <c r="G124" s="42">
        <f>95.68492747293*Deflactores!$W$5</f>
        <v>122.58805913732124</v>
      </c>
      <c r="H124" s="42">
        <f>80.5566663216999*Deflactores!$X$5</f>
        <v>94.442056703175595</v>
      </c>
      <c r="I124" s="42">
        <f>97.1199380392699*Deflactores!$Y$5</f>
        <v>108.23223024552603</v>
      </c>
      <c r="J124" s="42">
        <f>216.71213027528*Deflactores!$Z$5</f>
        <v>229.78649519623053</v>
      </c>
      <c r="K124" s="42">
        <f>54.34497179478*Deflactores!$AA$5</f>
        <v>54.344971794780001</v>
      </c>
      <c r="L124" s="42"/>
      <c r="M124" s="47">
        <f t="shared" si="43"/>
        <v>60.008037986718321</v>
      </c>
      <c r="N124" s="47">
        <f t="shared" si="44"/>
        <v>90.732763379105563</v>
      </c>
      <c r="O124" s="47">
        <f t="shared" si="45"/>
        <v>78.707196030640432</v>
      </c>
      <c r="P124" s="47">
        <f t="shared" si="46"/>
        <v>65.572336683188809</v>
      </c>
      <c r="Q124" s="47">
        <f t="shared" si="47"/>
        <v>53.610783607904445</v>
      </c>
      <c r="R124" s="47">
        <f t="shared" si="48"/>
        <v>42.353433910073853</v>
      </c>
      <c r="S124" s="47">
        <f t="shared" si="49"/>
        <v>37.558633518332343</v>
      </c>
      <c r="T124" s="47">
        <f t="shared" si="50"/>
        <v>4.7424023384263494</v>
      </c>
    </row>
    <row r="125" spans="2:20" x14ac:dyDescent="0.2">
      <c r="B125" s="34"/>
      <c r="C125" s="76" t="s">
        <v>44</v>
      </c>
      <c r="D125" s="41">
        <f t="shared" ref="D125:K125" si="53">+SUM(D126:D129)</f>
        <v>58258.825936019311</v>
      </c>
      <c r="E125" s="41">
        <f t="shared" si="53"/>
        <v>46579.305960448888</v>
      </c>
      <c r="F125" s="41">
        <f t="shared" si="53"/>
        <v>49686.871752773353</v>
      </c>
      <c r="G125" s="41">
        <f t="shared" si="53"/>
        <v>68664.336794470873</v>
      </c>
      <c r="H125" s="41">
        <f t="shared" si="53"/>
        <v>58744.663307845331</v>
      </c>
      <c r="I125" s="41">
        <f t="shared" si="53"/>
        <v>56660.783816174218</v>
      </c>
      <c r="J125" s="41">
        <f t="shared" si="53"/>
        <v>59992.994747250254</v>
      </c>
      <c r="K125" s="41">
        <f t="shared" si="53"/>
        <v>34848.057927366099</v>
      </c>
      <c r="L125" s="71"/>
      <c r="M125" s="46">
        <f t="shared" si="43"/>
        <v>99.790369133788019</v>
      </c>
      <c r="N125" s="46">
        <f t="shared" si="44"/>
        <v>78.795445917679956</v>
      </c>
      <c r="O125" s="46">
        <f t="shared" si="45"/>
        <v>75.664326728468126</v>
      </c>
      <c r="P125" s="46">
        <f t="shared" si="46"/>
        <v>97.692849950787092</v>
      </c>
      <c r="Q125" s="46">
        <f t="shared" si="47"/>
        <v>96.54495231355348</v>
      </c>
      <c r="R125" s="46">
        <f t="shared" si="48"/>
        <v>88.928979883116781</v>
      </c>
      <c r="S125" s="46">
        <f t="shared" si="49"/>
        <v>96.245322159843852</v>
      </c>
      <c r="T125" s="46">
        <f t="shared" si="50"/>
        <v>56.166989469625662</v>
      </c>
    </row>
    <row r="126" spans="2:20" x14ac:dyDescent="0.2">
      <c r="B126" s="32"/>
      <c r="C126" s="77" t="s">
        <v>98</v>
      </c>
      <c r="D126" s="42">
        <f>17912.4359059928*Deflactores!$T$5</f>
        <v>27860.011897247612</v>
      </c>
      <c r="E126" s="42">
        <f>8621.15428168121*Deflactores!$U$5</f>
        <v>13196.404340014313</v>
      </c>
      <c r="F126" s="42">
        <f>10355.5871017508*Deflactores!$V$5</f>
        <v>15007.859645922319</v>
      </c>
      <c r="G126" s="42">
        <f>25458.8849784223*Deflactores!$W$5</f>
        <v>32617.000187286911</v>
      </c>
      <c r="H126" s="42">
        <f>17051.1250393413*Deflactores!$X$5</f>
        <v>19990.19313172128</v>
      </c>
      <c r="I126" s="42">
        <f>8643.83614344078*Deflactores!$Y$5</f>
        <v>9632.8486464149228</v>
      </c>
      <c r="J126" s="42">
        <f>10247.7990207593*Deflactores!$Z$5</f>
        <v>10866.054509567301</v>
      </c>
      <c r="K126" s="42">
        <f>603.79060194526*Deflactores!$AA$5</f>
        <v>603.79060194526005</v>
      </c>
      <c r="L126" s="42"/>
      <c r="M126" s="47">
        <f t="shared" si="43"/>
        <v>99.855465757506934</v>
      </c>
      <c r="N126" s="47">
        <f t="shared" si="44"/>
        <v>52.860247248738901</v>
      </c>
      <c r="O126" s="47">
        <f t="shared" si="45"/>
        <v>51.644099692267474</v>
      </c>
      <c r="P126" s="47">
        <f t="shared" si="46"/>
        <v>95.963121747341006</v>
      </c>
      <c r="Q126" s="47">
        <f t="shared" si="47"/>
        <v>97.46958516518967</v>
      </c>
      <c r="R126" s="47">
        <f t="shared" si="48"/>
        <v>62.08735476138628</v>
      </c>
      <c r="S126" s="47">
        <f t="shared" si="49"/>
        <v>98.68192570549499</v>
      </c>
      <c r="T126" s="47">
        <f t="shared" si="50"/>
        <v>5.8377446865291578</v>
      </c>
    </row>
    <row r="127" spans="2:20" x14ac:dyDescent="0.2">
      <c r="B127" s="32"/>
      <c r="C127" s="77" t="s">
        <v>61</v>
      </c>
      <c r="D127" s="42">
        <f>18932.2539580717*Deflactores!$T$5</f>
        <v>29446.180479402337</v>
      </c>
      <c r="E127" s="42">
        <f>20925.9314488055*Deflactores!$U$5</f>
        <v>32031.331718147543</v>
      </c>
      <c r="F127" s="42">
        <f>22982.8898455461*Deflactores!$V$5</f>
        <v>33308.008678844824</v>
      </c>
      <c r="G127" s="42">
        <f>26772.9866756672*Deflactores!$W$5</f>
        <v>34300.579626900188</v>
      </c>
      <c r="H127" s="42">
        <f>28965.9060578736*Deflactores!$X$5</f>
        <v>33958.700965256496</v>
      </c>
      <c r="I127" s="42">
        <f>40687.9987502948*Deflactores!$Y$5</f>
        <v>45343.447883903602</v>
      </c>
      <c r="J127" s="42">
        <f>44845.9790189781*Deflactores!$Z$5</f>
        <v>47551.562200623805</v>
      </c>
      <c r="K127" s="42">
        <f>34206.8318239497*Deflactores!$AA$5</f>
        <v>34206.831823949702</v>
      </c>
      <c r="L127" s="42"/>
      <c r="M127" s="47">
        <f t="shared" si="43"/>
        <v>99.946518272929026</v>
      </c>
      <c r="N127" s="47">
        <f t="shared" si="44"/>
        <v>97.874516352881813</v>
      </c>
      <c r="O127" s="47">
        <f t="shared" si="45"/>
        <v>95.211150041984567</v>
      </c>
      <c r="P127" s="47">
        <f t="shared" si="46"/>
        <v>99.679241197332885</v>
      </c>
      <c r="Q127" s="47">
        <f t="shared" si="47"/>
        <v>96.068196647084832</v>
      </c>
      <c r="R127" s="47">
        <f t="shared" si="48"/>
        <v>97.975595653713626</v>
      </c>
      <c r="S127" s="47">
        <f t="shared" si="49"/>
        <v>97.068819139431966</v>
      </c>
      <c r="T127" s="47">
        <f t="shared" si="50"/>
        <v>70.128254255892557</v>
      </c>
    </row>
    <row r="128" spans="2:20" x14ac:dyDescent="0.2">
      <c r="B128" s="32"/>
      <c r="C128" s="77" t="s">
        <v>103</v>
      </c>
      <c r="D128" s="42">
        <f>122.65431899327*Deflactores!$T$5</f>
        <v>190.76974255958459</v>
      </c>
      <c r="E128" s="42">
        <f>109.97481267391*Deflactores!$U$5</f>
        <v>168.33849016552276</v>
      </c>
      <c r="F128" s="42">
        <f>111.64504218452*Deflactores!$V$5</f>
        <v>161.80184733177225</v>
      </c>
      <c r="G128" s="42">
        <f>128.07581098297*Deflactores!$W$5</f>
        <v>164.08608445967121</v>
      </c>
      <c r="H128" s="42">
        <f>144.94604767359*Deflactores!$X$5</f>
        <v>169.9301060774273</v>
      </c>
      <c r="I128" s="42">
        <f>84.5181420773*Deflactores!$Y$5</f>
        <v>94.188558991209803</v>
      </c>
      <c r="J128" s="42">
        <f>98.92710023622*Deflactores!$Z$5</f>
        <v>104.89542793166017</v>
      </c>
      <c r="K128" s="42">
        <f>37.43550147114*Deflactores!$AA$5</f>
        <v>37.43550147114</v>
      </c>
      <c r="L128" s="42"/>
      <c r="M128" s="47">
        <f t="shared" si="43"/>
        <v>75.776489297530475</v>
      </c>
      <c r="N128" s="47">
        <f t="shared" si="44"/>
        <v>70.335114702012561</v>
      </c>
      <c r="O128" s="47">
        <f t="shared" si="45"/>
        <v>39.00451729157173</v>
      </c>
      <c r="P128" s="47">
        <f t="shared" si="46"/>
        <v>54.197124451600921</v>
      </c>
      <c r="Q128" s="47">
        <f t="shared" si="47"/>
        <v>49.103939795759707</v>
      </c>
      <c r="R128" s="47">
        <f t="shared" si="48"/>
        <v>28.628382392552282</v>
      </c>
      <c r="S128" s="47">
        <f t="shared" si="49"/>
        <v>33.556239829056395</v>
      </c>
      <c r="T128" s="47">
        <f t="shared" si="50"/>
        <v>14.513896765854595</v>
      </c>
    </row>
    <row r="129" spans="2:20" x14ac:dyDescent="0.2">
      <c r="B129" s="32"/>
      <c r="C129" s="77" t="s">
        <v>104</v>
      </c>
      <c r="D129" s="42">
        <f>489.836*Deflactores!$T$5</f>
        <v>761.86381680977763</v>
      </c>
      <c r="E129" s="42">
        <f>773*Deflactores!$U$5</f>
        <v>1183.2314121215102</v>
      </c>
      <c r="F129" s="42">
        <f>834.3623*Deflactores!$V$5</f>
        <v>1209.2015806744421</v>
      </c>
      <c r="G129" s="42">
        <f>1235.33850642669*Deflactores!$W$5</f>
        <v>1582.6708958240895</v>
      </c>
      <c r="H129" s="42">
        <f>3945.72280857495*Deflactores!$X$5</f>
        <v>4625.8391047901205</v>
      </c>
      <c r="I129" s="42">
        <f>1427.021447*Deflactores!$Y$5</f>
        <v>1590.2987268644761</v>
      </c>
      <c r="J129" s="42">
        <f>1386.815262945*Deflactores!$Z$5</f>
        <v>1470.4826091274908</v>
      </c>
      <c r="K129" s="42">
        <f>0*Deflactores!$AA$5</f>
        <v>0</v>
      </c>
      <c r="L129" s="42"/>
      <c r="M129" s="47">
        <f t="shared" si="43"/>
        <v>99.306648069156793</v>
      </c>
      <c r="N129" s="47">
        <f t="shared" si="44"/>
        <v>100</v>
      </c>
      <c r="O129" s="47">
        <f t="shared" si="45"/>
        <v>100</v>
      </c>
      <c r="P129" s="47">
        <f t="shared" si="46"/>
        <v>99.971225458594901</v>
      </c>
      <c r="Q129" s="47">
        <f t="shared" si="47"/>
        <v>99.626171398690289</v>
      </c>
      <c r="R129" s="47">
        <f t="shared" si="48"/>
        <v>100</v>
      </c>
      <c r="S129" s="47">
        <f t="shared" si="49"/>
        <v>72.718630119689493</v>
      </c>
      <c r="T129" s="47">
        <f t="shared" si="50"/>
        <v>0</v>
      </c>
    </row>
    <row r="130" spans="2:20" x14ac:dyDescent="0.2">
      <c r="B130" s="34" t="s">
        <v>45</v>
      </c>
      <c r="C130" s="76" t="s">
        <v>46</v>
      </c>
      <c r="D130" s="41">
        <f>24907.3019435067*Deflactores!$T$5</f>
        <v>38739.439577968151</v>
      </c>
      <c r="E130" s="41">
        <f>28458.8377295793*Deflactores!$U$5</f>
        <v>43561.954403760712</v>
      </c>
      <c r="F130" s="41">
        <f>37971.2673806502*Deflactores!$V$5</f>
        <v>55029.95106189973</v>
      </c>
      <c r="G130" s="41">
        <f>47064.8026897365*Deflactores!$W$5</f>
        <v>60297.718436877454</v>
      </c>
      <c r="H130" s="41">
        <f>50861.7565781303*Deflactores!$X$5</f>
        <v>59628.695154692112</v>
      </c>
      <c r="I130" s="41">
        <f>41047.5022231425*Deflactores!$Y$5</f>
        <v>45744.085110747648</v>
      </c>
      <c r="J130" s="41">
        <f>39461.4456841916*Deflactores!$Z$5</f>
        <v>41842.176935958734</v>
      </c>
      <c r="K130" s="41">
        <f>23034.4072964213*Deflactores!$AA$5</f>
        <v>23034.407296421301</v>
      </c>
      <c r="L130" s="71"/>
      <c r="M130" s="46">
        <f t="shared" si="43"/>
        <v>74.418524862914353</v>
      </c>
      <c r="N130" s="46">
        <f t="shared" si="44"/>
        <v>79.866324059770733</v>
      </c>
      <c r="O130" s="46">
        <f t="shared" si="45"/>
        <v>76.899944506151442</v>
      </c>
      <c r="P130" s="46">
        <f t="shared" si="46"/>
        <v>79.379013118099294</v>
      </c>
      <c r="Q130" s="46">
        <f t="shared" si="47"/>
        <v>70.686081040817157</v>
      </c>
      <c r="R130" s="46">
        <f t="shared" si="48"/>
        <v>53.249195593317232</v>
      </c>
      <c r="S130" s="46">
        <f t="shared" si="49"/>
        <v>61.336696037690494</v>
      </c>
      <c r="T130" s="46">
        <f t="shared" si="50"/>
        <v>31.33519780351935</v>
      </c>
    </row>
    <row r="131" spans="2:20" x14ac:dyDescent="0.2">
      <c r="B131" s="36" t="s">
        <v>47</v>
      </c>
      <c r="C131" s="78" t="s">
        <v>48</v>
      </c>
      <c r="D131" s="43">
        <f t="shared" ref="D131:K131" si="54">+D112+D130</f>
        <v>259026.2102846085</v>
      </c>
      <c r="E131" s="43">
        <f t="shared" si="54"/>
        <v>307684.34626589227</v>
      </c>
      <c r="F131" s="43">
        <f t="shared" si="54"/>
        <v>334702.77824445395</v>
      </c>
      <c r="G131" s="43">
        <f t="shared" si="54"/>
        <v>291577.21881839581</v>
      </c>
      <c r="H131" s="43">
        <f t="shared" si="54"/>
        <v>325843.54521687364</v>
      </c>
      <c r="I131" s="43">
        <f t="shared" si="54"/>
        <v>322250.11697631626</v>
      </c>
      <c r="J131" s="43">
        <f t="shared" si="54"/>
        <v>340784.17728511966</v>
      </c>
      <c r="K131" s="43">
        <f t="shared" si="54"/>
        <v>169296.76173366987</v>
      </c>
      <c r="L131" s="71"/>
      <c r="M131" s="48">
        <f t="shared" si="43"/>
        <v>90.696451317078399</v>
      </c>
      <c r="N131" s="48">
        <f t="shared" si="44"/>
        <v>83.475604548145682</v>
      </c>
      <c r="O131" s="48">
        <f t="shared" si="45"/>
        <v>90.667287366647003</v>
      </c>
      <c r="P131" s="48">
        <f t="shared" si="46"/>
        <v>86.827627899498566</v>
      </c>
      <c r="Q131" s="48">
        <f t="shared" si="47"/>
        <v>86.062005013226212</v>
      </c>
      <c r="R131" s="48">
        <f t="shared" si="48"/>
        <v>81.736001662072596</v>
      </c>
      <c r="S131" s="48">
        <f t="shared" si="49"/>
        <v>86.501849068509799</v>
      </c>
      <c r="T131" s="48">
        <f t="shared" si="50"/>
        <v>39.774132387649992</v>
      </c>
    </row>
    <row r="132" spans="2:20" x14ac:dyDescent="0.2">
      <c r="B132" s="38" t="s">
        <v>49</v>
      </c>
      <c r="C132" s="79" t="s">
        <v>63</v>
      </c>
      <c r="D132" s="44">
        <f t="shared" ref="D132:K132" si="55">+D112+D120+D130</f>
        <v>339211.07584207208</v>
      </c>
      <c r="E132" s="44">
        <f t="shared" si="55"/>
        <v>376992.17397705303</v>
      </c>
      <c r="F132" s="44">
        <f t="shared" si="55"/>
        <v>413820.54485269304</v>
      </c>
      <c r="G132" s="44">
        <f t="shared" si="55"/>
        <v>379679.63682736305</v>
      </c>
      <c r="H132" s="44">
        <f t="shared" si="55"/>
        <v>413817.67952846753</v>
      </c>
      <c r="I132" s="44">
        <f t="shared" si="55"/>
        <v>414506.63962904125</v>
      </c>
      <c r="J132" s="44">
        <f t="shared" si="55"/>
        <v>451545.46184834733</v>
      </c>
      <c r="K132" s="44">
        <f t="shared" si="55"/>
        <v>217659.60107210424</v>
      </c>
      <c r="L132" s="71"/>
      <c r="M132" s="45">
        <f t="shared" si="43"/>
        <v>92.586683818368044</v>
      </c>
      <c r="N132" s="45">
        <f t="shared" si="44"/>
        <v>83.653966024750844</v>
      </c>
      <c r="O132" s="45">
        <f t="shared" si="45"/>
        <v>87.794011182039682</v>
      </c>
      <c r="P132" s="45">
        <f t="shared" si="46"/>
        <v>88.792438828506661</v>
      </c>
      <c r="Q132" s="45">
        <f t="shared" si="47"/>
        <v>87.937472688066904</v>
      </c>
      <c r="R132" s="45">
        <f t="shared" si="48"/>
        <v>82.985152406144707</v>
      </c>
      <c r="S132" s="45">
        <f t="shared" si="49"/>
        <v>87.958755890467671</v>
      </c>
      <c r="T132" s="45">
        <f t="shared" si="50"/>
        <v>41.372672138550051</v>
      </c>
    </row>
    <row r="133" spans="2:20" s="5" customFormat="1" x14ac:dyDescent="0.2">
      <c r="B133" s="72" t="str">
        <f>+'C1 Aprop Resumen 2000-2026'!B20</f>
        <v>* Información con corte a 30 de Junio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  <c r="M134" s="109"/>
      <c r="N134" s="109"/>
      <c r="O134" s="109"/>
      <c r="P134" s="109"/>
      <c r="Q134" s="109"/>
      <c r="R134" s="109"/>
      <c r="S134" s="109"/>
    </row>
    <row r="135" spans="2:20" x14ac:dyDescent="0.2">
      <c r="M135" s="109"/>
      <c r="N135" s="109"/>
      <c r="O135" s="109"/>
      <c r="P135" s="109"/>
      <c r="Q135" s="109"/>
      <c r="R135" s="109"/>
      <c r="S135" s="109"/>
    </row>
    <row r="136" spans="2:20" x14ac:dyDescent="0.2">
      <c r="M136" s="109"/>
      <c r="N136" s="109"/>
      <c r="O136" s="109"/>
      <c r="P136" s="109"/>
      <c r="Q136" s="109"/>
      <c r="R136" s="109"/>
      <c r="S136" s="109"/>
    </row>
    <row r="137" spans="2:20" x14ac:dyDescent="0.2">
      <c r="M137" s="109"/>
      <c r="N137" s="109"/>
      <c r="O137" s="109"/>
      <c r="P137" s="109"/>
      <c r="Q137" s="109"/>
      <c r="R137" s="109"/>
      <c r="S137" s="109"/>
    </row>
    <row r="138" spans="2:20" x14ac:dyDescent="0.2">
      <c r="M138" s="109"/>
      <c r="N138" s="109"/>
      <c r="O138" s="109"/>
      <c r="P138" s="109"/>
      <c r="Q138" s="109"/>
      <c r="R138" s="109"/>
      <c r="S138" s="109"/>
    </row>
  </sheetData>
  <mergeCells count="106">
    <mergeCell ref="B12:B13"/>
    <mergeCell ref="N12:N13"/>
    <mergeCell ref="N77:N78"/>
    <mergeCell ref="P6:P7"/>
    <mergeCell ref="P77:P78"/>
    <mergeCell ref="R6:R7"/>
    <mergeCell ref="D45:D46"/>
    <mergeCell ref="F45:F46"/>
    <mergeCell ref="R12:R13"/>
    <mergeCell ref="I6:I7"/>
    <mergeCell ref="K6:K7"/>
    <mergeCell ref="C12:C13"/>
    <mergeCell ref="G6:G7"/>
    <mergeCell ref="Q6:Q7"/>
    <mergeCell ref="E6:E7"/>
    <mergeCell ref="M77:M78"/>
    <mergeCell ref="E77:E78"/>
    <mergeCell ref="R110:R111"/>
    <mergeCell ref="T110:T111"/>
    <mergeCell ref="H12:H13"/>
    <mergeCell ref="J12:J13"/>
    <mergeCell ref="L6:L7"/>
    <mergeCell ref="N6:N7"/>
    <mergeCell ref="O77:O78"/>
    <mergeCell ref="D42:T42"/>
    <mergeCell ref="G77:G78"/>
    <mergeCell ref="Q77:Q78"/>
    <mergeCell ref="I77:I78"/>
    <mergeCell ref="T45:T46"/>
    <mergeCell ref="D44:K44"/>
    <mergeCell ref="T12:T13"/>
    <mergeCell ref="M11:T11"/>
    <mergeCell ref="M109:T109"/>
    <mergeCell ref="H45:H46"/>
    <mergeCell ref="J45:J46"/>
    <mergeCell ref="K77:K78"/>
    <mergeCell ref="D107:T107"/>
    <mergeCell ref="D43:K43"/>
    <mergeCell ref="O110:O111"/>
    <mergeCell ref="Q110:Q111"/>
    <mergeCell ref="D74:T74"/>
    <mergeCell ref="S77:S78"/>
    <mergeCell ref="J6:J7"/>
    <mergeCell ref="I12:I13"/>
    <mergeCell ref="K12:K13"/>
    <mergeCell ref="M6:M7"/>
    <mergeCell ref="M4:T4"/>
    <mergeCell ref="I45:I46"/>
    <mergeCell ref="J77:J78"/>
    <mergeCell ref="C45:C46"/>
    <mergeCell ref="D77:D78"/>
    <mergeCell ref="O45:O46"/>
    <mergeCell ref="D12:D13"/>
    <mergeCell ref="R45:R46"/>
    <mergeCell ref="A7:C7"/>
    <mergeCell ref="E12:E13"/>
    <mergeCell ref="G12:G13"/>
    <mergeCell ref="Q12:Q13"/>
    <mergeCell ref="S12:S13"/>
    <mergeCell ref="M44:T44"/>
    <mergeCell ref="K45:K46"/>
    <mergeCell ref="D11:K11"/>
    <mergeCell ref="M12:M13"/>
    <mergeCell ref="O12:O13"/>
    <mergeCell ref="D76:K76"/>
    <mergeCell ref="J110:J111"/>
    <mergeCell ref="C77:C78"/>
    <mergeCell ref="D110:D111"/>
    <mergeCell ref="D6:D7"/>
    <mergeCell ref="N45:N46"/>
    <mergeCell ref="N110:N111"/>
    <mergeCell ref="F6:F7"/>
    <mergeCell ref="P45:P46"/>
    <mergeCell ref="P110:P111"/>
    <mergeCell ref="F12:F13"/>
    <mergeCell ref="D10:K10"/>
    <mergeCell ref="H6:H7"/>
    <mergeCell ref="F110:F111"/>
    <mergeCell ref="H110:H111"/>
    <mergeCell ref="K110:K111"/>
    <mergeCell ref="M110:M111"/>
    <mergeCell ref="D109:J109"/>
    <mergeCell ref="D2:T2"/>
    <mergeCell ref="C110:C111"/>
    <mergeCell ref="E110:E111"/>
    <mergeCell ref="E45:E46"/>
    <mergeCell ref="F77:F78"/>
    <mergeCell ref="H77:H78"/>
    <mergeCell ref="G110:G111"/>
    <mergeCell ref="G45:G46"/>
    <mergeCell ref="B108:I108"/>
    <mergeCell ref="I110:I111"/>
    <mergeCell ref="Q45:Q46"/>
    <mergeCell ref="S45:S46"/>
    <mergeCell ref="S110:S111"/>
    <mergeCell ref="D9:T9"/>
    <mergeCell ref="A5:C6"/>
    <mergeCell ref="M76:T76"/>
    <mergeCell ref="O6:O7"/>
    <mergeCell ref="S6:S7"/>
    <mergeCell ref="M45:M46"/>
    <mergeCell ref="P12:P13"/>
    <mergeCell ref="R77:R78"/>
    <mergeCell ref="T6:T7"/>
    <mergeCell ref="T77:T78"/>
    <mergeCell ref="D4:K4"/>
  </mergeCells>
  <pageMargins left="0.7" right="0.7" top="0.75" bottom="0.75" header="0.3" footer="0.3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U138"/>
  <sheetViews>
    <sheetView showGridLines="0" zoomScaleNormal="100" workbookViewId="0">
      <pane xSplit="3" ySplit="7" topLeftCell="E8" activePane="bottomRight" state="frozen"/>
      <selection activeCell="C204" sqref="C204:V204"/>
      <selection pane="topRight" activeCell="C204" sqref="C204:V204"/>
      <selection pane="bottomLeft" activeCell="C204" sqref="C204:V204"/>
      <selection pane="bottomRight" activeCell="L114" sqref="L114"/>
    </sheetView>
  </sheetViews>
  <sheetFormatPr baseColWidth="10" defaultColWidth="11.42578125" defaultRowHeight="11.25" x14ac:dyDescent="0.2"/>
  <cols>
    <col min="1" max="2" width="2.7109375" style="3" customWidth="1"/>
    <col min="3" max="3" width="45.7109375" style="3" customWidth="1"/>
    <col min="4" max="10" width="10.7109375" style="3" customWidth="1"/>
    <col min="11" max="11" width="9.42578125" style="5" customWidth="1"/>
    <col min="12" max="12" width="10.7109375" style="5" customWidth="1"/>
    <col min="13" max="33" width="10.7109375" style="3" customWidth="1"/>
    <col min="34" max="34" width="11.42578125" style="3" customWidth="1"/>
    <col min="35" max="16384" width="11.42578125" style="3"/>
  </cols>
  <sheetData>
    <row r="1" spans="1:20" ht="16.5" customHeight="1" x14ac:dyDescent="0.2">
      <c r="I1" s="4"/>
    </row>
    <row r="2" spans="1:20" ht="16.5" customHeight="1" x14ac:dyDescent="0.2">
      <c r="D2" s="163"/>
      <c r="E2" s="160"/>
      <c r="F2" s="160"/>
      <c r="G2" s="160"/>
      <c r="H2" s="160"/>
      <c r="I2" s="160"/>
      <c r="J2" s="160"/>
      <c r="K2" s="170"/>
      <c r="L2" s="170"/>
      <c r="M2" s="160"/>
      <c r="N2" s="160"/>
      <c r="O2" s="160"/>
      <c r="P2" s="160"/>
      <c r="Q2" s="160"/>
      <c r="R2" s="160"/>
      <c r="S2" s="160"/>
      <c r="T2" s="160"/>
    </row>
    <row r="3" spans="1:20" ht="16.5" customHeight="1" x14ac:dyDescent="0.2">
      <c r="I3" s="4"/>
    </row>
    <row r="4" spans="1:20" s="98" customFormat="1" ht="16.5" customHeight="1" x14ac:dyDescent="0.25">
      <c r="A4" s="120"/>
      <c r="D4" s="165"/>
      <c r="E4" s="158"/>
      <c r="F4" s="158"/>
      <c r="G4" s="158"/>
      <c r="H4" s="158"/>
      <c r="I4" s="158"/>
      <c r="J4" s="158"/>
      <c r="K4" s="158"/>
      <c r="L4" s="133"/>
      <c r="M4" s="165"/>
      <c r="N4" s="158"/>
      <c r="O4" s="158"/>
      <c r="P4" s="158"/>
      <c r="Q4" s="158"/>
      <c r="R4" s="158"/>
      <c r="S4" s="158"/>
      <c r="T4" s="158"/>
    </row>
    <row r="5" spans="1:20" s="98" customFormat="1" ht="16.5" customHeight="1" x14ac:dyDescent="0.25">
      <c r="A5" s="169" t="s">
        <v>7</v>
      </c>
      <c r="B5" s="158"/>
      <c r="C5" s="158"/>
      <c r="D5" s="147"/>
      <c r="E5" s="147"/>
      <c r="F5" s="147"/>
      <c r="G5" s="147"/>
      <c r="H5" s="147"/>
      <c r="I5" s="147"/>
      <c r="J5" s="147"/>
      <c r="K5" s="147"/>
      <c r="L5" s="133"/>
      <c r="M5" s="147"/>
      <c r="N5" s="147"/>
      <c r="O5" s="147"/>
      <c r="P5" s="147"/>
      <c r="Q5" s="147"/>
      <c r="R5" s="147"/>
      <c r="S5" s="147"/>
      <c r="T5" s="147"/>
    </row>
    <row r="6" spans="1:20" s="98" customFormat="1" ht="16.5" customHeight="1" x14ac:dyDescent="0.25">
      <c r="A6" s="158"/>
      <c r="B6" s="158"/>
      <c r="C6" s="158"/>
      <c r="D6" s="157">
        <v>2019</v>
      </c>
      <c r="E6" s="157">
        <v>2020</v>
      </c>
      <c r="F6" s="157">
        <v>2021</v>
      </c>
      <c r="G6" s="157">
        <v>2022</v>
      </c>
      <c r="H6" s="157">
        <v>2023</v>
      </c>
      <c r="I6" s="157">
        <v>2024</v>
      </c>
      <c r="J6" s="157">
        <v>2025</v>
      </c>
      <c r="K6" s="157" t="s">
        <v>36</v>
      </c>
      <c r="L6" s="157"/>
      <c r="M6" s="157">
        <v>2019</v>
      </c>
      <c r="N6" s="157">
        <v>2020</v>
      </c>
      <c r="O6" s="157">
        <v>2021</v>
      </c>
      <c r="P6" s="157">
        <v>2022</v>
      </c>
      <c r="Q6" s="157">
        <v>2023</v>
      </c>
      <c r="R6" s="157">
        <v>2024</v>
      </c>
      <c r="S6" s="157">
        <v>2025</v>
      </c>
      <c r="T6" s="157" t="s">
        <v>36</v>
      </c>
    </row>
    <row r="7" spans="1:20" s="98" customFormat="1" ht="16.5" customHeight="1" x14ac:dyDescent="0.25">
      <c r="A7" s="166" t="s">
        <v>227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</row>
    <row r="8" spans="1:20" s="98" customFormat="1" ht="16.5" customHeight="1" x14ac:dyDescent="0.25">
      <c r="A8" s="97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spans="1:20" ht="16.5" customHeight="1" x14ac:dyDescent="0.2">
      <c r="C9" s="138"/>
      <c r="D9" s="178" t="s">
        <v>115</v>
      </c>
      <c r="E9" s="160"/>
      <c r="F9" s="160"/>
      <c r="G9" s="160"/>
      <c r="H9" s="160"/>
      <c r="I9" s="160"/>
      <c r="J9" s="160"/>
      <c r="K9" s="170"/>
      <c r="L9" s="170"/>
      <c r="M9" s="160"/>
      <c r="N9" s="160"/>
      <c r="O9" s="160"/>
      <c r="P9" s="160"/>
      <c r="Q9" s="160"/>
      <c r="R9" s="160"/>
      <c r="S9" s="160"/>
      <c r="T9" s="160"/>
    </row>
    <row r="11" spans="1:20" ht="12" customHeight="1" thickBot="1" x14ac:dyDescent="0.3">
      <c r="B11" s="115"/>
      <c r="C11" s="92"/>
      <c r="D11" s="173"/>
      <c r="E11" s="156"/>
      <c r="F11" s="156"/>
      <c r="G11" s="156"/>
      <c r="H11" s="156"/>
      <c r="I11" s="156"/>
      <c r="J11" s="156"/>
      <c r="K11" s="156"/>
      <c r="M11" s="173" t="s">
        <v>91</v>
      </c>
      <c r="N11" s="156"/>
      <c r="O11" s="156"/>
      <c r="P11" s="156"/>
      <c r="Q11" s="156"/>
      <c r="R11" s="156"/>
      <c r="S11" s="156"/>
      <c r="T11" s="156"/>
    </row>
    <row r="12" spans="1:20" ht="13.5" customHeight="1" x14ac:dyDescent="0.2">
      <c r="B12" s="167"/>
      <c r="C12" s="175" t="s">
        <v>38</v>
      </c>
      <c r="D12" s="155">
        <v>2019</v>
      </c>
      <c r="E12" s="155">
        <v>2020</v>
      </c>
      <c r="F12" s="155">
        <v>2021</v>
      </c>
      <c r="G12" s="155">
        <v>2022</v>
      </c>
      <c r="H12" s="155">
        <v>2023</v>
      </c>
      <c r="I12" s="155">
        <v>2024</v>
      </c>
      <c r="J12" s="155">
        <v>2025</v>
      </c>
      <c r="K12" s="155" t="s">
        <v>36</v>
      </c>
      <c r="L12" s="114"/>
      <c r="M12" s="49">
        <v>2019</v>
      </c>
      <c r="N12" s="49">
        <v>2020</v>
      </c>
      <c r="O12" s="49">
        <v>2021</v>
      </c>
      <c r="P12" s="49">
        <v>2022</v>
      </c>
      <c r="Q12" s="49">
        <v>2023</v>
      </c>
      <c r="R12" s="49">
        <v>2024</v>
      </c>
      <c r="S12" s="135">
        <v>2025</v>
      </c>
      <c r="T12" s="114" t="s">
        <v>36</v>
      </c>
    </row>
    <row r="13" spans="1:20" ht="12" customHeight="1" thickBot="1" x14ac:dyDescent="0.25"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14"/>
      <c r="M13" s="84"/>
      <c r="N13" s="84"/>
      <c r="O13" s="84"/>
      <c r="P13" s="84"/>
      <c r="Q13" s="84"/>
      <c r="R13" s="84"/>
      <c r="S13" s="84"/>
      <c r="T13" s="84"/>
    </row>
    <row r="14" spans="1:20" x14ac:dyDescent="0.2">
      <c r="B14" s="34" t="s">
        <v>39</v>
      </c>
      <c r="C14" s="76" t="s">
        <v>40</v>
      </c>
      <c r="D14" s="51">
        <f t="shared" ref="D14:K14" si="0">+SUM(D15:D21)</f>
        <v>10148.519152327268</v>
      </c>
      <c r="E14" s="51">
        <f t="shared" si="0"/>
        <v>10219.337528819951</v>
      </c>
      <c r="F14" s="51">
        <f t="shared" si="0"/>
        <v>12378.324401613967</v>
      </c>
      <c r="G14" s="51">
        <f t="shared" si="0"/>
        <v>10875.26540224259</v>
      </c>
      <c r="H14" s="51">
        <f t="shared" si="0"/>
        <v>12123.938774888495</v>
      </c>
      <c r="I14" s="51">
        <f t="shared" si="0"/>
        <v>15008.988228892647</v>
      </c>
      <c r="J14" s="51">
        <f t="shared" si="0"/>
        <v>13300.593734398735</v>
      </c>
      <c r="K14" s="51">
        <f t="shared" si="0"/>
        <v>13760.828815064988</v>
      </c>
      <c r="L14" s="73"/>
      <c r="M14" s="119">
        <f t="shared" ref="M14:M34" si="1">+(D14/D$34)*100</f>
        <v>43.924574039183952</v>
      </c>
      <c r="N14" s="119">
        <f t="shared" ref="N14:N34" si="2">+(E14/E$34)*100</f>
        <v>45.084309829417727</v>
      </c>
      <c r="O14" s="119">
        <f t="shared" ref="O14:O34" si="3">+(F14/F$34)*100</f>
        <v>45.585166256754498</v>
      </c>
      <c r="P14" s="119">
        <f t="shared" ref="P14:P34" si="4">+(G14/G$34)*100</f>
        <v>44.920670784268729</v>
      </c>
      <c r="Q14" s="119">
        <f t="shared" ref="Q14:Q34" si="5">+(H14/H$34)*100</f>
        <v>47.484593322173687</v>
      </c>
      <c r="R14" s="119">
        <f t="shared" ref="R14:R34" si="6">+(I14/I$34)*100</f>
        <v>49.909729257126969</v>
      </c>
      <c r="S14" s="119">
        <f t="shared" ref="S14:S34" si="7">+(J14/J$34)*100</f>
        <v>47.645128044172438</v>
      </c>
      <c r="T14" s="119">
        <f t="shared" ref="T14:T34" si="8">+(K14/K$34)*100</f>
        <v>46.296551777157603</v>
      </c>
    </row>
    <row r="15" spans="1:20" x14ac:dyDescent="0.2">
      <c r="B15" s="40"/>
      <c r="C15" s="77" t="s">
        <v>92</v>
      </c>
      <c r="D15" s="52">
        <f>1863.2089883463*Deflactores!$T$5</f>
        <v>2897.9321882748441</v>
      </c>
      <c r="E15" s="52">
        <f>1954.06705205901*Deflactores!$U$5</f>
        <v>2991.0912255988346</v>
      </c>
      <c r="F15" s="52">
        <f>2217.456540964*Deflactores!$V$5</f>
        <v>3213.6542535665258</v>
      </c>
      <c r="G15" s="52">
        <f>2488.839629829*Deflactores!$W$5</f>
        <v>3188.6110778638763</v>
      </c>
      <c r="H15" s="52">
        <f>2821.514818766*Deflactores!$X$5</f>
        <v>3307.8536472526384</v>
      </c>
      <c r="I15" s="52">
        <f>3277.5208366*Deflactores!$Y$5</f>
        <v>3652.5289964452595</v>
      </c>
      <c r="J15" s="52">
        <f>3488.657640394*Deflactores!$Z$5</f>
        <v>3699.1303214425157</v>
      </c>
      <c r="K15" s="52">
        <f>4205.678546128*Deflactores!$AA$5</f>
        <v>4205.6785461279997</v>
      </c>
      <c r="M15" s="109">
        <f t="shared" si="1"/>
        <v>12.54275969270082</v>
      </c>
      <c r="N15" s="109">
        <f t="shared" si="2"/>
        <v>13.195697192959063</v>
      </c>
      <c r="O15" s="109">
        <f t="shared" si="3"/>
        <v>11.8347975612479</v>
      </c>
      <c r="P15" s="109">
        <f t="shared" si="4"/>
        <v>13.170671536738682</v>
      </c>
      <c r="Q15" s="109">
        <f t="shared" si="5"/>
        <v>12.955532696551836</v>
      </c>
      <c r="R15" s="109">
        <f t="shared" si="6"/>
        <v>12.14583758320652</v>
      </c>
      <c r="S15" s="109">
        <f t="shared" si="7"/>
        <v>13.250952651940146</v>
      </c>
      <c r="T15" s="109">
        <f t="shared" si="8"/>
        <v>14.149468552049296</v>
      </c>
    </row>
    <row r="16" spans="1:20" x14ac:dyDescent="0.2">
      <c r="B16" s="40"/>
      <c r="C16" s="77" t="s">
        <v>93</v>
      </c>
      <c r="D16" s="52">
        <f>790.799266779*Deflactores!$T$5</f>
        <v>1229.9654327542739</v>
      </c>
      <c r="E16" s="52">
        <f>817.223551508299*Deflactores!$U$5</f>
        <v>1250.9244202718246</v>
      </c>
      <c r="F16" s="52">
        <f>918.913218713*Deflactores!$V$5</f>
        <v>1331.7372040544005</v>
      </c>
      <c r="G16" s="52">
        <f>966.058614986*Deflactores!$W$5</f>
        <v>1237.6792641403881</v>
      </c>
      <c r="H16" s="52">
        <f>1128.924715155*Deflactores!$X$5</f>
        <v>1323.515195334799</v>
      </c>
      <c r="I16" s="52">
        <f>1304.742570945*Deflactores!$Y$5</f>
        <v>1454.0289172400339</v>
      </c>
      <c r="J16" s="52">
        <f>1599.56648705337*Deflactores!$Z$5</f>
        <v>1696.0692344560807</v>
      </c>
      <c r="K16" s="52">
        <f>1541.13061514299*Deflactores!$AA$5</f>
        <v>1541.1306151429901</v>
      </c>
      <c r="M16" s="109">
        <f t="shared" si="1"/>
        <v>5.3235065043221415</v>
      </c>
      <c r="N16" s="109">
        <f t="shared" si="2"/>
        <v>5.5186614570339936</v>
      </c>
      <c r="O16" s="109">
        <f t="shared" si="3"/>
        <v>4.9043359898703089</v>
      </c>
      <c r="P16" s="109">
        <f t="shared" si="4"/>
        <v>5.1122782483544364</v>
      </c>
      <c r="Q16" s="109">
        <f t="shared" si="5"/>
        <v>5.1836768539577358</v>
      </c>
      <c r="R16" s="109">
        <f t="shared" si="6"/>
        <v>4.8351153645243246</v>
      </c>
      <c r="S16" s="109">
        <f t="shared" si="7"/>
        <v>6.0756262059525685</v>
      </c>
      <c r="T16" s="109">
        <f t="shared" si="8"/>
        <v>5.184937206777775</v>
      </c>
    </row>
    <row r="17" spans="2:20" x14ac:dyDescent="0.2">
      <c r="B17" s="40"/>
      <c r="C17" s="77" t="s">
        <v>58</v>
      </c>
      <c r="D17" s="52">
        <f>2316.4896230847*Deflactores!$T$5</f>
        <v>3602.9398121892891</v>
      </c>
      <c r="E17" s="52">
        <f>2425.31169772414*Deflactores!$U$5</f>
        <v>3712.4255949973499</v>
      </c>
      <c r="F17" s="52">
        <f>3456.90999714055*Deflactores!$V$5</f>
        <v>5009.9351717972322</v>
      </c>
      <c r="G17" s="52">
        <f>2913.824616056*Deflactores!$W$5</f>
        <v>3733.0864304611609</v>
      </c>
      <c r="H17" s="52">
        <f>4302.768849133*Deflactores!$X$5</f>
        <v>5044.4284524844197</v>
      </c>
      <c r="I17" s="52">
        <f>6644.760302604*Deflactores!$Y$5</f>
        <v>7405.0420698062226</v>
      </c>
      <c r="J17" s="52">
        <f>5231.38097777463*Deflactores!$Z$5</f>
        <v>5546.9931396645197</v>
      </c>
      <c r="K17" s="52">
        <f>5649.447303051*Deflactores!$AA$5</f>
        <v>5649.4473030509998</v>
      </c>
      <c r="L17" s="52"/>
      <c r="M17" s="109">
        <f t="shared" si="1"/>
        <v>15.594156562530619</v>
      </c>
      <c r="N17" s="109">
        <f t="shared" si="2"/>
        <v>16.377983922295183</v>
      </c>
      <c r="O17" s="109">
        <f t="shared" si="3"/>
        <v>18.449890335089396</v>
      </c>
      <c r="P17" s="109">
        <f t="shared" si="4"/>
        <v>15.419646357999389</v>
      </c>
      <c r="Q17" s="109">
        <f t="shared" si="5"/>
        <v>19.756997957227611</v>
      </c>
      <c r="R17" s="109">
        <f t="shared" si="6"/>
        <v>24.624154486989781</v>
      </c>
      <c r="S17" s="109">
        <f t="shared" si="7"/>
        <v>19.870330879737189</v>
      </c>
      <c r="T17" s="109">
        <f t="shared" si="8"/>
        <v>19.006844216511588</v>
      </c>
    </row>
    <row r="18" spans="2:20" x14ac:dyDescent="0.2">
      <c r="B18" s="40"/>
      <c r="C18" s="77" t="s">
        <v>94</v>
      </c>
      <c r="D18" s="52">
        <f>1377.8367988614*Deflactores!$T$5</f>
        <v>2143.0111354035066</v>
      </c>
      <c r="E18" s="52">
        <f>1279.043380693*Deflactores!$U$5</f>
        <v>1957.8322192782002</v>
      </c>
      <c r="F18" s="52">
        <f>1717.614450152*Deflactores!$V$5</f>
        <v>2489.2568948921366</v>
      </c>
      <c r="G18" s="52">
        <f>1806.257785013*Deflactores!$W$5</f>
        <v>2314.1119715961904</v>
      </c>
      <c r="H18" s="52">
        <f>1773.381554525*Deflactores!$X$5</f>
        <v>2079.0557625607757</v>
      </c>
      <c r="I18" s="52">
        <f>1980.1056419455*Deflactores!$Y$5</f>
        <v>2206.6658409816418</v>
      </c>
      <c r="J18" s="52">
        <f>1909.907392806*Deflactores!$Z$5</f>
        <v>2025.13318190718</v>
      </c>
      <c r="K18" s="52">
        <f>2081.992664699*Deflactores!$AA$5</f>
        <v>2081.9926646990002</v>
      </c>
      <c r="L18" s="52"/>
      <c r="M18" s="109">
        <f t="shared" si="1"/>
        <v>9.2753287322949785</v>
      </c>
      <c r="N18" s="109">
        <f t="shared" si="2"/>
        <v>8.6373029679299886</v>
      </c>
      <c r="O18" s="109">
        <f t="shared" si="3"/>
        <v>9.1670880264404069</v>
      </c>
      <c r="P18" s="109">
        <f t="shared" si="4"/>
        <v>9.5585218557122893</v>
      </c>
      <c r="Q18" s="109">
        <f t="shared" si="5"/>
        <v>8.1428254639324607</v>
      </c>
      <c r="R18" s="109">
        <f t="shared" si="6"/>
        <v>7.3378760116776878</v>
      </c>
      <c r="S18" s="109">
        <f t="shared" si="7"/>
        <v>7.2543926748869874</v>
      </c>
      <c r="T18" s="109">
        <f t="shared" si="8"/>
        <v>7.0045985235551651</v>
      </c>
    </row>
    <row r="19" spans="2:20" x14ac:dyDescent="0.2">
      <c r="B19" s="40"/>
      <c r="C19" s="77" t="s">
        <v>95</v>
      </c>
      <c r="D19" s="52">
        <f>80.7731435*Deflactores!$T$5</f>
        <v>125.63007905224174</v>
      </c>
      <c r="E19" s="52">
        <f>103.114626294*Deflactores!$U$5</f>
        <v>157.83760010379228</v>
      </c>
      <c r="F19" s="52">
        <f>105.34410756*Deflactores!$V$5</f>
        <v>152.67020259219581</v>
      </c>
      <c r="G19" s="52">
        <f>170.112788486*Deflactores!$W$5</f>
        <v>217.94233559759019</v>
      </c>
      <c r="H19" s="52">
        <f>189.714629994*Deflactores!$X$5</f>
        <v>222.41535879556298</v>
      </c>
      <c r="I19" s="52">
        <f>127.972288652*Deflactores!$Y$5</f>
        <v>142.61465246023653</v>
      </c>
      <c r="J19" s="52">
        <f>162.478377139*Deflactores!$Z$5</f>
        <v>172.28078917648358</v>
      </c>
      <c r="K19" s="52">
        <f>132.89577*Deflactores!$AA$5</f>
        <v>132.89577</v>
      </c>
      <c r="L19" s="52"/>
      <c r="M19" s="109">
        <f t="shared" si="1"/>
        <v>0.54374905600028112</v>
      </c>
      <c r="N19" s="109">
        <f t="shared" si="2"/>
        <v>0.69632686519483289</v>
      </c>
      <c r="O19" s="109">
        <f t="shared" si="3"/>
        <v>0.56223252370976906</v>
      </c>
      <c r="P19" s="109">
        <f t="shared" si="4"/>
        <v>0.90021857354535362</v>
      </c>
      <c r="Q19" s="109">
        <f t="shared" si="5"/>
        <v>0.87111153042834366</v>
      </c>
      <c r="R19" s="109">
        <f t="shared" si="6"/>
        <v>0.47423974113642253</v>
      </c>
      <c r="S19" s="109">
        <f t="shared" si="7"/>
        <v>0.61714089038264297</v>
      </c>
      <c r="T19" s="109">
        <f t="shared" si="8"/>
        <v>0.4471108520756038</v>
      </c>
    </row>
    <row r="20" spans="2:20" x14ac:dyDescent="0.2">
      <c r="B20" s="40"/>
      <c r="C20" s="77" t="s">
        <v>96</v>
      </c>
      <c r="D20" s="52">
        <f>8.357250844*Deflactores!$T$5</f>
        <v>12.998405641983387</v>
      </c>
      <c r="E20" s="52">
        <f>7.146149*Deflactores!$U$5</f>
        <v>10.938613159768071</v>
      </c>
      <c r="F20" s="52">
        <f>19.85*Deflactores!$V$5</f>
        <v>28.767660495192171</v>
      </c>
      <c r="G20" s="52">
        <f>17.904*Deflactores!$W$5</f>
        <v>22.93795552508027</v>
      </c>
      <c r="H20" s="52">
        <f>11.120135*Deflactores!$X$5</f>
        <v>13.03689028072489</v>
      </c>
      <c r="I20" s="52">
        <f>11.853109917*Deflactores!$Y$5</f>
        <v>13.20932187110275</v>
      </c>
      <c r="J20" s="52">
        <f>10.77826497*Deflactores!$Z$5</f>
        <v>11.428523768404476</v>
      </c>
      <c r="K20" s="52">
        <f>16.256*Deflactores!$AA$5</f>
        <v>16.256</v>
      </c>
      <c r="L20" s="52"/>
      <c r="M20" s="109">
        <f t="shared" si="1"/>
        <v>5.6259383506382314E-2</v>
      </c>
      <c r="N20" s="109">
        <f t="shared" si="2"/>
        <v>4.8257514091138536E-2</v>
      </c>
      <c r="O20" s="109">
        <f t="shared" si="3"/>
        <v>0.10594152681280652</v>
      </c>
      <c r="P20" s="109">
        <f t="shared" si="4"/>
        <v>9.4746041636266848E-2</v>
      </c>
      <c r="Q20" s="109">
        <f t="shared" si="5"/>
        <v>5.1060257286041404E-2</v>
      </c>
      <c r="R20" s="109">
        <f t="shared" si="6"/>
        <v>4.392525786567459E-2</v>
      </c>
      <c r="S20" s="109">
        <f t="shared" si="7"/>
        <v>4.0939035442699702E-2</v>
      </c>
      <c r="T20" s="109">
        <f t="shared" si="8"/>
        <v>5.469123668376364E-2</v>
      </c>
    </row>
    <row r="21" spans="2:20" x14ac:dyDescent="0.2">
      <c r="B21" s="40"/>
      <c r="C21" s="77" t="s">
        <v>97</v>
      </c>
      <c r="D21" s="52">
        <f>87.467492406*Deflactores!$T$5</f>
        <v>136.04209901112904</v>
      </c>
      <c r="E21" s="52">
        <f>90.34286204455*Deflactores!$U$5</f>
        <v>138.28785541018331</v>
      </c>
      <c r="F21" s="52">
        <f>105.09074356945*Deflactores!$V$5</f>
        <v>152.30301421628397</v>
      </c>
      <c r="G21" s="52">
        <f>125.586107823*Deflactores!$W$5</f>
        <v>160.89636705830594</v>
      </c>
      <c r="H21" s="52">
        <f>113.985941024*Deflactores!$X$5</f>
        <v>133.63346817957392</v>
      </c>
      <c r="I21" s="52">
        <f>121.048297185*Deflactores!$Y$5</f>
        <v>134.89843008814864</v>
      </c>
      <c r="J21" s="52">
        <f>141.048979575*Deflactores!$Z$5</f>
        <v>149.5585439835485</v>
      </c>
      <c r="K21" s="52">
        <f>133.427916044*Deflactores!$AA$5</f>
        <v>133.427916044</v>
      </c>
      <c r="L21" s="52"/>
      <c r="M21" s="109">
        <f t="shared" si="1"/>
        <v>0.58881410782872723</v>
      </c>
      <c r="N21" s="109">
        <f t="shared" si="2"/>
        <v>0.61007990991352923</v>
      </c>
      <c r="O21" s="109">
        <f t="shared" si="3"/>
        <v>0.56088029358391234</v>
      </c>
      <c r="P21" s="109">
        <f t="shared" si="4"/>
        <v>0.66458817028231987</v>
      </c>
      <c r="Q21" s="109">
        <f t="shared" si="5"/>
        <v>0.52338856278965873</v>
      </c>
      <c r="R21" s="109">
        <f t="shared" si="6"/>
        <v>0.44858081172655478</v>
      </c>
      <c r="S21" s="109">
        <f t="shared" si="7"/>
        <v>0.53574570583019832</v>
      </c>
      <c r="T21" s="109">
        <f t="shared" si="8"/>
        <v>0.4489011895044136</v>
      </c>
    </row>
    <row r="22" spans="2:20" x14ac:dyDescent="0.2">
      <c r="B22" s="34" t="s">
        <v>41</v>
      </c>
      <c r="C22" s="76" t="s">
        <v>42</v>
      </c>
      <c r="D22" s="51">
        <f t="shared" ref="D22:K22" si="9">+D23+D27</f>
        <v>2.046833599248866</v>
      </c>
      <c r="E22" s="51">
        <f t="shared" si="9"/>
        <v>1.7832659704030522</v>
      </c>
      <c r="F22" s="51">
        <f t="shared" si="9"/>
        <v>1.8608401045756546</v>
      </c>
      <c r="G22" s="51">
        <f t="shared" si="9"/>
        <v>22.060329907593335</v>
      </c>
      <c r="H22" s="51">
        <f t="shared" si="9"/>
        <v>61.678134511857046</v>
      </c>
      <c r="I22" s="51">
        <f t="shared" si="9"/>
        <v>0</v>
      </c>
      <c r="J22" s="51">
        <f t="shared" si="9"/>
        <v>0</v>
      </c>
      <c r="K22" s="51">
        <f t="shared" si="9"/>
        <v>0</v>
      </c>
      <c r="L22" s="73"/>
      <c r="M22" s="119">
        <f t="shared" si="1"/>
        <v>8.8590554569213959E-3</v>
      </c>
      <c r="N22" s="119">
        <f t="shared" si="2"/>
        <v>7.8671748820485533E-3</v>
      </c>
      <c r="O22" s="119">
        <f t="shared" si="3"/>
        <v>6.8528423389241097E-3</v>
      </c>
      <c r="P22" s="119">
        <f t="shared" si="4"/>
        <v>9.112097778937979E-2</v>
      </c>
      <c r="Q22" s="119">
        <f t="shared" si="5"/>
        <v>0.24156845300406871</v>
      </c>
      <c r="R22" s="119">
        <f t="shared" si="6"/>
        <v>0</v>
      </c>
      <c r="S22" s="119">
        <f t="shared" si="7"/>
        <v>0</v>
      </c>
      <c r="T22" s="119">
        <f t="shared" si="8"/>
        <v>0</v>
      </c>
    </row>
    <row r="23" spans="2:20" ht="11.25" hidden="1" customHeight="1" x14ac:dyDescent="0.2">
      <c r="B23" s="34"/>
      <c r="C23" s="76" t="s">
        <v>43</v>
      </c>
      <c r="D23" s="51">
        <f t="shared" ref="D23:K23" si="10">+SUM(D24:D26)</f>
        <v>0</v>
      </c>
      <c r="E23" s="51">
        <f t="shared" si="10"/>
        <v>0</v>
      </c>
      <c r="F23" s="51">
        <f t="shared" si="10"/>
        <v>0</v>
      </c>
      <c r="G23" s="51">
        <f t="shared" si="10"/>
        <v>0</v>
      </c>
      <c r="H23" s="51">
        <f t="shared" si="10"/>
        <v>0</v>
      </c>
      <c r="I23" s="51">
        <f t="shared" si="10"/>
        <v>0</v>
      </c>
      <c r="J23" s="51">
        <f t="shared" si="10"/>
        <v>0</v>
      </c>
      <c r="K23" s="51">
        <f t="shared" si="10"/>
        <v>0</v>
      </c>
      <c r="L23" s="73"/>
      <c r="M23" s="119">
        <f t="shared" si="1"/>
        <v>0</v>
      </c>
      <c r="N23" s="119">
        <f t="shared" si="2"/>
        <v>0</v>
      </c>
      <c r="O23" s="119">
        <f t="shared" si="3"/>
        <v>0</v>
      </c>
      <c r="P23" s="119">
        <f t="shared" si="4"/>
        <v>0</v>
      </c>
      <c r="Q23" s="119">
        <f t="shared" si="5"/>
        <v>0</v>
      </c>
      <c r="R23" s="119">
        <f t="shared" si="6"/>
        <v>0</v>
      </c>
      <c r="S23" s="119">
        <f t="shared" si="7"/>
        <v>0</v>
      </c>
      <c r="T23" s="119">
        <f t="shared" si="8"/>
        <v>0</v>
      </c>
    </row>
    <row r="24" spans="2:20" ht="11.25" hidden="1" customHeight="1" x14ac:dyDescent="0.2">
      <c r="B24" s="34"/>
      <c r="C24" s="85" t="s">
        <v>98</v>
      </c>
      <c r="D24" s="53">
        <f>0*Deflactores!$T$5</f>
        <v>0</v>
      </c>
      <c r="E24" s="53">
        <f>0*Deflactores!$U$5</f>
        <v>0</v>
      </c>
      <c r="F24" s="53">
        <f>0*Deflactores!$V$5</f>
        <v>0</v>
      </c>
      <c r="G24" s="53">
        <f>0*Deflactores!$W$5</f>
        <v>0</v>
      </c>
      <c r="H24" s="53">
        <f>0*Deflactores!$X$5</f>
        <v>0</v>
      </c>
      <c r="I24" s="53">
        <f>0*Deflactores!$Y$5</f>
        <v>0</v>
      </c>
      <c r="J24" s="53">
        <f>0*Deflactores!$Z$5</f>
        <v>0</v>
      </c>
      <c r="K24" s="53">
        <f>0*Deflactores!$AA$5</f>
        <v>0</v>
      </c>
      <c r="L24" s="52"/>
      <c r="M24" s="109">
        <f t="shared" si="1"/>
        <v>0</v>
      </c>
      <c r="N24" s="109">
        <f t="shared" si="2"/>
        <v>0</v>
      </c>
      <c r="O24" s="109">
        <f t="shared" si="3"/>
        <v>0</v>
      </c>
      <c r="P24" s="109">
        <f t="shared" si="4"/>
        <v>0</v>
      </c>
      <c r="Q24" s="109">
        <f t="shared" si="5"/>
        <v>0</v>
      </c>
      <c r="R24" s="109">
        <f t="shared" si="6"/>
        <v>0</v>
      </c>
      <c r="S24" s="109">
        <f t="shared" si="7"/>
        <v>0</v>
      </c>
      <c r="T24" s="109">
        <f t="shared" si="8"/>
        <v>0</v>
      </c>
    </row>
    <row r="25" spans="2:20" ht="11.25" hidden="1" customHeight="1" x14ac:dyDescent="0.2">
      <c r="B25" s="34"/>
      <c r="C25" s="85" t="s">
        <v>61</v>
      </c>
      <c r="D25" s="53">
        <f>0*Deflactores!$T$5</f>
        <v>0</v>
      </c>
      <c r="E25" s="53">
        <f>0*Deflactores!$U$5</f>
        <v>0</v>
      </c>
      <c r="F25" s="53">
        <f>0*Deflactores!$V$5</f>
        <v>0</v>
      </c>
      <c r="G25" s="53">
        <f>0*Deflactores!$W$5</f>
        <v>0</v>
      </c>
      <c r="H25" s="53">
        <f>0*Deflactores!$X$5</f>
        <v>0</v>
      </c>
      <c r="I25" s="53">
        <f>0*Deflactores!$Y$5</f>
        <v>0</v>
      </c>
      <c r="J25" s="53">
        <f>0*Deflactores!$Z$5</f>
        <v>0</v>
      </c>
      <c r="K25" s="53">
        <f>0*Deflactores!$AA$5</f>
        <v>0</v>
      </c>
      <c r="L25" s="52"/>
      <c r="M25" s="109">
        <f t="shared" si="1"/>
        <v>0</v>
      </c>
      <c r="N25" s="109">
        <f t="shared" si="2"/>
        <v>0</v>
      </c>
      <c r="O25" s="109">
        <f t="shared" si="3"/>
        <v>0</v>
      </c>
      <c r="P25" s="109">
        <f t="shared" si="4"/>
        <v>0</v>
      </c>
      <c r="Q25" s="109">
        <f t="shared" si="5"/>
        <v>0</v>
      </c>
      <c r="R25" s="109">
        <f t="shared" si="6"/>
        <v>0</v>
      </c>
      <c r="S25" s="109">
        <f t="shared" si="7"/>
        <v>0</v>
      </c>
      <c r="T25" s="109">
        <f t="shared" si="8"/>
        <v>0</v>
      </c>
    </row>
    <row r="26" spans="2:20" ht="11.25" hidden="1" customHeight="1" x14ac:dyDescent="0.2">
      <c r="B26" s="34"/>
      <c r="C26" s="85" t="s">
        <v>99</v>
      </c>
      <c r="D26" s="53">
        <f>0*Deflactores!$T$5</f>
        <v>0</v>
      </c>
      <c r="E26" s="53">
        <f>0*Deflactores!$U$5</f>
        <v>0</v>
      </c>
      <c r="F26" s="53">
        <f>0*Deflactores!$V$5</f>
        <v>0</v>
      </c>
      <c r="G26" s="53">
        <f>0*Deflactores!$W$5</f>
        <v>0</v>
      </c>
      <c r="H26" s="53">
        <f>0*Deflactores!$X$5</f>
        <v>0</v>
      </c>
      <c r="I26" s="53">
        <f>0*Deflactores!$Y$5</f>
        <v>0</v>
      </c>
      <c r="J26" s="53">
        <f>0*Deflactores!$Z$5</f>
        <v>0</v>
      </c>
      <c r="K26" s="53">
        <f>0*Deflactores!$AA$5</f>
        <v>0</v>
      </c>
      <c r="L26" s="52"/>
      <c r="M26" s="109">
        <f t="shared" si="1"/>
        <v>0</v>
      </c>
      <c r="N26" s="109">
        <f t="shared" si="2"/>
        <v>0</v>
      </c>
      <c r="O26" s="109">
        <f t="shared" si="3"/>
        <v>0</v>
      </c>
      <c r="P26" s="109">
        <f t="shared" si="4"/>
        <v>0</v>
      </c>
      <c r="Q26" s="109">
        <f t="shared" si="5"/>
        <v>0</v>
      </c>
      <c r="R26" s="109">
        <f t="shared" si="6"/>
        <v>0</v>
      </c>
      <c r="S26" s="109">
        <f t="shared" si="7"/>
        <v>0</v>
      </c>
      <c r="T26" s="109">
        <f t="shared" si="8"/>
        <v>0</v>
      </c>
    </row>
    <row r="27" spans="2:20" x14ac:dyDescent="0.2">
      <c r="B27" s="34"/>
      <c r="C27" s="76" t="s">
        <v>44</v>
      </c>
      <c r="D27" s="51">
        <f t="shared" ref="D27:K27" si="11">+SUM(D28:D31)</f>
        <v>2.046833599248866</v>
      </c>
      <c r="E27" s="51">
        <f t="shared" si="11"/>
        <v>1.7832659704030522</v>
      </c>
      <c r="F27" s="51">
        <f t="shared" si="11"/>
        <v>1.8608401045756546</v>
      </c>
      <c r="G27" s="51">
        <f t="shared" si="11"/>
        <v>22.060329907593335</v>
      </c>
      <c r="H27" s="51">
        <f t="shared" si="11"/>
        <v>61.678134511857046</v>
      </c>
      <c r="I27" s="51">
        <f t="shared" si="11"/>
        <v>0</v>
      </c>
      <c r="J27" s="51">
        <f t="shared" si="11"/>
        <v>0</v>
      </c>
      <c r="K27" s="51">
        <f t="shared" si="11"/>
        <v>0</v>
      </c>
      <c r="L27" s="73"/>
      <c r="M27" s="119">
        <f t="shared" si="1"/>
        <v>8.8590554569213959E-3</v>
      </c>
      <c r="N27" s="119">
        <f t="shared" si="2"/>
        <v>7.8671748820485533E-3</v>
      </c>
      <c r="O27" s="119">
        <f t="shared" si="3"/>
        <v>6.8528423389241097E-3</v>
      </c>
      <c r="P27" s="119">
        <f t="shared" si="4"/>
        <v>9.112097778937979E-2</v>
      </c>
      <c r="Q27" s="119">
        <f t="shared" si="5"/>
        <v>0.24156845300406871</v>
      </c>
      <c r="R27" s="119">
        <f t="shared" si="6"/>
        <v>0</v>
      </c>
      <c r="S27" s="119">
        <f t="shared" si="7"/>
        <v>0</v>
      </c>
      <c r="T27" s="119">
        <f t="shared" si="8"/>
        <v>0</v>
      </c>
    </row>
    <row r="28" spans="2:20" x14ac:dyDescent="0.2">
      <c r="B28" s="32"/>
      <c r="C28" s="83" t="s">
        <v>98</v>
      </c>
      <c r="D28" s="52">
        <f>1.207*Deflactores!$T$5</f>
        <v>1.8773010290983139</v>
      </c>
      <c r="E28" s="52">
        <f>1.099*Deflactores!$U$5</f>
        <v>1.682239743753609</v>
      </c>
      <c r="F28" s="52">
        <f>1.284*Deflactores!$V$5</f>
        <v>1.8608401045756546</v>
      </c>
      <c r="G28" s="52">
        <f>1.409*Deflactores!$W$5</f>
        <v>1.805159703688455</v>
      </c>
      <c r="H28" s="52">
        <f>0*Deflactores!$X$5</f>
        <v>0</v>
      </c>
      <c r="I28" s="52">
        <f>0*Deflactores!$Y$5</f>
        <v>0</v>
      </c>
      <c r="J28" s="52">
        <f>0*Deflactores!$Z$5</f>
        <v>0</v>
      </c>
      <c r="K28" s="52">
        <f>0*Deflactores!$AA$5</f>
        <v>0</v>
      </c>
      <c r="L28" s="52"/>
      <c r="M28" s="109">
        <f t="shared" si="1"/>
        <v>8.1252887055502463E-3</v>
      </c>
      <c r="N28" s="109">
        <f t="shared" si="2"/>
        <v>7.4214808543960186E-3</v>
      </c>
      <c r="O28" s="109">
        <f t="shared" si="3"/>
        <v>6.8528423389241097E-3</v>
      </c>
      <c r="P28" s="109">
        <f t="shared" si="4"/>
        <v>7.456276399994413E-3</v>
      </c>
      <c r="Q28" s="109">
        <f t="shared" si="5"/>
        <v>0</v>
      </c>
      <c r="R28" s="109">
        <f t="shared" si="6"/>
        <v>0</v>
      </c>
      <c r="S28" s="109">
        <f t="shared" si="7"/>
        <v>0</v>
      </c>
      <c r="T28" s="109">
        <f t="shared" si="8"/>
        <v>0</v>
      </c>
    </row>
    <row r="29" spans="2:20" x14ac:dyDescent="0.2">
      <c r="B29" s="32"/>
      <c r="C29" s="83" t="s">
        <v>61</v>
      </c>
      <c r="D29" s="52">
        <f>0.109*Deflactores!$T$5</f>
        <v>0.16953257015055195</v>
      </c>
      <c r="E29" s="52">
        <f>0.066*Deflactores!$U$5</f>
        <v>0.10102622664944332</v>
      </c>
      <c r="F29" s="52">
        <f>0*Deflactores!$V$5</f>
        <v>0</v>
      </c>
      <c r="G29" s="52">
        <f>0*Deflactores!$W$5</f>
        <v>0</v>
      </c>
      <c r="H29" s="52">
        <f>0*Deflactores!$X$5</f>
        <v>0</v>
      </c>
      <c r="I29" s="52">
        <f>0*Deflactores!$Y$5</f>
        <v>0</v>
      </c>
      <c r="J29" s="52">
        <f>0*Deflactores!$Z$5</f>
        <v>0</v>
      </c>
      <c r="K29" s="52">
        <f>0*Deflactores!$AA$5</f>
        <v>0</v>
      </c>
      <c r="L29" s="52"/>
      <c r="M29" s="109">
        <f t="shared" si="1"/>
        <v>7.3376675137114896E-4</v>
      </c>
      <c r="N29" s="109">
        <f t="shared" si="2"/>
        <v>4.4569402765253614E-4</v>
      </c>
      <c r="O29" s="109">
        <f t="shared" si="3"/>
        <v>0</v>
      </c>
      <c r="P29" s="109">
        <f t="shared" si="4"/>
        <v>0</v>
      </c>
      <c r="Q29" s="109">
        <f t="shared" si="5"/>
        <v>0</v>
      </c>
      <c r="R29" s="109">
        <f t="shared" si="6"/>
        <v>0</v>
      </c>
      <c r="S29" s="109">
        <f t="shared" si="7"/>
        <v>0</v>
      </c>
      <c r="T29" s="109">
        <f t="shared" si="8"/>
        <v>0</v>
      </c>
    </row>
    <row r="30" spans="2:20" ht="11.25" hidden="1" customHeight="1" x14ac:dyDescent="0.2">
      <c r="B30" s="32"/>
      <c r="C30" s="83" t="s">
        <v>99</v>
      </c>
      <c r="D30" s="52">
        <f>0*Deflactores!$T$5</f>
        <v>0</v>
      </c>
      <c r="E30" s="52">
        <f>0*Deflactores!$U$5</f>
        <v>0</v>
      </c>
      <c r="F30" s="52">
        <f>0*Deflactores!$V$5</f>
        <v>0</v>
      </c>
      <c r="G30" s="52">
        <f>0*Deflactores!$W$5</f>
        <v>0</v>
      </c>
      <c r="H30" s="52">
        <f>0*Deflactores!$X$5</f>
        <v>0</v>
      </c>
      <c r="I30" s="52">
        <f>0*Deflactores!$Y$5</f>
        <v>0</v>
      </c>
      <c r="J30" s="52">
        <f>0*Deflactores!$Z$5</f>
        <v>0</v>
      </c>
      <c r="K30" s="52">
        <f>0*Deflactores!$AA$5</f>
        <v>0</v>
      </c>
      <c r="L30" s="52"/>
      <c r="M30" s="109">
        <f t="shared" si="1"/>
        <v>0</v>
      </c>
      <c r="N30" s="109">
        <f t="shared" si="2"/>
        <v>0</v>
      </c>
      <c r="O30" s="109">
        <f t="shared" si="3"/>
        <v>0</v>
      </c>
      <c r="P30" s="109">
        <f t="shared" si="4"/>
        <v>0</v>
      </c>
      <c r="Q30" s="109">
        <f t="shared" si="5"/>
        <v>0</v>
      </c>
      <c r="R30" s="109">
        <f t="shared" si="6"/>
        <v>0</v>
      </c>
      <c r="S30" s="109">
        <f t="shared" si="7"/>
        <v>0</v>
      </c>
      <c r="T30" s="109">
        <f t="shared" si="8"/>
        <v>0</v>
      </c>
    </row>
    <row r="31" spans="2:20" x14ac:dyDescent="0.2">
      <c r="B31" s="32"/>
      <c r="C31" s="83" t="s">
        <v>100</v>
      </c>
      <c r="D31" s="52">
        <f>0*Deflactores!$T$5</f>
        <v>0</v>
      </c>
      <c r="E31" s="52">
        <f>0*Deflactores!$U$5</f>
        <v>0</v>
      </c>
      <c r="F31" s="52">
        <f>0*Deflactores!$V$5</f>
        <v>0</v>
      </c>
      <c r="G31" s="52">
        <f>15.809977787*Deflactores!$W$5</f>
        <v>20.255170203904878</v>
      </c>
      <c r="H31" s="52">
        <f>52.609876094*Deflactores!$X$5</f>
        <v>61.678134511857046</v>
      </c>
      <c r="I31" s="52">
        <f>0*Deflactores!$Y$5</f>
        <v>0</v>
      </c>
      <c r="J31" s="52">
        <f>0*Deflactores!$Z$5</f>
        <v>0</v>
      </c>
      <c r="K31" s="52">
        <f>0*Deflactores!$AA$5</f>
        <v>0</v>
      </c>
      <c r="L31" s="52"/>
      <c r="M31" s="109">
        <f t="shared" si="1"/>
        <v>0</v>
      </c>
      <c r="N31" s="109">
        <f t="shared" si="2"/>
        <v>0</v>
      </c>
      <c r="O31" s="109">
        <f t="shared" si="3"/>
        <v>0</v>
      </c>
      <c r="P31" s="109">
        <f t="shared" si="4"/>
        <v>8.3664701389385379E-2</v>
      </c>
      <c r="Q31" s="109">
        <f t="shared" si="5"/>
        <v>0.24156845300406871</v>
      </c>
      <c r="R31" s="109">
        <f t="shared" si="6"/>
        <v>0</v>
      </c>
      <c r="S31" s="109">
        <f t="shared" si="7"/>
        <v>0</v>
      </c>
      <c r="T31" s="109">
        <f t="shared" si="8"/>
        <v>0</v>
      </c>
    </row>
    <row r="32" spans="2:20" x14ac:dyDescent="0.2">
      <c r="B32" s="34" t="s">
        <v>45</v>
      </c>
      <c r="C32" s="76" t="s">
        <v>46</v>
      </c>
      <c r="D32" s="51">
        <f>8328.608214074*Deflactores!$T$5</f>
        <v>12953.856479898748</v>
      </c>
      <c r="E32" s="51">
        <f>8130.951040119*Deflactores!$U$5</f>
        <v>12446.050040221044</v>
      </c>
      <c r="F32" s="51">
        <f>10194.287862127*Deflactores!$V$5</f>
        <v>14774.096332893094</v>
      </c>
      <c r="G32" s="51">
        <f>10391.029147916*Deflactores!$W$5</f>
        <v>13312.609721554398</v>
      </c>
      <c r="H32" s="51">
        <f>11384.434174935*Deflactores!$X$5</f>
        <v>13346.74617230478</v>
      </c>
      <c r="I32" s="51">
        <f>13516.72167078*Deflactores!$Y$5</f>
        <v>15063.281150828356</v>
      </c>
      <c r="J32" s="51">
        <f>13783.780597375*Deflactores!$Z$5</f>
        <v>14615.363846967351</v>
      </c>
      <c r="K32" s="51">
        <f>15962.397401222*Deflactores!$AA$5</f>
        <v>15962.397401222001</v>
      </c>
      <c r="L32" s="73"/>
      <c r="M32" s="113">
        <f t="shared" si="1"/>
        <v>56.066566905359124</v>
      </c>
      <c r="N32" s="113">
        <f t="shared" si="2"/>
        <v>54.907822995700229</v>
      </c>
      <c r="O32" s="113">
        <f t="shared" si="3"/>
        <v>54.40798090090658</v>
      </c>
      <c r="P32" s="113">
        <f t="shared" si="4"/>
        <v>54.98820823794189</v>
      </c>
      <c r="Q32" s="113">
        <f t="shared" si="5"/>
        <v>52.273838224822242</v>
      </c>
      <c r="R32" s="113">
        <f t="shared" si="6"/>
        <v>50.090270742873031</v>
      </c>
      <c r="S32" s="113">
        <f t="shared" si="7"/>
        <v>52.354871955827562</v>
      </c>
      <c r="T32" s="113">
        <f t="shared" si="8"/>
        <v>53.703448222842397</v>
      </c>
    </row>
    <row r="33" spans="1:20" x14ac:dyDescent="0.2">
      <c r="B33" s="36" t="s">
        <v>47</v>
      </c>
      <c r="C33" s="78" t="s">
        <v>48</v>
      </c>
      <c r="D33" s="54">
        <f t="shared" ref="D33:K33" si="12">+D14+D32</f>
        <v>23102.375632226016</v>
      </c>
      <c r="E33" s="54">
        <f t="shared" si="12"/>
        <v>22665.387569040995</v>
      </c>
      <c r="F33" s="54">
        <f t="shared" si="12"/>
        <v>27152.420734507061</v>
      </c>
      <c r="G33" s="54">
        <f t="shared" si="12"/>
        <v>24187.875123796988</v>
      </c>
      <c r="H33" s="54">
        <f t="shared" si="12"/>
        <v>25470.684947193273</v>
      </c>
      <c r="I33" s="54">
        <f t="shared" si="12"/>
        <v>30072.269379721001</v>
      </c>
      <c r="J33" s="54">
        <f t="shared" si="12"/>
        <v>27915.957581366085</v>
      </c>
      <c r="K33" s="54">
        <f t="shared" si="12"/>
        <v>29723.226216286988</v>
      </c>
      <c r="L33" s="73"/>
      <c r="M33" s="112">
        <f t="shared" si="1"/>
        <v>99.991140944543076</v>
      </c>
      <c r="N33" s="112">
        <f t="shared" si="2"/>
        <v>99.992132825117949</v>
      </c>
      <c r="O33" s="112">
        <f t="shared" si="3"/>
        <v>99.99314715766107</v>
      </c>
      <c r="P33" s="112">
        <f t="shared" si="4"/>
        <v>99.908879022210627</v>
      </c>
      <c r="Q33" s="112">
        <f t="shared" si="5"/>
        <v>99.758431546995922</v>
      </c>
      <c r="R33" s="112">
        <f t="shared" si="6"/>
        <v>100</v>
      </c>
      <c r="S33" s="112">
        <f t="shared" si="7"/>
        <v>100</v>
      </c>
      <c r="T33" s="112">
        <f t="shared" si="8"/>
        <v>100</v>
      </c>
    </row>
    <row r="34" spans="1:20" x14ac:dyDescent="0.2">
      <c r="B34" s="38" t="s">
        <v>49</v>
      </c>
      <c r="C34" s="79" t="s">
        <v>50</v>
      </c>
      <c r="D34" s="55">
        <f t="shared" ref="D34:K34" si="13">+D14+D22+D32</f>
        <v>23104.422465825264</v>
      </c>
      <c r="E34" s="55">
        <f t="shared" si="13"/>
        <v>22667.170835011399</v>
      </c>
      <c r="F34" s="55">
        <f t="shared" si="13"/>
        <v>27154.281574611636</v>
      </c>
      <c r="G34" s="55">
        <f t="shared" si="13"/>
        <v>24209.93545370458</v>
      </c>
      <c r="H34" s="55">
        <f t="shared" si="13"/>
        <v>25532.363081705131</v>
      </c>
      <c r="I34" s="55">
        <f t="shared" si="13"/>
        <v>30072.269379721001</v>
      </c>
      <c r="J34" s="55">
        <f t="shared" si="13"/>
        <v>27915.957581366085</v>
      </c>
      <c r="K34" s="55">
        <f t="shared" si="13"/>
        <v>29723.226216286988</v>
      </c>
      <c r="L34" s="73"/>
      <c r="M34" s="107">
        <f t="shared" si="1"/>
        <v>100</v>
      </c>
      <c r="N34" s="107">
        <f t="shared" si="2"/>
        <v>100</v>
      </c>
      <c r="O34" s="107">
        <f t="shared" si="3"/>
        <v>100</v>
      </c>
      <c r="P34" s="107">
        <f t="shared" si="4"/>
        <v>100</v>
      </c>
      <c r="Q34" s="107">
        <f t="shared" si="5"/>
        <v>100</v>
      </c>
      <c r="R34" s="107">
        <f t="shared" si="6"/>
        <v>100</v>
      </c>
      <c r="S34" s="107">
        <f t="shared" si="7"/>
        <v>100</v>
      </c>
      <c r="T34" s="107">
        <f t="shared" si="8"/>
        <v>100</v>
      </c>
    </row>
    <row r="35" spans="1:20" s="5" customFormat="1" x14ac:dyDescent="0.2">
      <c r="B35" s="72" t="str">
        <f>+'C1 Aprop Resumen 2000-2026'!B20</f>
        <v>* Información con corte a 30 de Junio</v>
      </c>
      <c r="C35" s="72"/>
      <c r="D35" s="73"/>
      <c r="E35" s="73"/>
      <c r="F35" s="73"/>
      <c r="G35" s="73"/>
      <c r="H35" s="73"/>
      <c r="I35" s="73"/>
    </row>
    <row r="36" spans="1:20" x14ac:dyDescent="0.2">
      <c r="B36" s="1" t="s">
        <v>52</v>
      </c>
    </row>
    <row r="42" spans="1:20" ht="22.5" customHeight="1" x14ac:dyDescent="0.2">
      <c r="A42" s="5"/>
      <c r="C42" s="138"/>
      <c r="D42" s="178" t="s">
        <v>116</v>
      </c>
      <c r="E42" s="160"/>
      <c r="F42" s="160"/>
      <c r="G42" s="160"/>
      <c r="H42" s="160"/>
      <c r="I42" s="160"/>
      <c r="J42" s="160"/>
      <c r="K42" s="170"/>
      <c r="L42" s="170"/>
      <c r="M42" s="160"/>
      <c r="N42" s="160"/>
      <c r="O42" s="160"/>
      <c r="P42" s="160"/>
      <c r="Q42" s="160"/>
      <c r="R42" s="160"/>
      <c r="S42" s="160"/>
      <c r="T42" s="160"/>
    </row>
    <row r="43" spans="1:20" x14ac:dyDescent="0.2">
      <c r="A43" s="5"/>
    </row>
    <row r="44" spans="1:20" ht="12" customHeight="1" thickBot="1" x14ac:dyDescent="0.3">
      <c r="A44" s="5"/>
      <c r="B44" s="115"/>
      <c r="C44" s="92"/>
      <c r="D44" s="173"/>
      <c r="E44" s="156"/>
      <c r="F44" s="156"/>
      <c r="G44" s="156"/>
      <c r="H44" s="156"/>
      <c r="I44" s="156"/>
      <c r="J44" s="156"/>
      <c r="K44" s="156"/>
      <c r="M44" s="173" t="s">
        <v>111</v>
      </c>
      <c r="N44" s="156"/>
      <c r="O44" s="156"/>
      <c r="P44" s="156"/>
      <c r="Q44" s="156"/>
      <c r="R44" s="156"/>
      <c r="S44" s="156"/>
      <c r="T44" s="156"/>
    </row>
    <row r="45" spans="1:20" x14ac:dyDescent="0.2">
      <c r="A45" s="5"/>
      <c r="B45" s="49"/>
      <c r="C45" s="175" t="s">
        <v>38</v>
      </c>
      <c r="D45" s="155">
        <v>2019</v>
      </c>
      <c r="E45" s="155">
        <v>2020</v>
      </c>
      <c r="F45" s="155">
        <v>2021</v>
      </c>
      <c r="G45" s="155">
        <v>2022</v>
      </c>
      <c r="H45" s="155">
        <v>2023</v>
      </c>
      <c r="I45" s="155">
        <v>2024</v>
      </c>
      <c r="J45" s="155">
        <v>2025</v>
      </c>
      <c r="K45" s="155" t="s">
        <v>36</v>
      </c>
      <c r="L45" s="114"/>
      <c r="M45" s="155">
        <v>2019</v>
      </c>
      <c r="N45" s="155">
        <v>2020</v>
      </c>
      <c r="O45" s="155">
        <v>2021</v>
      </c>
      <c r="P45" s="155">
        <v>2022</v>
      </c>
      <c r="Q45" s="155">
        <v>2023</v>
      </c>
      <c r="R45" s="155">
        <v>2024</v>
      </c>
      <c r="S45" s="155">
        <v>2025</v>
      </c>
      <c r="T45" s="155" t="s">
        <v>36</v>
      </c>
    </row>
    <row r="46" spans="1:20" ht="15.75" customHeight="1" thickBot="1" x14ac:dyDescent="0.25">
      <c r="A46" s="5"/>
      <c r="B46" s="84"/>
      <c r="C46" s="156"/>
      <c r="D46" s="156"/>
      <c r="E46" s="156"/>
      <c r="F46" s="156"/>
      <c r="G46" s="156"/>
      <c r="H46" s="156"/>
      <c r="I46" s="156"/>
      <c r="J46" s="156"/>
      <c r="K46" s="156"/>
      <c r="L46" s="114"/>
      <c r="M46" s="156"/>
      <c r="N46" s="156"/>
      <c r="O46" s="156"/>
      <c r="P46" s="156"/>
      <c r="Q46" s="156"/>
      <c r="R46" s="156"/>
      <c r="S46" s="156"/>
      <c r="T46" s="156"/>
    </row>
    <row r="47" spans="1:20" x14ac:dyDescent="0.2">
      <c r="A47" s="5"/>
      <c r="B47" s="34" t="s">
        <v>39</v>
      </c>
      <c r="C47" s="76" t="s">
        <v>40</v>
      </c>
      <c r="D47" s="41">
        <f t="shared" ref="D47:K47" si="14">+SUM(D48:D54)</f>
        <v>9486.3212451033851</v>
      </c>
      <c r="E47" s="41">
        <f t="shared" si="14"/>
        <v>9619.44477432028</v>
      </c>
      <c r="F47" s="41">
        <f t="shared" si="14"/>
        <v>9881.6336412681012</v>
      </c>
      <c r="G47" s="41">
        <f t="shared" si="14"/>
        <v>9765.1592605944261</v>
      </c>
      <c r="H47" s="41">
        <f t="shared" si="14"/>
        <v>10849.989109811051</v>
      </c>
      <c r="I47" s="41">
        <f t="shared" si="14"/>
        <v>13612.970202588107</v>
      </c>
      <c r="J47" s="41">
        <f t="shared" si="14"/>
        <v>12835.166516089768</v>
      </c>
      <c r="K47" s="41">
        <f t="shared" si="14"/>
        <v>7058.6209151940593</v>
      </c>
      <c r="M47" s="46">
        <f t="shared" ref="M47:M60" si="15">+D47/D14*100</f>
        <v>93.474930703835483</v>
      </c>
      <c r="N47" s="46">
        <f t="shared" ref="N47:N60" si="16">+E47/E14*100</f>
        <v>94.129827370826234</v>
      </c>
      <c r="O47" s="46">
        <f t="shared" ref="O47:O60" si="17">+F47/F14*100</f>
        <v>79.830139529867779</v>
      </c>
      <c r="P47" s="46">
        <f t="shared" ref="P47:P60" si="18">+G47/G14*100</f>
        <v>89.792376548169116</v>
      </c>
      <c r="Q47" s="46">
        <f t="shared" ref="Q47:Q60" si="19">+H47/H14*100</f>
        <v>89.492278963697089</v>
      </c>
      <c r="R47" s="46">
        <f t="shared" ref="R47:R67" si="20">+IFERROR(I47/I14*100,0)</f>
        <v>90.69878658697877</v>
      </c>
      <c r="S47" s="46">
        <f t="shared" ref="S47:S67" si="21">+IFERROR(J47/J14*100,0)</f>
        <v>96.500703445251062</v>
      </c>
      <c r="T47" s="46">
        <f t="shared" ref="T47:T67" si="22">+IFERROR(K47/K14*100,0)</f>
        <v>51.295027429354178</v>
      </c>
    </row>
    <row r="48" spans="1:20" x14ac:dyDescent="0.2">
      <c r="A48" s="5"/>
      <c r="B48" s="40"/>
      <c r="C48" s="77" t="s">
        <v>92</v>
      </c>
      <c r="D48" s="42">
        <f>1781.49693159196*Deflactores!$T$5</f>
        <v>2770.8417754872203</v>
      </c>
      <c r="E48" s="42">
        <f>1886.10546296503*Deflactores!$U$5</f>
        <v>2887.0623937311866</v>
      </c>
      <c r="F48" s="42">
        <f>2028.4528990106*Deflactores!$V$5</f>
        <v>2939.7402684748245</v>
      </c>
      <c r="G48" s="42">
        <f>2301.67815445915*Deflactores!$W$5</f>
        <v>2948.8265828883386</v>
      </c>
      <c r="H48" s="42">
        <f>2628.19089177269*Deflactores!$X$5</f>
        <v>3081.2068642009353</v>
      </c>
      <c r="I48" s="42">
        <f>3058.52670402736*Deflactores!$Y$5</f>
        <v>3408.4779410436659</v>
      </c>
      <c r="J48" s="42">
        <f>3326.89343628075*Deflactores!$Z$5</f>
        <v>3527.6067917528098</v>
      </c>
      <c r="K48" s="42">
        <f>1677.64179445521*Deflactores!$AA$5</f>
        <v>1677.6417944552099</v>
      </c>
      <c r="M48" s="47">
        <f t="shared" si="15"/>
        <v>95.614444903098942</v>
      </c>
      <c r="N48" s="47">
        <f t="shared" si="16"/>
        <v>96.52204416310235</v>
      </c>
      <c r="O48" s="47">
        <f t="shared" si="17"/>
        <v>91.476557106673482</v>
      </c>
      <c r="P48" s="47">
        <f t="shared" si="18"/>
        <v>92.47997045986007</v>
      </c>
      <c r="Q48" s="47">
        <f t="shared" si="19"/>
        <v>93.148222163941668</v>
      </c>
      <c r="R48" s="47">
        <f t="shared" si="20"/>
        <v>93.318299303328985</v>
      </c>
      <c r="S48" s="47">
        <f t="shared" si="21"/>
        <v>95.363139041210687</v>
      </c>
      <c r="T48" s="47">
        <f t="shared" si="22"/>
        <v>39.88991968964789</v>
      </c>
    </row>
    <row r="49" spans="1:20" x14ac:dyDescent="0.2">
      <c r="A49" s="5"/>
      <c r="B49" s="40"/>
      <c r="C49" s="77" t="s">
        <v>93</v>
      </c>
      <c r="D49" s="42">
        <f>741.02435722106*Deflactores!$T$5</f>
        <v>1152.5482919618992</v>
      </c>
      <c r="E49" s="42">
        <f>734.21236200137*Deflactores!$U$5</f>
        <v>1123.8591589753564</v>
      </c>
      <c r="F49" s="42">
        <f>827.84188222845*Deflactores!$V$5</f>
        <v>1199.7518494533456</v>
      </c>
      <c r="G49" s="42">
        <f>886.62022705567*Deflactores!$W$5</f>
        <v>1135.9056822966672</v>
      </c>
      <c r="H49" s="42">
        <f>1017.49445614204*Deflactores!$X$5</f>
        <v>1192.8779269289105</v>
      </c>
      <c r="I49" s="42">
        <f>1227.87169923863*Deflactores!$Y$5</f>
        <v>1368.3626158227698</v>
      </c>
      <c r="J49" s="42">
        <f>1522.69346062164*Deflactores!$Z$5</f>
        <v>1614.5584150273937</v>
      </c>
      <c r="K49" s="42">
        <f>1074.03302379294*Deflactores!$AA$5</f>
        <v>1074.03302379294</v>
      </c>
      <c r="L49" s="42"/>
      <c r="M49" s="47">
        <f t="shared" si="15"/>
        <v>93.705746622568583</v>
      </c>
      <c r="N49" s="47">
        <f t="shared" si="16"/>
        <v>89.84229108990796</v>
      </c>
      <c r="O49" s="47">
        <f t="shared" si="17"/>
        <v>90.089234257387048</v>
      </c>
      <c r="P49" s="47">
        <f t="shared" si="18"/>
        <v>91.777063348119825</v>
      </c>
      <c r="Q49" s="47">
        <f t="shared" si="19"/>
        <v>90.129522587548209</v>
      </c>
      <c r="R49" s="47">
        <f t="shared" si="20"/>
        <v>94.108349538200954</v>
      </c>
      <c r="S49" s="47">
        <f t="shared" si="21"/>
        <v>95.194133719734211</v>
      </c>
      <c r="T49" s="47">
        <f t="shared" si="22"/>
        <v>69.691239226552398</v>
      </c>
    </row>
    <row r="50" spans="1:20" x14ac:dyDescent="0.2">
      <c r="A50" s="5"/>
      <c r="B50" s="40"/>
      <c r="C50" s="77" t="s">
        <v>58</v>
      </c>
      <c r="D50" s="42">
        <f>2088.63834213929*Deflactores!$T$5</f>
        <v>3248.5525344757957</v>
      </c>
      <c r="E50" s="42">
        <f>2232.41333142929*Deflactores!$U$5</f>
        <v>3417.155987821428</v>
      </c>
      <c r="F50" s="42">
        <f>2365.1154886035*Deflactores!$V$5</f>
        <v>3427.6493404567273</v>
      </c>
      <c r="G50" s="42">
        <f>2488.56069730384*Deflactores!$W$5</f>
        <v>3188.2537196279168</v>
      </c>
      <c r="H50" s="42">
        <f>3804.91054569478*Deflactores!$X$5</f>
        <v>4460.7553156680133</v>
      </c>
      <c r="I50" s="42">
        <f>5832.52046723462*Deflactores!$Y$5</f>
        <v>6499.8671834637216</v>
      </c>
      <c r="J50" s="42">
        <f>5094.89243668883*Deflactores!$Z$5</f>
        <v>5402.2701679936981</v>
      </c>
      <c r="K50" s="42">
        <f>2831.10956211901*Deflactores!$AA$5</f>
        <v>2831.1095621190102</v>
      </c>
      <c r="L50" s="42"/>
      <c r="M50" s="47">
        <f t="shared" si="15"/>
        <v>90.163941220595817</v>
      </c>
      <c r="N50" s="47">
        <f t="shared" si="16"/>
        <v>92.046450504656306</v>
      </c>
      <c r="O50" s="47">
        <f t="shared" si="17"/>
        <v>68.417039800279781</v>
      </c>
      <c r="P50" s="47">
        <f t="shared" si="18"/>
        <v>85.405301458130481</v>
      </c>
      <c r="Q50" s="47">
        <f t="shared" si="19"/>
        <v>88.429350474205989</v>
      </c>
      <c r="R50" s="47">
        <f t="shared" si="20"/>
        <v>87.776235734928278</v>
      </c>
      <c r="S50" s="47">
        <f t="shared" si="21"/>
        <v>97.390965374808914</v>
      </c>
      <c r="T50" s="47">
        <f t="shared" si="22"/>
        <v>50.113036023719729</v>
      </c>
    </row>
    <row r="51" spans="1:20" x14ac:dyDescent="0.2">
      <c r="A51" s="5"/>
      <c r="B51" s="40"/>
      <c r="C51" s="77" t="s">
        <v>94</v>
      </c>
      <c r="D51" s="42">
        <f>1327.9699698226*Deflactores!$T$5</f>
        <v>2065.451028135562</v>
      </c>
      <c r="E51" s="42">
        <f>1242.22817009404*Deflactores!$U$5</f>
        <v>1901.479161549147</v>
      </c>
      <c r="F51" s="42">
        <f>1393.39188223485*Deflactores!$V$5</f>
        <v>2019.3765544024661</v>
      </c>
      <c r="G51" s="42">
        <f>1671.11939626236*Deflactores!$W$5</f>
        <v>2140.9775686195821</v>
      </c>
      <c r="H51" s="42">
        <f>1605.07440479274*Deflactores!$X$5</f>
        <v>1881.7378482979534</v>
      </c>
      <c r="I51" s="42">
        <f>1852.21457548907*Deflactores!$Y$5</f>
        <v>2064.1417040174965</v>
      </c>
      <c r="J51" s="42">
        <f>1857.41206738678*Deflactores!$Z$5</f>
        <v>1969.4707839281402</v>
      </c>
      <c r="K51" s="42">
        <f>1385.08637171286*Deflactores!$AA$5</f>
        <v>1385.08637171286</v>
      </c>
      <c r="L51" s="42"/>
      <c r="M51" s="47">
        <f t="shared" si="15"/>
        <v>96.380788415579516</v>
      </c>
      <c r="N51" s="47">
        <f t="shared" si="16"/>
        <v>97.121660519519438</v>
      </c>
      <c r="O51" s="47">
        <f t="shared" si="17"/>
        <v>81.12367022247291</v>
      </c>
      <c r="P51" s="47">
        <f t="shared" si="18"/>
        <v>92.518322142502612</v>
      </c>
      <c r="Q51" s="47">
        <f t="shared" si="19"/>
        <v>90.509253392040549</v>
      </c>
      <c r="R51" s="47">
        <f t="shared" si="20"/>
        <v>93.541199835642402</v>
      </c>
      <c r="S51" s="47">
        <f t="shared" si="21"/>
        <v>97.251420376875203</v>
      </c>
      <c r="T51" s="47">
        <f t="shared" si="22"/>
        <v>66.526957332633359</v>
      </c>
    </row>
    <row r="52" spans="1:20" x14ac:dyDescent="0.2">
      <c r="A52" s="5"/>
      <c r="B52" s="40"/>
      <c r="C52" s="77" t="s">
        <v>95</v>
      </c>
      <c r="D52" s="42">
        <f>76.63693438415*Deflactores!$T$5</f>
        <v>119.19684820737757</v>
      </c>
      <c r="E52" s="42">
        <f>97.14882839743*Deflactores!$U$5</f>
        <v>148.70575085464603</v>
      </c>
      <c r="F52" s="42">
        <f>98.6148182650999*Deflactores!$V$5</f>
        <v>142.91776381085489</v>
      </c>
      <c r="G52" s="42">
        <f>165.48617508932*Deflactores!$W$5</f>
        <v>212.01488629437378</v>
      </c>
      <c r="H52" s="42">
        <f>102.297077948179*Deflactores!$X$5</f>
        <v>119.92981930967306</v>
      </c>
      <c r="I52" s="42">
        <f>124.19693508654*Deflactores!$Y$5</f>
        <v>138.40732959116804</v>
      </c>
      <c r="J52" s="42">
        <f>162.14627640011*Deflactores!$Z$5</f>
        <v>171.92865261290186</v>
      </c>
      <c r="K52" s="42">
        <f>59.88904144366*Deflactores!$AA$5</f>
        <v>59.889041443659998</v>
      </c>
      <c r="L52" s="42"/>
      <c r="M52" s="47">
        <f t="shared" si="15"/>
        <v>94.879227257200895</v>
      </c>
      <c r="N52" s="47">
        <f t="shared" si="16"/>
        <v>94.214401864231817</v>
      </c>
      <c r="O52" s="47">
        <f t="shared" si="17"/>
        <v>93.612087613854101</v>
      </c>
      <c r="P52" s="47">
        <f t="shared" si="18"/>
        <v>97.280267146369908</v>
      </c>
      <c r="Q52" s="47">
        <f t="shared" si="19"/>
        <v>53.921554680002416</v>
      </c>
      <c r="R52" s="47">
        <f t="shared" si="20"/>
        <v>97.049866338073812</v>
      </c>
      <c r="S52" s="47">
        <f t="shared" si="21"/>
        <v>99.795603116711405</v>
      </c>
      <c r="T52" s="47">
        <f t="shared" si="22"/>
        <v>45.064670939985525</v>
      </c>
    </row>
    <row r="53" spans="1:20" x14ac:dyDescent="0.2">
      <c r="A53" s="5"/>
      <c r="B53" s="40"/>
      <c r="C53" s="77" t="s">
        <v>96</v>
      </c>
      <c r="D53" s="42">
        <f>7.59070268202*Deflactores!$T$5</f>
        <v>11.806159036069159</v>
      </c>
      <c r="E53" s="42">
        <f>6.90862965865*Deflactores!$U$5</f>
        <v>10.575042208058198</v>
      </c>
      <c r="F53" s="42">
        <f>8.15309606241*Deflactores!$V$5</f>
        <v>11.815894181768211</v>
      </c>
      <c r="G53" s="42">
        <f>11.48050290653*Deflactores!$W$5</f>
        <v>14.708403992154821</v>
      </c>
      <c r="H53" s="42">
        <f>7.86689177436*Deflactores!$X$5</f>
        <v>9.2228920703452317</v>
      </c>
      <c r="I53" s="42">
        <f>9.99873387698*Deflactores!$Y$5</f>
        <v>11.142771391590724</v>
      </c>
      <c r="J53" s="42">
        <f>8.960916642*Deflactores!$Z$5</f>
        <v>9.5015337918333103</v>
      </c>
      <c r="K53" s="42">
        <f>4.230674748*Deflactores!$AA$5</f>
        <v>4.2306747480000002</v>
      </c>
      <c r="L53" s="42"/>
      <c r="M53" s="47">
        <f t="shared" si="15"/>
        <v>90.827747350310361</v>
      </c>
      <c r="N53" s="47">
        <f t="shared" si="16"/>
        <v>96.676260999455792</v>
      </c>
      <c r="O53" s="47">
        <f t="shared" si="17"/>
        <v>41.07353180055415</v>
      </c>
      <c r="P53" s="47">
        <f t="shared" si="18"/>
        <v>64.122558682584895</v>
      </c>
      <c r="Q53" s="47">
        <f t="shared" si="19"/>
        <v>70.744570766092323</v>
      </c>
      <c r="R53" s="47">
        <f t="shared" si="20"/>
        <v>84.355362828784607</v>
      </c>
      <c r="S53" s="47">
        <f t="shared" si="21"/>
        <v>83.13876738920068</v>
      </c>
      <c r="T53" s="47">
        <f t="shared" si="22"/>
        <v>26.02531218011811</v>
      </c>
    </row>
    <row r="54" spans="1:20" x14ac:dyDescent="0.2">
      <c r="A54" s="5"/>
      <c r="B54" s="40"/>
      <c r="C54" s="77" t="s">
        <v>97</v>
      </c>
      <c r="D54" s="42">
        <f>75.81895466297*Deflactores!$T$5</f>
        <v>117.9246077994631</v>
      </c>
      <c r="E54" s="42">
        <f>85.32517457889*Deflactores!$U$5</f>
        <v>130.60727918045848</v>
      </c>
      <c r="F54" s="42">
        <f>96.8650931713699*Deflactores!$V$5</f>
        <v>140.38197048811722</v>
      </c>
      <c r="G54" s="42">
        <f>97.1557447349799*Deflactores!$W$5</f>
        <v>124.47241687539213</v>
      </c>
      <c r="H54" s="42">
        <f>88.9297938245*Deflactores!$X$5</f>
        <v>104.25844333521962</v>
      </c>
      <c r="I54" s="42">
        <f>109.986226942709*Deflactores!$Y$5</f>
        <v>122.57065725769533</v>
      </c>
      <c r="J54" s="42">
        <f>131.87413039484*Deflactores!$Z$5</f>
        <v>139.83017098299266</v>
      </c>
      <c r="K54" s="42">
        <f>26.63044692238*Deflactores!$AA$5</f>
        <v>26.630446922379999</v>
      </c>
      <c r="L54" s="42"/>
      <c r="M54" s="47">
        <f t="shared" si="15"/>
        <v>86.682437757606323</v>
      </c>
      <c r="N54" s="47">
        <f t="shared" si="16"/>
        <v>94.445950291916063</v>
      </c>
      <c r="O54" s="47">
        <f t="shared" si="17"/>
        <v>92.172811687602064</v>
      </c>
      <c r="P54" s="47">
        <f t="shared" si="18"/>
        <v>77.361856672802048</v>
      </c>
      <c r="Q54" s="47">
        <f t="shared" si="19"/>
        <v>78.01821261955071</v>
      </c>
      <c r="R54" s="47">
        <f t="shared" si="20"/>
        <v>90.861440846718679</v>
      </c>
      <c r="S54" s="47">
        <f t="shared" si="21"/>
        <v>93.495274331083365</v>
      </c>
      <c r="T54" s="47">
        <f t="shared" si="22"/>
        <v>19.958677098425326</v>
      </c>
    </row>
    <row r="55" spans="1:20" x14ac:dyDescent="0.2">
      <c r="A55" s="5"/>
      <c r="B55" s="34" t="s">
        <v>41</v>
      </c>
      <c r="C55" s="76" t="s">
        <v>42</v>
      </c>
      <c r="D55" s="41">
        <f t="shared" ref="D55:K55" si="23">+D56+D60</f>
        <v>1.9515842910285006</v>
      </c>
      <c r="E55" s="41">
        <f t="shared" si="23"/>
        <v>1.5237766999148585</v>
      </c>
      <c r="F55" s="41">
        <f t="shared" si="23"/>
        <v>1.8608401040684162</v>
      </c>
      <c r="G55" s="41">
        <f t="shared" si="23"/>
        <v>22.045358165579547</v>
      </c>
      <c r="H55" s="41">
        <f t="shared" si="23"/>
        <v>61.677062261564174</v>
      </c>
      <c r="I55" s="41">
        <f t="shared" si="23"/>
        <v>0</v>
      </c>
      <c r="J55" s="41">
        <f t="shared" si="23"/>
        <v>0</v>
      </c>
      <c r="K55" s="41">
        <f t="shared" si="23"/>
        <v>0</v>
      </c>
      <c r="L55" s="71"/>
      <c r="M55" s="46">
        <f t="shared" si="15"/>
        <v>95.3465045592705</v>
      </c>
      <c r="N55" s="46">
        <f t="shared" si="16"/>
        <v>85.448650128755375</v>
      </c>
      <c r="O55" s="46">
        <f t="shared" si="17"/>
        <v>99.999999972741421</v>
      </c>
      <c r="P55" s="46">
        <f t="shared" si="18"/>
        <v>99.932132737468109</v>
      </c>
      <c r="Q55" s="46">
        <f t="shared" si="19"/>
        <v>99.998261539034289</v>
      </c>
      <c r="R55" s="46">
        <f t="shared" si="20"/>
        <v>0</v>
      </c>
      <c r="S55" s="46">
        <f t="shared" si="21"/>
        <v>0</v>
      </c>
      <c r="T55" s="46">
        <f t="shared" si="22"/>
        <v>0</v>
      </c>
    </row>
    <row r="56" spans="1:20" ht="11.25" hidden="1" customHeight="1" x14ac:dyDescent="0.2">
      <c r="A56" s="5"/>
      <c r="B56" s="34"/>
      <c r="C56" s="76" t="s">
        <v>43</v>
      </c>
      <c r="D56" s="41">
        <f>0*Deflactores!$T$5</f>
        <v>0</v>
      </c>
      <c r="E56" s="41">
        <f>0*Deflactores!$U$5</f>
        <v>0</v>
      </c>
      <c r="F56" s="41">
        <f>0*Deflactores!$V$5</f>
        <v>0</v>
      </c>
      <c r="G56" s="41">
        <f>0*Deflactores!$W$5</f>
        <v>0</v>
      </c>
      <c r="H56" s="41">
        <f>0*Deflactores!$X$5</f>
        <v>0</v>
      </c>
      <c r="I56" s="41">
        <f>0*Deflactores!$Y$5</f>
        <v>0</v>
      </c>
      <c r="J56" s="41">
        <f>0*Deflactores!$Z$5</f>
        <v>0</v>
      </c>
      <c r="K56" s="41">
        <f>0*Deflactores!$AA$5</f>
        <v>0</v>
      </c>
      <c r="L56" s="71"/>
      <c r="M56" s="46" t="e">
        <f t="shared" si="15"/>
        <v>#DIV/0!</v>
      </c>
      <c r="N56" s="46" t="e">
        <f t="shared" si="16"/>
        <v>#DIV/0!</v>
      </c>
      <c r="O56" s="46" t="e">
        <f t="shared" si="17"/>
        <v>#DIV/0!</v>
      </c>
      <c r="P56" s="46" t="e">
        <f t="shared" si="18"/>
        <v>#DIV/0!</v>
      </c>
      <c r="Q56" s="46" t="e">
        <f t="shared" si="19"/>
        <v>#DIV/0!</v>
      </c>
      <c r="R56" s="46">
        <f t="shared" si="20"/>
        <v>0</v>
      </c>
      <c r="S56" s="46">
        <f t="shared" si="21"/>
        <v>0</v>
      </c>
      <c r="T56" s="46">
        <f t="shared" si="22"/>
        <v>0</v>
      </c>
    </row>
    <row r="57" spans="1:20" ht="11.25" hidden="1" customHeight="1" x14ac:dyDescent="0.2">
      <c r="A57" s="5"/>
      <c r="B57" s="34"/>
      <c r="C57" s="86" t="s">
        <v>98</v>
      </c>
      <c r="D57" s="50">
        <f>0*Deflactores!$T$5</f>
        <v>0</v>
      </c>
      <c r="E57" s="50">
        <f>0*Deflactores!$U$5</f>
        <v>0</v>
      </c>
      <c r="F57" s="50">
        <f>0*Deflactores!$V$5</f>
        <v>0</v>
      </c>
      <c r="G57" s="50">
        <f>0*Deflactores!$W$5</f>
        <v>0</v>
      </c>
      <c r="H57" s="50">
        <f>0*Deflactores!$X$5</f>
        <v>0</v>
      </c>
      <c r="I57" s="50">
        <f>0*Deflactores!$Y$5</f>
        <v>0</v>
      </c>
      <c r="J57" s="50">
        <f>0*Deflactores!$Z$5</f>
        <v>0</v>
      </c>
      <c r="K57" s="50">
        <f>0*Deflactores!$AA$5</f>
        <v>0</v>
      </c>
      <c r="L57" s="42"/>
      <c r="M57" s="116" t="e">
        <f t="shared" si="15"/>
        <v>#DIV/0!</v>
      </c>
      <c r="N57" s="116" t="e">
        <f t="shared" si="16"/>
        <v>#DIV/0!</v>
      </c>
      <c r="O57" s="116" t="e">
        <f t="shared" si="17"/>
        <v>#DIV/0!</v>
      </c>
      <c r="P57" s="116" t="e">
        <f t="shared" si="18"/>
        <v>#DIV/0!</v>
      </c>
      <c r="Q57" s="116" t="e">
        <f t="shared" si="19"/>
        <v>#DIV/0!</v>
      </c>
      <c r="R57" s="116">
        <f t="shared" si="20"/>
        <v>0</v>
      </c>
      <c r="S57" s="116">
        <f t="shared" si="21"/>
        <v>0</v>
      </c>
      <c r="T57" s="116">
        <f t="shared" si="22"/>
        <v>0</v>
      </c>
    </row>
    <row r="58" spans="1:20" ht="11.25" hidden="1" customHeight="1" x14ac:dyDescent="0.2">
      <c r="A58" s="5"/>
      <c r="B58" s="34"/>
      <c r="C58" s="86" t="s">
        <v>61</v>
      </c>
      <c r="D58" s="50">
        <f>0*Deflactores!$T$5</f>
        <v>0</v>
      </c>
      <c r="E58" s="50">
        <f>0*Deflactores!$U$5</f>
        <v>0</v>
      </c>
      <c r="F58" s="50">
        <f>0*Deflactores!$V$5</f>
        <v>0</v>
      </c>
      <c r="G58" s="50">
        <f>0*Deflactores!$W$5</f>
        <v>0</v>
      </c>
      <c r="H58" s="50">
        <f>0*Deflactores!$X$5</f>
        <v>0</v>
      </c>
      <c r="I58" s="50">
        <f>0*Deflactores!$Y$5</f>
        <v>0</v>
      </c>
      <c r="J58" s="50">
        <f>0*Deflactores!$Z$5</f>
        <v>0</v>
      </c>
      <c r="K58" s="50">
        <f>0*Deflactores!$AA$5</f>
        <v>0</v>
      </c>
      <c r="L58" s="42"/>
      <c r="M58" s="116" t="e">
        <f t="shared" si="15"/>
        <v>#DIV/0!</v>
      </c>
      <c r="N58" s="116" t="e">
        <f t="shared" si="16"/>
        <v>#DIV/0!</v>
      </c>
      <c r="O58" s="116" t="e">
        <f t="shared" si="17"/>
        <v>#DIV/0!</v>
      </c>
      <c r="P58" s="116" t="e">
        <f t="shared" si="18"/>
        <v>#DIV/0!</v>
      </c>
      <c r="Q58" s="116" t="e">
        <f t="shared" si="19"/>
        <v>#DIV/0!</v>
      </c>
      <c r="R58" s="116">
        <f t="shared" si="20"/>
        <v>0</v>
      </c>
      <c r="S58" s="116">
        <f t="shared" si="21"/>
        <v>0</v>
      </c>
      <c r="T58" s="116">
        <f t="shared" si="22"/>
        <v>0</v>
      </c>
    </row>
    <row r="59" spans="1:20" ht="11.25" hidden="1" customHeight="1" x14ac:dyDescent="0.2">
      <c r="A59" s="5"/>
      <c r="B59" s="34"/>
      <c r="C59" s="86" t="s">
        <v>103</v>
      </c>
      <c r="D59" s="50">
        <f>0*Deflactores!$T$5</f>
        <v>0</v>
      </c>
      <c r="E59" s="50">
        <f>0*Deflactores!$U$5</f>
        <v>0</v>
      </c>
      <c r="F59" s="50">
        <f>0*Deflactores!$V$5</f>
        <v>0</v>
      </c>
      <c r="G59" s="50">
        <f>0*Deflactores!$W$5</f>
        <v>0</v>
      </c>
      <c r="H59" s="50">
        <f>0*Deflactores!$X$5</f>
        <v>0</v>
      </c>
      <c r="I59" s="50">
        <f>0*Deflactores!$Y$5</f>
        <v>0</v>
      </c>
      <c r="J59" s="50">
        <f>0*Deflactores!$Z$5</f>
        <v>0</v>
      </c>
      <c r="K59" s="50">
        <f>0*Deflactores!$AA$5</f>
        <v>0</v>
      </c>
      <c r="L59" s="42"/>
      <c r="M59" s="116" t="e">
        <f t="shared" si="15"/>
        <v>#DIV/0!</v>
      </c>
      <c r="N59" s="116" t="e">
        <f t="shared" si="16"/>
        <v>#DIV/0!</v>
      </c>
      <c r="O59" s="116" t="e">
        <f t="shared" si="17"/>
        <v>#DIV/0!</v>
      </c>
      <c r="P59" s="116" t="e">
        <f t="shared" si="18"/>
        <v>#DIV/0!</v>
      </c>
      <c r="Q59" s="116" t="e">
        <f t="shared" si="19"/>
        <v>#DIV/0!</v>
      </c>
      <c r="R59" s="116">
        <f t="shared" si="20"/>
        <v>0</v>
      </c>
      <c r="S59" s="116">
        <f t="shared" si="21"/>
        <v>0</v>
      </c>
      <c r="T59" s="116">
        <f t="shared" si="22"/>
        <v>0</v>
      </c>
    </row>
    <row r="60" spans="1:20" x14ac:dyDescent="0.2">
      <c r="A60" s="5"/>
      <c r="B60" s="34"/>
      <c r="C60" s="76" t="s">
        <v>44</v>
      </c>
      <c r="D60" s="41">
        <f t="shared" ref="D60:K60" si="24">+SUM(D61:D64)</f>
        <v>1.9515842910285006</v>
      </c>
      <c r="E60" s="41">
        <f t="shared" si="24"/>
        <v>1.5237766999148585</v>
      </c>
      <c r="F60" s="41">
        <f t="shared" si="24"/>
        <v>1.8608401040684162</v>
      </c>
      <c r="G60" s="41">
        <f t="shared" si="24"/>
        <v>22.045358165579547</v>
      </c>
      <c r="H60" s="41">
        <f t="shared" si="24"/>
        <v>61.677062261564174</v>
      </c>
      <c r="I60" s="41">
        <f t="shared" si="24"/>
        <v>0</v>
      </c>
      <c r="J60" s="41">
        <f t="shared" si="24"/>
        <v>0</v>
      </c>
      <c r="K60" s="41">
        <f t="shared" si="24"/>
        <v>0</v>
      </c>
      <c r="L60" s="71"/>
      <c r="M60" s="46">
        <f t="shared" si="15"/>
        <v>95.3465045592705</v>
      </c>
      <c r="N60" s="46">
        <f t="shared" si="16"/>
        <v>85.448650128755375</v>
      </c>
      <c r="O60" s="46">
        <f t="shared" si="17"/>
        <v>99.999999972741421</v>
      </c>
      <c r="P60" s="46">
        <f t="shared" si="18"/>
        <v>99.932132737468109</v>
      </c>
      <c r="Q60" s="46">
        <f t="shared" si="19"/>
        <v>99.998261539034289</v>
      </c>
      <c r="R60" s="46">
        <f t="shared" si="20"/>
        <v>0</v>
      </c>
      <c r="S60" s="46">
        <f t="shared" si="21"/>
        <v>0</v>
      </c>
      <c r="T60" s="46">
        <f t="shared" si="22"/>
        <v>0</v>
      </c>
    </row>
    <row r="61" spans="1:20" x14ac:dyDescent="0.2">
      <c r="A61" s="5"/>
      <c r="B61" s="32"/>
      <c r="C61" s="77" t="s">
        <v>98</v>
      </c>
      <c r="D61" s="42">
        <f>1.207*Deflactores!$T$5</f>
        <v>1.8773010290983139</v>
      </c>
      <c r="E61" s="42">
        <f>0.92979906*Deflactores!$U$5</f>
        <v>1.4232437965757476</v>
      </c>
      <c r="F61" s="42">
        <f>1.28399999965*Deflactores!$V$5</f>
        <v>1.8608401040684162</v>
      </c>
      <c r="G61" s="42">
        <f>1.39735526252999*Deflactores!$W$5</f>
        <v>1.790240888329411</v>
      </c>
      <c r="H61" s="42">
        <f>0*Deflactores!$X$5</f>
        <v>0</v>
      </c>
      <c r="I61" s="42">
        <f>0*Deflactores!$Y$5</f>
        <v>0</v>
      </c>
      <c r="J61" s="42">
        <f>0*Deflactores!$Z$5</f>
        <v>0</v>
      </c>
      <c r="K61" s="42">
        <f>0*Deflactores!$AA$5</f>
        <v>0</v>
      </c>
      <c r="L61" s="42"/>
      <c r="M61" s="47">
        <f t="shared" ref="M61:P63" si="25">+D61/D28*100</f>
        <v>100</v>
      </c>
      <c r="N61" s="47">
        <f t="shared" si="25"/>
        <v>84.604100090991821</v>
      </c>
      <c r="O61" s="47">
        <f t="shared" si="25"/>
        <v>99.999999972741421</v>
      </c>
      <c r="P61" s="47">
        <f t="shared" si="25"/>
        <v>99.173545956706178</v>
      </c>
      <c r="Q61" s="47"/>
      <c r="R61" s="47">
        <f t="shared" si="20"/>
        <v>0</v>
      </c>
      <c r="S61" s="47">
        <f t="shared" si="21"/>
        <v>0</v>
      </c>
      <c r="T61" s="47">
        <f t="shared" si="22"/>
        <v>0</v>
      </c>
    </row>
    <row r="62" spans="1:20" ht="11.25" hidden="1" customHeight="1" x14ac:dyDescent="0.2">
      <c r="A62" s="5"/>
      <c r="B62" s="32"/>
      <c r="C62" s="77" t="s">
        <v>61</v>
      </c>
      <c r="D62" s="42">
        <f>0.04776*Deflactores!$T$5</f>
        <v>7.4283261930186792E-2</v>
      </c>
      <c r="E62" s="42">
        <f>0.065677714*Deflactores!$U$5</f>
        <v>0.10053290333911084</v>
      </c>
      <c r="F62" s="42">
        <f>0*Deflactores!$V$5</f>
        <v>0</v>
      </c>
      <c r="G62" s="42">
        <f>0*Deflactores!$W$5</f>
        <v>0</v>
      </c>
      <c r="H62" s="42">
        <f>0*Deflactores!$X$5</f>
        <v>0</v>
      </c>
      <c r="I62" s="42">
        <f>0*Deflactores!$Y$5</f>
        <v>0</v>
      </c>
      <c r="J62" s="42">
        <f>0*Deflactores!$Z$5</f>
        <v>0</v>
      </c>
      <c r="K62" s="42">
        <f>0*Deflactores!$AA$5</f>
        <v>0</v>
      </c>
      <c r="L62" s="42"/>
      <c r="M62" s="47">
        <f t="shared" si="25"/>
        <v>43.816513761467881</v>
      </c>
      <c r="N62" s="47">
        <f t="shared" si="25"/>
        <v>99.511687878787868</v>
      </c>
      <c r="O62" s="47" t="e">
        <f t="shared" si="25"/>
        <v>#DIV/0!</v>
      </c>
      <c r="P62" s="47" t="e">
        <f t="shared" si="25"/>
        <v>#DIV/0!</v>
      </c>
      <c r="Q62" s="47" t="e">
        <f t="shared" ref="Q62:Q67" si="26">+H62/H29*100</f>
        <v>#DIV/0!</v>
      </c>
      <c r="R62" s="47">
        <f t="shared" si="20"/>
        <v>0</v>
      </c>
      <c r="S62" s="47">
        <f t="shared" si="21"/>
        <v>0</v>
      </c>
      <c r="T62" s="47">
        <f t="shared" si="22"/>
        <v>0</v>
      </c>
    </row>
    <row r="63" spans="1:20" ht="11.25" hidden="1" customHeight="1" x14ac:dyDescent="0.2">
      <c r="A63" s="5"/>
      <c r="B63" s="32"/>
      <c r="C63" s="77" t="s">
        <v>103</v>
      </c>
      <c r="D63" s="42">
        <f>0*Deflactores!$T$5</f>
        <v>0</v>
      </c>
      <c r="E63" s="42">
        <f>0*Deflactores!$U$5</f>
        <v>0</v>
      </c>
      <c r="F63" s="42">
        <f>0*Deflactores!$V$5</f>
        <v>0</v>
      </c>
      <c r="G63" s="42">
        <f>0*Deflactores!$W$5</f>
        <v>0</v>
      </c>
      <c r="H63" s="42">
        <f>0*Deflactores!$X$5</f>
        <v>0</v>
      </c>
      <c r="I63" s="42">
        <f>0*Deflactores!$Y$5</f>
        <v>0</v>
      </c>
      <c r="J63" s="42">
        <f>0*Deflactores!$Z$5</f>
        <v>0</v>
      </c>
      <c r="K63" s="42">
        <f>0*Deflactores!$AA$5</f>
        <v>0</v>
      </c>
      <c r="L63" s="42"/>
      <c r="M63" s="47" t="e">
        <f t="shared" si="25"/>
        <v>#DIV/0!</v>
      </c>
      <c r="N63" s="47" t="e">
        <f t="shared" si="25"/>
        <v>#DIV/0!</v>
      </c>
      <c r="O63" s="47" t="e">
        <f t="shared" si="25"/>
        <v>#DIV/0!</v>
      </c>
      <c r="P63" s="47" t="e">
        <f t="shared" si="25"/>
        <v>#DIV/0!</v>
      </c>
      <c r="Q63" s="47" t="e">
        <f t="shared" si="26"/>
        <v>#DIV/0!</v>
      </c>
      <c r="R63" s="47">
        <f t="shared" si="20"/>
        <v>0</v>
      </c>
      <c r="S63" s="47">
        <f t="shared" si="21"/>
        <v>0</v>
      </c>
      <c r="T63" s="47">
        <f t="shared" si="22"/>
        <v>0</v>
      </c>
    </row>
    <row r="64" spans="1:20" x14ac:dyDescent="0.2">
      <c r="A64" s="5"/>
      <c r="B64" s="32"/>
      <c r="C64" s="77" t="s">
        <v>104</v>
      </c>
      <c r="D64" s="42">
        <f>0*Deflactores!$T$5</f>
        <v>0</v>
      </c>
      <c r="E64" s="42">
        <f>0*Deflactores!$U$5</f>
        <v>0</v>
      </c>
      <c r="F64" s="42">
        <f>0*Deflactores!$V$5</f>
        <v>0</v>
      </c>
      <c r="G64" s="42">
        <f>15.80993647561*Deflactores!$W$5</f>
        <v>20.255117277250136</v>
      </c>
      <c r="H64" s="42">
        <f>52.60896149184*Deflactores!$X$5</f>
        <v>61.677062261564174</v>
      </c>
      <c r="I64" s="42">
        <f>0*Deflactores!$Y$5</f>
        <v>0</v>
      </c>
      <c r="J64" s="42">
        <f>0*Deflactores!$Z$5</f>
        <v>0</v>
      </c>
      <c r="K64" s="42">
        <f>0*Deflactores!$AA$5</f>
        <v>0</v>
      </c>
      <c r="L64" s="42"/>
      <c r="M64" s="47"/>
      <c r="N64" s="47"/>
      <c r="O64" s="47"/>
      <c r="P64" s="47">
        <f>+G64/G31*100</f>
        <v>99.999738700518392</v>
      </c>
      <c r="Q64" s="47">
        <f t="shared" si="26"/>
        <v>99.998261539034289</v>
      </c>
      <c r="R64" s="47">
        <f t="shared" si="20"/>
        <v>0</v>
      </c>
      <c r="S64" s="47">
        <f t="shared" si="21"/>
        <v>0</v>
      </c>
      <c r="T64" s="47">
        <f t="shared" si="22"/>
        <v>0</v>
      </c>
    </row>
    <row r="65" spans="1:20" x14ac:dyDescent="0.2">
      <c r="A65" s="5"/>
      <c r="B65" s="34" t="s">
        <v>45</v>
      </c>
      <c r="C65" s="76" t="s">
        <v>46</v>
      </c>
      <c r="D65" s="41">
        <f>8005.54910054924*Deflactores!$T$5</f>
        <v>12451.388206261945</v>
      </c>
      <c r="E65" s="41">
        <f>7818.80395699719*Deflactores!$U$5</f>
        <v>11968.246374047912</v>
      </c>
      <c r="F65" s="41">
        <f>8937.78277133517*Deflactores!$V$5</f>
        <v>12953.103291967152</v>
      </c>
      <c r="G65" s="41">
        <f>9252.58190189913*Deflactores!$W$5</f>
        <v>11854.072394879628</v>
      </c>
      <c r="H65" s="41">
        <f>9758.63758099337*Deflactores!$X$5</f>
        <v>11440.714292836295</v>
      </c>
      <c r="I65" s="41">
        <f>12556.9014015897*Deflactores!$Y$5</f>
        <v>13993.639937431755</v>
      </c>
      <c r="J65" s="41">
        <f>13158.8312288678*Deflactores!$Z$5</f>
        <v>13952.71093094483</v>
      </c>
      <c r="K65" s="41">
        <f>7711.84209473614*Deflactores!$AA$5</f>
        <v>7711.8420947361401</v>
      </c>
      <c r="L65" s="71"/>
      <c r="M65" s="46">
        <f t="shared" ref="M65:O67" si="27">+D65/D32*100</f>
        <v>96.121091240924954</v>
      </c>
      <c r="N65" s="46">
        <f t="shared" si="27"/>
        <v>96.1610015657253</v>
      </c>
      <c r="O65" s="46">
        <f t="shared" si="27"/>
        <v>87.674420147974288</v>
      </c>
      <c r="P65" s="46">
        <f>+G65/G32*100</f>
        <v>89.043941367008912</v>
      </c>
      <c r="Q65" s="46">
        <f t="shared" si="26"/>
        <v>85.719126932798019</v>
      </c>
      <c r="R65" s="46">
        <f t="shared" si="20"/>
        <v>92.899015807470477</v>
      </c>
      <c r="S65" s="46">
        <f t="shared" si="21"/>
        <v>95.466052552909787</v>
      </c>
      <c r="T65" s="46">
        <f t="shared" si="22"/>
        <v>48.312555444495828</v>
      </c>
    </row>
    <row r="66" spans="1:20" x14ac:dyDescent="0.2">
      <c r="A66" s="5"/>
      <c r="B66" s="36" t="s">
        <v>47</v>
      </c>
      <c r="C66" s="78" t="s">
        <v>48</v>
      </c>
      <c r="D66" s="43">
        <f t="shared" ref="D66:K66" si="28">+D47+D65</f>
        <v>21937.709451365328</v>
      </c>
      <c r="E66" s="43">
        <f t="shared" si="28"/>
        <v>21587.691148368191</v>
      </c>
      <c r="F66" s="43">
        <f t="shared" si="28"/>
        <v>22834.736933235254</v>
      </c>
      <c r="G66" s="43">
        <f t="shared" si="28"/>
        <v>21619.231655474054</v>
      </c>
      <c r="H66" s="43">
        <f t="shared" si="28"/>
        <v>22290.703402647348</v>
      </c>
      <c r="I66" s="43">
        <f t="shared" si="28"/>
        <v>27606.61014001986</v>
      </c>
      <c r="J66" s="43">
        <f t="shared" si="28"/>
        <v>26787.877447034596</v>
      </c>
      <c r="K66" s="43">
        <f t="shared" si="28"/>
        <v>14770.463009930199</v>
      </c>
      <c r="L66" s="71"/>
      <c r="M66" s="48">
        <f t="shared" si="27"/>
        <v>94.958673517384639</v>
      </c>
      <c r="N66" s="48">
        <f t="shared" si="27"/>
        <v>95.245188649918148</v>
      </c>
      <c r="O66" s="48">
        <f t="shared" si="27"/>
        <v>84.098346723890387</v>
      </c>
      <c r="P66" s="48">
        <f>+G66/G33*100</f>
        <v>89.380450100820141</v>
      </c>
      <c r="Q66" s="48">
        <f t="shared" si="26"/>
        <v>87.515131410330042</v>
      </c>
      <c r="R66" s="48">
        <f t="shared" si="20"/>
        <v>91.800887360486868</v>
      </c>
      <c r="S66" s="48">
        <f t="shared" si="21"/>
        <v>95.959013295375968</v>
      </c>
      <c r="T66" s="48">
        <f t="shared" si="22"/>
        <v>49.693337131204999</v>
      </c>
    </row>
    <row r="67" spans="1:20" x14ac:dyDescent="0.2">
      <c r="A67" s="5"/>
      <c r="B67" s="38" t="s">
        <v>49</v>
      </c>
      <c r="C67" s="79" t="s">
        <v>63</v>
      </c>
      <c r="D67" s="44">
        <f t="shared" ref="D67:K67" si="29">+D47+D55+D65</f>
        <v>21939.661035656358</v>
      </c>
      <c r="E67" s="44">
        <f t="shared" si="29"/>
        <v>21589.214925068107</v>
      </c>
      <c r="F67" s="44">
        <f t="shared" si="29"/>
        <v>22836.597773339323</v>
      </c>
      <c r="G67" s="44">
        <f t="shared" si="29"/>
        <v>21641.277013639636</v>
      </c>
      <c r="H67" s="44">
        <f t="shared" si="29"/>
        <v>22352.380464908911</v>
      </c>
      <c r="I67" s="44">
        <f t="shared" si="29"/>
        <v>27606.61014001986</v>
      </c>
      <c r="J67" s="44">
        <f t="shared" si="29"/>
        <v>26787.877447034596</v>
      </c>
      <c r="K67" s="44">
        <f t="shared" si="29"/>
        <v>14770.463009930199</v>
      </c>
      <c r="L67" s="71"/>
      <c r="M67" s="45">
        <f t="shared" si="27"/>
        <v>94.958707875551724</v>
      </c>
      <c r="N67" s="45">
        <f t="shared" si="27"/>
        <v>95.244417939100302</v>
      </c>
      <c r="O67" s="45">
        <f t="shared" si="27"/>
        <v>84.099436439116829</v>
      </c>
      <c r="P67" s="45">
        <f>+G67/G34*100</f>
        <v>89.3900648972119</v>
      </c>
      <c r="Q67" s="45">
        <f t="shared" si="26"/>
        <v>87.545286714668435</v>
      </c>
      <c r="R67" s="45">
        <f t="shared" si="20"/>
        <v>91.800887360486868</v>
      </c>
      <c r="S67" s="45">
        <f t="shared" si="21"/>
        <v>95.959013295375968</v>
      </c>
      <c r="T67" s="45">
        <f t="shared" si="22"/>
        <v>49.693337131204999</v>
      </c>
    </row>
    <row r="68" spans="1:20" s="5" customFormat="1" x14ac:dyDescent="0.2">
      <c r="B68" s="72" t="str">
        <f>+'C1 Aprop Resumen 2000-2026'!B20</f>
        <v>* Información con corte a 30 de Junio</v>
      </c>
      <c r="C68" s="68"/>
      <c r="D68" s="69"/>
      <c r="E68" s="69"/>
      <c r="F68" s="69"/>
      <c r="G68" s="69"/>
      <c r="H68" s="69"/>
      <c r="I68" s="69"/>
      <c r="M68" s="111"/>
      <c r="N68" s="111"/>
      <c r="O68" s="111"/>
      <c r="P68" s="111"/>
      <c r="Q68" s="111"/>
      <c r="R68" s="111"/>
      <c r="S68" s="111"/>
    </row>
    <row r="69" spans="1:20" x14ac:dyDescent="0.2">
      <c r="B69" s="1" t="s">
        <v>52</v>
      </c>
      <c r="M69" s="109"/>
      <c r="N69" s="109"/>
      <c r="O69" s="109"/>
      <c r="P69" s="109"/>
      <c r="Q69" s="109"/>
      <c r="R69" s="109"/>
      <c r="S69" s="109"/>
    </row>
    <row r="70" spans="1:20" x14ac:dyDescent="0.2">
      <c r="M70" s="109"/>
      <c r="N70" s="109"/>
      <c r="O70" s="109"/>
      <c r="P70" s="109"/>
      <c r="Q70" s="109"/>
      <c r="R70" s="109"/>
      <c r="S70" s="109"/>
    </row>
    <row r="71" spans="1:20" x14ac:dyDescent="0.2">
      <c r="M71" s="109"/>
      <c r="N71" s="109"/>
      <c r="O71" s="109"/>
      <c r="P71" s="109"/>
      <c r="Q71" s="109"/>
      <c r="R71" s="109"/>
      <c r="S71" s="109"/>
    </row>
    <row r="72" spans="1:20" x14ac:dyDescent="0.2">
      <c r="M72" s="109"/>
      <c r="N72" s="109"/>
      <c r="O72" s="109"/>
      <c r="P72" s="109"/>
      <c r="Q72" s="109"/>
      <c r="R72" s="109"/>
      <c r="S72" s="109"/>
    </row>
    <row r="73" spans="1:20" x14ac:dyDescent="0.2">
      <c r="M73" s="109"/>
      <c r="N73" s="109"/>
      <c r="O73" s="109"/>
      <c r="P73" s="109"/>
      <c r="Q73" s="109"/>
      <c r="R73" s="109"/>
      <c r="S73" s="109"/>
    </row>
    <row r="74" spans="1:20" ht="19.5" customHeight="1" x14ac:dyDescent="0.2">
      <c r="C74" s="138"/>
      <c r="D74" s="178" t="s">
        <v>117</v>
      </c>
      <c r="E74" s="160"/>
      <c r="F74" s="160"/>
      <c r="G74" s="160"/>
      <c r="H74" s="160"/>
      <c r="I74" s="160"/>
      <c r="J74" s="160"/>
      <c r="K74" s="170"/>
      <c r="L74" s="170"/>
      <c r="M74" s="160"/>
      <c r="N74" s="160"/>
      <c r="O74" s="160"/>
      <c r="P74" s="160"/>
      <c r="Q74" s="160"/>
      <c r="R74" s="160"/>
      <c r="S74" s="160"/>
      <c r="T74" s="160"/>
    </row>
    <row r="75" spans="1:20" ht="15" customHeight="1" x14ac:dyDescent="0.2"/>
    <row r="76" spans="1:20" ht="12" customHeight="1" thickBot="1" x14ac:dyDescent="0.3">
      <c r="B76" s="115"/>
      <c r="C76" s="92"/>
      <c r="D76" s="173"/>
      <c r="E76" s="156"/>
      <c r="F76" s="156"/>
      <c r="G76" s="156"/>
      <c r="H76" s="156"/>
      <c r="I76" s="156"/>
      <c r="J76" s="156"/>
      <c r="K76" s="156"/>
      <c r="M76" s="173" t="s">
        <v>113</v>
      </c>
      <c r="N76" s="156"/>
      <c r="O76" s="156"/>
      <c r="P76" s="156"/>
      <c r="Q76" s="156"/>
      <c r="R76" s="156"/>
      <c r="S76" s="156"/>
      <c r="T76" s="156"/>
    </row>
    <row r="77" spans="1:20" ht="11.25" customHeight="1" x14ac:dyDescent="0.2">
      <c r="B77" s="49"/>
      <c r="C77" s="175" t="s">
        <v>38</v>
      </c>
      <c r="D77" s="155">
        <v>2019</v>
      </c>
      <c r="E77" s="155">
        <v>2020</v>
      </c>
      <c r="F77" s="155">
        <v>2021</v>
      </c>
      <c r="G77" s="155">
        <v>2022</v>
      </c>
      <c r="H77" s="155">
        <v>2023</v>
      </c>
      <c r="I77" s="155">
        <v>2024</v>
      </c>
      <c r="J77" s="155">
        <v>2025</v>
      </c>
      <c r="K77" s="155" t="s">
        <v>36</v>
      </c>
      <c r="L77" s="114"/>
      <c r="M77" s="155">
        <v>2019</v>
      </c>
      <c r="N77" s="155">
        <v>2020</v>
      </c>
      <c r="O77" s="155">
        <v>2021</v>
      </c>
      <c r="P77" s="155">
        <v>2022</v>
      </c>
      <c r="Q77" s="155">
        <v>2023</v>
      </c>
      <c r="R77" s="155">
        <v>2024</v>
      </c>
      <c r="S77" s="155">
        <v>2025</v>
      </c>
      <c r="T77" s="155" t="s">
        <v>36</v>
      </c>
    </row>
    <row r="78" spans="1:20" ht="12" customHeight="1" thickBot="1" x14ac:dyDescent="0.25">
      <c r="B78" s="84"/>
      <c r="C78" s="156"/>
      <c r="D78" s="156"/>
      <c r="E78" s="156"/>
      <c r="F78" s="156"/>
      <c r="G78" s="156"/>
      <c r="H78" s="156"/>
      <c r="I78" s="156"/>
      <c r="J78" s="156"/>
      <c r="K78" s="156"/>
      <c r="L78" s="114"/>
      <c r="M78" s="156"/>
      <c r="N78" s="156"/>
      <c r="O78" s="156"/>
      <c r="P78" s="156"/>
      <c r="Q78" s="156"/>
      <c r="R78" s="156"/>
      <c r="S78" s="156"/>
      <c r="T78" s="156"/>
    </row>
    <row r="79" spans="1:20" x14ac:dyDescent="0.2">
      <c r="B79" s="34" t="s">
        <v>39</v>
      </c>
      <c r="C79" s="76" t="s">
        <v>40</v>
      </c>
      <c r="D79" s="41">
        <f t="shared" ref="D79:K79" si="30">+SUM(D80:D86)</f>
        <v>9321.1274375929461</v>
      </c>
      <c r="E79" s="41">
        <f t="shared" si="30"/>
        <v>9284.0363636845595</v>
      </c>
      <c r="F79" s="41">
        <f t="shared" si="30"/>
        <v>9608.2055285280167</v>
      </c>
      <c r="G79" s="41">
        <f t="shared" si="30"/>
        <v>9423.8920842839671</v>
      </c>
      <c r="H79" s="41">
        <f t="shared" si="30"/>
        <v>10370.402681025738</v>
      </c>
      <c r="I79" s="41">
        <f t="shared" si="30"/>
        <v>13329.77052755862</v>
      </c>
      <c r="J79" s="41">
        <f t="shared" si="30"/>
        <v>12402.109519685122</v>
      </c>
      <c r="K79" s="41">
        <f t="shared" si="30"/>
        <v>5823.2665097862391</v>
      </c>
      <c r="M79" s="46">
        <f t="shared" ref="M79:M99" si="31">+IFERROR(D79/D14*100,0)</f>
        <v>91.847168022099225</v>
      </c>
      <c r="N79" s="46">
        <f t="shared" ref="N79:N99" si="32">+IFERROR(E79/E14*100,0)</f>
        <v>90.84773193470015</v>
      </c>
      <c r="O79" s="46">
        <f t="shared" ref="O79:O99" si="33">+IFERROR(F79/F14*100,0)</f>
        <v>77.621212829704447</v>
      </c>
      <c r="P79" s="46">
        <f t="shared" ref="P79:P99" si="34">+IFERROR(G79/G14*100,0)</f>
        <v>86.654364153178861</v>
      </c>
      <c r="Q79" s="46">
        <f t="shared" ref="Q79:Q99" si="35">+IFERROR(H79/H14*100,0)</f>
        <v>85.536580756290689</v>
      </c>
      <c r="R79" s="46">
        <f t="shared" ref="R79:R99" si="36">+IFERROR(I79/I14*100,0)</f>
        <v>88.811919393064116</v>
      </c>
      <c r="S79" s="46">
        <f t="shared" ref="S79:S99" si="37">+IFERROR(J79/J14*100,0)</f>
        <v>93.244781152965345</v>
      </c>
      <c r="T79" s="46">
        <f t="shared" ref="T79:T99" si="38">+IFERROR(K79/K14*100,0)</f>
        <v>42.31770184809713</v>
      </c>
    </row>
    <row r="80" spans="1:20" x14ac:dyDescent="0.2">
      <c r="B80" s="40"/>
      <c r="C80" s="77" t="s">
        <v>92</v>
      </c>
      <c r="D80" s="42">
        <f>1779.55407590069*Deflactores!$T$5</f>
        <v>2767.8199652232511</v>
      </c>
      <c r="E80" s="42">
        <f>1885.74742445303*Deflactores!$U$5</f>
        <v>2886.5143440362995</v>
      </c>
      <c r="F80" s="42">
        <f>2026.9811169646*Deflactores!$V$5</f>
        <v>2937.6072847860464</v>
      </c>
      <c r="G80" s="42">
        <f>2300.91899804177*Deflactores!$W$5</f>
        <v>2947.8539792166207</v>
      </c>
      <c r="H80" s="42">
        <f>2627.88533386949*Deflactores!$X$5</f>
        <v>3080.8486378971693</v>
      </c>
      <c r="I80" s="42">
        <f>3056.49474455984*Deflactores!$Y$5</f>
        <v>3406.2134883537424</v>
      </c>
      <c r="J80" s="42">
        <f>3325.97780088275*Deflactores!$Z$5</f>
        <v>3526.635915555355</v>
      </c>
      <c r="K80" s="42">
        <f>1663.79504979666*Deflactores!$AA$5</f>
        <v>1663.7950497966599</v>
      </c>
      <c r="M80" s="47">
        <f t="shared" si="31"/>
        <v>95.510170197286442</v>
      </c>
      <c r="N80" s="47">
        <f t="shared" si="32"/>
        <v>96.503721428904328</v>
      </c>
      <c r="O80" s="47">
        <f t="shared" si="33"/>
        <v>91.410184574954783</v>
      </c>
      <c r="P80" s="47">
        <f t="shared" si="34"/>
        <v>92.44946803582755</v>
      </c>
      <c r="Q80" s="47">
        <f t="shared" si="35"/>
        <v>93.137392594620692</v>
      </c>
      <c r="R80" s="47">
        <f t="shared" si="36"/>
        <v>93.256302459713851</v>
      </c>
      <c r="S80" s="47">
        <f t="shared" si="37"/>
        <v>95.336892974889992</v>
      </c>
      <c r="T80" s="47">
        <f t="shared" si="38"/>
        <v>39.560680435941769</v>
      </c>
    </row>
    <row r="81" spans="2:20" x14ac:dyDescent="0.2">
      <c r="B81" s="40"/>
      <c r="C81" s="77" t="s">
        <v>93</v>
      </c>
      <c r="D81" s="42">
        <f>712.056124095219*Deflactores!$T$5</f>
        <v>1107.4927046725031</v>
      </c>
      <c r="E81" s="42">
        <f>648.24061833601*Deflactores!$U$5</f>
        <v>992.262176233167</v>
      </c>
      <c r="F81" s="42">
        <f>784.060510290659*Deflactores!$V$5</f>
        <v>1136.3015903137934</v>
      </c>
      <c r="G81" s="42">
        <f>835.7171789664*Deflactores!$W$5</f>
        <v>1070.6905430449524</v>
      </c>
      <c r="H81" s="42">
        <f>922.743946829239*Deflactores!$X$5</f>
        <v>1081.7954630960714</v>
      </c>
      <c r="I81" s="42">
        <f>1157.33588166117*Deflactores!$Y$5</f>
        <v>1289.7562142668587</v>
      </c>
      <c r="J81" s="42">
        <f>1401.82325657843*Deflactores!$Z$5</f>
        <v>1486.3960434727328</v>
      </c>
      <c r="K81" s="42">
        <f>575.359737085809*Deflactores!$AA$5</f>
        <v>575.359737085809</v>
      </c>
      <c r="M81" s="47">
        <f t="shared" si="31"/>
        <v>90.04258779797442</v>
      </c>
      <c r="N81" s="47">
        <f t="shared" si="32"/>
        <v>79.322312375798816</v>
      </c>
      <c r="O81" s="47">
        <f t="shared" si="33"/>
        <v>85.324761285814191</v>
      </c>
      <c r="P81" s="47">
        <f t="shared" si="34"/>
        <v>86.507916393718105</v>
      </c>
      <c r="Q81" s="47">
        <f t="shared" si="35"/>
        <v>81.736535168560593</v>
      </c>
      <c r="R81" s="47">
        <f t="shared" si="36"/>
        <v>88.702239616734062</v>
      </c>
      <c r="S81" s="47">
        <f t="shared" si="37"/>
        <v>87.637698584245072</v>
      </c>
      <c r="T81" s="47">
        <f t="shared" si="38"/>
        <v>37.333612831539632</v>
      </c>
    </row>
    <row r="82" spans="2:20" x14ac:dyDescent="0.2">
      <c r="B82" s="40"/>
      <c r="C82" s="77" t="s">
        <v>58</v>
      </c>
      <c r="D82" s="42">
        <f>2065.15477798075*Deflactores!$T$5</f>
        <v>3212.0274978877897</v>
      </c>
      <c r="E82" s="42">
        <f>2209.70690164954*Deflactores!$U$5</f>
        <v>3382.3992465891756</v>
      </c>
      <c r="F82" s="42">
        <f>2318.27067858402*Deflactores!$V$5</f>
        <v>3359.7593862702192</v>
      </c>
      <c r="G82" s="42">
        <f>2455.81387675348*Deflactores!$W$5</f>
        <v>3146.2996806772949</v>
      </c>
      <c r="H82" s="42">
        <f>3608.61932743485*Deflactores!$X$5</f>
        <v>4230.6297753283925</v>
      </c>
      <c r="I82" s="42">
        <f>5790.88007783567*Deflactores!$Y$5</f>
        <v>6453.4623740710485</v>
      </c>
      <c r="J82" s="42">
        <f>4942.63343202682*Deflactores!$Z$5</f>
        <v>5240.8252917936106</v>
      </c>
      <c r="K82" s="42">
        <f>2785.25517044707*Deflactores!$AA$5</f>
        <v>2785.2551704470702</v>
      </c>
      <c r="L82" s="42"/>
      <c r="M82" s="47">
        <f t="shared" si="31"/>
        <v>89.15018471918448</v>
      </c>
      <c r="N82" s="47">
        <f t="shared" si="32"/>
        <v>91.110223222981261</v>
      </c>
      <c r="O82" s="47">
        <f t="shared" si="33"/>
        <v>67.061933359607934</v>
      </c>
      <c r="P82" s="47">
        <f t="shared" si="34"/>
        <v>84.281458232635174</v>
      </c>
      <c r="Q82" s="47">
        <f t="shared" si="35"/>
        <v>83.867375960992661</v>
      </c>
      <c r="R82" s="47">
        <f t="shared" si="36"/>
        <v>87.149570701087526</v>
      </c>
      <c r="S82" s="47">
        <f t="shared" si="37"/>
        <v>94.480471849124626</v>
      </c>
      <c r="T82" s="47">
        <f t="shared" si="38"/>
        <v>49.301374471497155</v>
      </c>
    </row>
    <row r="83" spans="2:20" x14ac:dyDescent="0.2">
      <c r="B83" s="40"/>
      <c r="C83" s="77" t="s">
        <v>94</v>
      </c>
      <c r="D83" s="42">
        <f>1276.78228807442*Deflactores!$T$5</f>
        <v>1985.8365396326496</v>
      </c>
      <c r="E83" s="42">
        <f>1135.38322764875*Deflactores!$U$5</f>
        <v>1737.9315650063502</v>
      </c>
      <c r="F83" s="42">
        <f>1299.14074657603*Deflactores!$V$5</f>
        <v>1882.7828681596836</v>
      </c>
      <c r="G83" s="42">
        <f>1490.56013321123*Deflactores!$W$5</f>
        <v>1909.6515886425891</v>
      </c>
      <c r="H83" s="42">
        <f>1491.71701789337*Deflactores!$X$5</f>
        <v>1748.8412768519443</v>
      </c>
      <c r="I83" s="42">
        <f>1716.91769330227*Deflactores!$Y$5</f>
        <v>1913.3643909345483</v>
      </c>
      <c r="J83" s="42">
        <f>1731.67057523641*Deflactores!$Z$5</f>
        <v>1836.1432367101997</v>
      </c>
      <c r="K83" s="42">
        <f>712.42202454251*Deflactores!$AA$5</f>
        <v>712.42202454251003</v>
      </c>
      <c r="L83" s="42"/>
      <c r="M83" s="47">
        <f t="shared" si="31"/>
        <v>92.665712595970135</v>
      </c>
      <c r="N83" s="47">
        <f t="shared" si="32"/>
        <v>88.768156325830532</v>
      </c>
      <c r="O83" s="47">
        <f t="shared" si="33"/>
        <v>75.636342396925144</v>
      </c>
      <c r="P83" s="47">
        <f t="shared" si="34"/>
        <v>82.522004642903283</v>
      </c>
      <c r="Q83" s="47">
        <f t="shared" si="35"/>
        <v>84.11709336251252</v>
      </c>
      <c r="R83" s="47">
        <f t="shared" si="36"/>
        <v>86.708388528975576</v>
      </c>
      <c r="S83" s="47">
        <f t="shared" si="37"/>
        <v>90.667776969660935</v>
      </c>
      <c r="T83" s="47">
        <f t="shared" si="38"/>
        <v>34.218277356203217</v>
      </c>
    </row>
    <row r="84" spans="2:20" x14ac:dyDescent="0.2">
      <c r="B84" s="40"/>
      <c r="C84" s="77" t="s">
        <v>95</v>
      </c>
      <c r="D84" s="42">
        <f>76.38493438415*Deflactores!$T$5</f>
        <v>118.80490134794694</v>
      </c>
      <c r="E84" s="42">
        <f>94.13545400243*Deflactores!$U$5</f>
        <v>144.09317745148087</v>
      </c>
      <c r="F84" s="42">
        <f>96.30619608708*Deflactores!$V$5</f>
        <v>139.57198753735625</v>
      </c>
      <c r="G84" s="42">
        <f>164.77276731703*Deflactores!$W$5</f>
        <v>211.1008941277052</v>
      </c>
      <c r="H84" s="42">
        <f>97.9376440831799*Deflactores!$X$5</f>
        <v>114.81895860662678</v>
      </c>
      <c r="I84" s="42">
        <f>119.6500671094*Deflactores!$Y$5</f>
        <v>133.34021699067563</v>
      </c>
      <c r="J84" s="42">
        <f>155.35662822622*Deflactores!$Z$5</f>
        <v>164.72938113921069</v>
      </c>
      <c r="K84" s="42">
        <f>56.00637354842*Deflactores!$AA$5</f>
        <v>56.006373548420001</v>
      </c>
      <c r="L84" s="42"/>
      <c r="M84" s="47">
        <f t="shared" si="31"/>
        <v>94.567242370788733</v>
      </c>
      <c r="N84" s="47">
        <f t="shared" si="32"/>
        <v>91.292047874984647</v>
      </c>
      <c r="O84" s="47">
        <f t="shared" si="33"/>
        <v>91.42058186047818</v>
      </c>
      <c r="P84" s="47">
        <f t="shared" si="34"/>
        <v>96.860893753787664</v>
      </c>
      <c r="Q84" s="47">
        <f t="shared" si="35"/>
        <v>51.623664493496001</v>
      </c>
      <c r="R84" s="47">
        <f t="shared" si="36"/>
        <v>93.496856522406219</v>
      </c>
      <c r="S84" s="47">
        <f t="shared" si="37"/>
        <v>95.616802039641655</v>
      </c>
      <c r="T84" s="47">
        <f t="shared" si="38"/>
        <v>42.143082167641602</v>
      </c>
    </row>
    <row r="85" spans="2:20" x14ac:dyDescent="0.2">
      <c r="B85" s="40"/>
      <c r="C85" s="77" t="s">
        <v>96</v>
      </c>
      <c r="D85" s="42">
        <f>7.59070268202*Deflactores!$T$5</f>
        <v>11.806159036069159</v>
      </c>
      <c r="E85" s="42">
        <f>6.85472104864999*Deflactores!$U$5</f>
        <v>10.492524276963994</v>
      </c>
      <c r="F85" s="42">
        <f>8.14563549441*Deflactores!$V$5</f>
        <v>11.805081935555348</v>
      </c>
      <c r="G85" s="42">
        <f>10.81918451553*Deflactores!$W$5</f>
        <v>13.861146851813242</v>
      </c>
      <c r="H85" s="42">
        <f>7.86689177436*Deflactores!$X$5</f>
        <v>9.2228920703452317</v>
      </c>
      <c r="I85" s="42">
        <f>9.99873387698*Deflactores!$Y$5</f>
        <v>11.142771391590724</v>
      </c>
      <c r="J85" s="42">
        <f>8.960916642*Deflactores!$Z$5</f>
        <v>9.5015337918333103</v>
      </c>
      <c r="K85" s="42">
        <f>4.056205186*Deflactores!$AA$5</f>
        <v>4.0562051859999997</v>
      </c>
      <c r="L85" s="42"/>
      <c r="M85" s="47">
        <f t="shared" si="31"/>
        <v>90.827747350310361</v>
      </c>
      <c r="N85" s="47">
        <f t="shared" si="32"/>
        <v>95.921888119740998</v>
      </c>
      <c r="O85" s="47">
        <f t="shared" si="33"/>
        <v>41.035947075113341</v>
      </c>
      <c r="P85" s="47">
        <f t="shared" si="34"/>
        <v>60.428867937500009</v>
      </c>
      <c r="Q85" s="47">
        <f t="shared" si="35"/>
        <v>70.744570766092323</v>
      </c>
      <c r="R85" s="47">
        <f t="shared" si="36"/>
        <v>84.355362828784607</v>
      </c>
      <c r="S85" s="47">
        <f t="shared" si="37"/>
        <v>83.13876738920068</v>
      </c>
      <c r="T85" s="47">
        <f t="shared" si="38"/>
        <v>24.952049618602359</v>
      </c>
    </row>
    <row r="86" spans="2:20" x14ac:dyDescent="0.2">
      <c r="B86" s="40"/>
      <c r="C86" s="77" t="s">
        <v>97</v>
      </c>
      <c r="D86" s="42">
        <f>75.44287210446*Deflactores!$T$5</f>
        <v>117.33966979273836</v>
      </c>
      <c r="E86" s="42">
        <f>85.15273777239*Deflactores!$U$5</f>
        <v>130.34333009112248</v>
      </c>
      <c r="F86" s="42">
        <f>96.8618908563699*Deflactores!$V$5</f>
        <v>140.37732952536058</v>
      </c>
      <c r="G86" s="42">
        <f>97.1259552932899*Deflactores!$W$5</f>
        <v>124.4342517229903</v>
      </c>
      <c r="H86" s="42">
        <f>88.9189046155*Deflactores!$X$5</f>
        <v>104.24567717518858</v>
      </c>
      <c r="I86" s="42">
        <f>109.9148123653*Deflactores!$Y$5</f>
        <v>122.49107155015614</v>
      </c>
      <c r="J86" s="42">
        <f>130.03314435884*Deflactores!$Z$5</f>
        <v>137.87811722217972</v>
      </c>
      <c r="K86" s="42">
        <f>26.37194917977*Deflactores!$AA$5</f>
        <v>26.371949179769999</v>
      </c>
      <c r="L86" s="42"/>
      <c r="M86" s="47">
        <f t="shared" si="31"/>
        <v>86.252469379452378</v>
      </c>
      <c r="N86" s="47">
        <f t="shared" si="32"/>
        <v>94.25508097186399</v>
      </c>
      <c r="O86" s="47">
        <f t="shared" si="33"/>
        <v>92.169764497248991</v>
      </c>
      <c r="P86" s="47">
        <f t="shared" si="34"/>
        <v>77.338136340827106</v>
      </c>
      <c r="Q86" s="47">
        <f t="shared" si="35"/>
        <v>78.00865950369959</v>
      </c>
      <c r="R86" s="47">
        <f t="shared" si="36"/>
        <v>90.802444083385552</v>
      </c>
      <c r="S86" s="47">
        <f t="shared" si="37"/>
        <v>92.190063870470922</v>
      </c>
      <c r="T86" s="47">
        <f t="shared" si="38"/>
        <v>19.764941221950451</v>
      </c>
    </row>
    <row r="87" spans="2:20" x14ac:dyDescent="0.2">
      <c r="B87" s="34" t="s">
        <v>41</v>
      </c>
      <c r="C87" s="76" t="s">
        <v>42</v>
      </c>
      <c r="D87" s="41">
        <f>+D88+D92</f>
        <v>1.9515842910285006</v>
      </c>
      <c r="E87" s="41">
        <f>+E88+E92</f>
        <v>1.5237766983841581</v>
      </c>
      <c r="F87" s="41">
        <f>+F88+F92</f>
        <v>1.8608401040684162</v>
      </c>
      <c r="G87" s="41">
        <f>+G88+G92</f>
        <v>22.045358165579547</v>
      </c>
      <c r="H87" s="41">
        <f>+H88+H92</f>
        <v>61.677062261564174</v>
      </c>
      <c r="I87" s="41">
        <f>(+I88+I92)/1000000000</f>
        <v>0</v>
      </c>
      <c r="J87" s="41">
        <f>(+J88+J92)/1000000000</f>
        <v>0</v>
      </c>
      <c r="K87" s="41">
        <f>(+K88+K92)/1000000000</f>
        <v>0</v>
      </c>
      <c r="L87" s="71"/>
      <c r="M87" s="46">
        <f t="shared" si="31"/>
        <v>95.3465045592705</v>
      </c>
      <c r="N87" s="46">
        <f t="shared" si="32"/>
        <v>85.448650042918459</v>
      </c>
      <c r="O87" s="46">
        <f t="shared" si="33"/>
        <v>99.999999972741421</v>
      </c>
      <c r="P87" s="46">
        <f t="shared" si="34"/>
        <v>99.932132737468109</v>
      </c>
      <c r="Q87" s="46">
        <f t="shared" si="35"/>
        <v>99.998261539034289</v>
      </c>
      <c r="R87" s="46">
        <f t="shared" si="36"/>
        <v>0</v>
      </c>
      <c r="S87" s="46">
        <f t="shared" si="37"/>
        <v>0</v>
      </c>
      <c r="T87" s="46">
        <f t="shared" si="38"/>
        <v>0</v>
      </c>
    </row>
    <row r="88" spans="2:20" ht="11.25" hidden="1" customHeight="1" x14ac:dyDescent="0.2">
      <c r="B88" s="34"/>
      <c r="C88" s="76" t="s">
        <v>43</v>
      </c>
      <c r="D88" s="41">
        <f>+SUM(D89:D91)</f>
        <v>0</v>
      </c>
      <c r="E88" s="41">
        <f>+SUM(E89:E91)</f>
        <v>0</v>
      </c>
      <c r="F88" s="41"/>
      <c r="G88" s="41"/>
      <c r="H88" s="41"/>
      <c r="I88" s="41">
        <f>0*Deflactores!$Y$5</f>
        <v>0</v>
      </c>
      <c r="J88" s="41">
        <f>0*Deflactores!$Z$5</f>
        <v>0</v>
      </c>
      <c r="K88" s="41">
        <f>0*Deflactores!$AA$5</f>
        <v>0</v>
      </c>
      <c r="L88" s="71"/>
      <c r="M88" s="46">
        <f t="shared" si="31"/>
        <v>0</v>
      </c>
      <c r="N88" s="46">
        <f t="shared" si="32"/>
        <v>0</v>
      </c>
      <c r="O88" s="46">
        <f t="shared" si="33"/>
        <v>0</v>
      </c>
      <c r="P88" s="46">
        <f t="shared" si="34"/>
        <v>0</v>
      </c>
      <c r="Q88" s="46">
        <f t="shared" si="35"/>
        <v>0</v>
      </c>
      <c r="R88" s="46">
        <f t="shared" si="36"/>
        <v>0</v>
      </c>
      <c r="S88" s="46">
        <f t="shared" si="37"/>
        <v>0</v>
      </c>
      <c r="T88" s="46">
        <f t="shared" si="38"/>
        <v>0</v>
      </c>
    </row>
    <row r="89" spans="2:20" ht="11.25" hidden="1" customHeight="1" x14ac:dyDescent="0.2">
      <c r="B89" s="34"/>
      <c r="C89" s="86" t="s">
        <v>98</v>
      </c>
      <c r="D89" s="50">
        <f>0*Deflactores!$T$5</f>
        <v>0</v>
      </c>
      <c r="E89" s="50">
        <f>0*Deflactores!$U$5</f>
        <v>0</v>
      </c>
      <c r="F89" s="50"/>
      <c r="G89" s="50"/>
      <c r="H89" s="50"/>
      <c r="I89" s="50">
        <f>0*Deflactores!$Y$5</f>
        <v>0</v>
      </c>
      <c r="J89" s="50">
        <f>0*Deflactores!$Z$5</f>
        <v>0</v>
      </c>
      <c r="K89" s="50">
        <f>0*Deflactores!$AA$5</f>
        <v>0</v>
      </c>
      <c r="L89" s="42"/>
      <c r="M89" s="116">
        <f t="shared" si="31"/>
        <v>0</v>
      </c>
      <c r="N89" s="116">
        <f t="shared" si="32"/>
        <v>0</v>
      </c>
      <c r="O89" s="116">
        <f t="shared" si="33"/>
        <v>0</v>
      </c>
      <c r="P89" s="116">
        <f t="shared" si="34"/>
        <v>0</v>
      </c>
      <c r="Q89" s="116">
        <f t="shared" si="35"/>
        <v>0</v>
      </c>
      <c r="R89" s="116">
        <f t="shared" si="36"/>
        <v>0</v>
      </c>
      <c r="S89" s="116">
        <f t="shared" si="37"/>
        <v>0</v>
      </c>
      <c r="T89" s="116">
        <f t="shared" si="38"/>
        <v>0</v>
      </c>
    </row>
    <row r="90" spans="2:20" ht="11.25" hidden="1" customHeight="1" x14ac:dyDescent="0.2">
      <c r="B90" s="34"/>
      <c r="C90" s="86" t="s">
        <v>61</v>
      </c>
      <c r="D90" s="50">
        <f>0*Deflactores!$T$5</f>
        <v>0</v>
      </c>
      <c r="E90" s="50">
        <f>0*Deflactores!$U$5</f>
        <v>0</v>
      </c>
      <c r="F90" s="50"/>
      <c r="G90" s="50"/>
      <c r="H90" s="50"/>
      <c r="I90" s="50">
        <f>0*Deflactores!$Y$5</f>
        <v>0</v>
      </c>
      <c r="J90" s="50">
        <f>0*Deflactores!$Z$5</f>
        <v>0</v>
      </c>
      <c r="K90" s="50">
        <f>0*Deflactores!$AA$5</f>
        <v>0</v>
      </c>
      <c r="L90" s="42"/>
      <c r="M90" s="116">
        <f t="shared" si="31"/>
        <v>0</v>
      </c>
      <c r="N90" s="116">
        <f t="shared" si="32"/>
        <v>0</v>
      </c>
      <c r="O90" s="116">
        <f t="shared" si="33"/>
        <v>0</v>
      </c>
      <c r="P90" s="116">
        <f t="shared" si="34"/>
        <v>0</v>
      </c>
      <c r="Q90" s="116">
        <f t="shared" si="35"/>
        <v>0</v>
      </c>
      <c r="R90" s="116">
        <f t="shared" si="36"/>
        <v>0</v>
      </c>
      <c r="S90" s="116">
        <f t="shared" si="37"/>
        <v>0</v>
      </c>
      <c r="T90" s="116">
        <f t="shared" si="38"/>
        <v>0</v>
      </c>
    </row>
    <row r="91" spans="2:20" ht="11.25" hidden="1" customHeight="1" x14ac:dyDescent="0.2">
      <c r="B91" s="34"/>
      <c r="C91" s="86" t="s">
        <v>103</v>
      </c>
      <c r="D91" s="50">
        <f>0*Deflactores!$T$5</f>
        <v>0</v>
      </c>
      <c r="E91" s="50">
        <f>0*Deflactores!$U$5</f>
        <v>0</v>
      </c>
      <c r="F91" s="50"/>
      <c r="G91" s="50"/>
      <c r="H91" s="50"/>
      <c r="I91" s="50">
        <f>0*Deflactores!$Y$5</f>
        <v>0</v>
      </c>
      <c r="J91" s="50">
        <f>0*Deflactores!$Z$5</f>
        <v>0</v>
      </c>
      <c r="K91" s="50">
        <f>0*Deflactores!$AA$5</f>
        <v>0</v>
      </c>
      <c r="L91" s="42"/>
      <c r="M91" s="116">
        <f t="shared" si="31"/>
        <v>0</v>
      </c>
      <c r="N91" s="116">
        <f t="shared" si="32"/>
        <v>0</v>
      </c>
      <c r="O91" s="116">
        <f t="shared" si="33"/>
        <v>0</v>
      </c>
      <c r="P91" s="116">
        <f t="shared" si="34"/>
        <v>0</v>
      </c>
      <c r="Q91" s="116">
        <f t="shared" si="35"/>
        <v>0</v>
      </c>
      <c r="R91" s="116">
        <f t="shared" si="36"/>
        <v>0</v>
      </c>
      <c r="S91" s="116">
        <f t="shared" si="37"/>
        <v>0</v>
      </c>
      <c r="T91" s="116">
        <f t="shared" si="38"/>
        <v>0</v>
      </c>
    </row>
    <row r="92" spans="2:20" x14ac:dyDescent="0.2">
      <c r="B92" s="34"/>
      <c r="C92" s="76" t="s">
        <v>44</v>
      </c>
      <c r="D92" s="41">
        <f>+SUM(D93:D96)</f>
        <v>1.9515842910285006</v>
      </c>
      <c r="E92" s="41">
        <f>+SUM(E93:E96)</f>
        <v>1.5237766983841581</v>
      </c>
      <c r="F92" s="41">
        <f>+SUM(F93:F96)</f>
        <v>1.8608401040684162</v>
      </c>
      <c r="G92" s="41">
        <f>+SUM(G93:G96)</f>
        <v>22.045358165579547</v>
      </c>
      <c r="H92" s="41">
        <f>+SUM(H93:H96)</f>
        <v>61.677062261564174</v>
      </c>
      <c r="I92" s="41">
        <f>(+SUM(I93:I96))/1000000000</f>
        <v>0</v>
      </c>
      <c r="J92" s="41">
        <f>(+SUM(J93:J96))/1000000000</f>
        <v>0</v>
      </c>
      <c r="K92" s="41">
        <f>(+SUM(K93:K96))/1000000000</f>
        <v>0</v>
      </c>
      <c r="L92" s="71"/>
      <c r="M92" s="46">
        <f t="shared" si="31"/>
        <v>95.3465045592705</v>
      </c>
      <c r="N92" s="46">
        <f t="shared" si="32"/>
        <v>85.448650042918459</v>
      </c>
      <c r="O92" s="46">
        <f t="shared" si="33"/>
        <v>99.999999972741421</v>
      </c>
      <c r="P92" s="46">
        <f t="shared" si="34"/>
        <v>99.932132737468109</v>
      </c>
      <c r="Q92" s="46">
        <f t="shared" si="35"/>
        <v>99.998261539034289</v>
      </c>
      <c r="R92" s="46">
        <f t="shared" si="36"/>
        <v>0</v>
      </c>
      <c r="S92" s="46">
        <f t="shared" si="37"/>
        <v>0</v>
      </c>
      <c r="T92" s="46">
        <f t="shared" si="38"/>
        <v>0</v>
      </c>
    </row>
    <row r="93" spans="2:20" x14ac:dyDescent="0.2">
      <c r="B93" s="32"/>
      <c r="C93" s="77" t="s">
        <v>98</v>
      </c>
      <c r="D93" s="42">
        <f>1.207*Deflactores!$T$5</f>
        <v>1.8773010290983139</v>
      </c>
      <c r="E93" s="42">
        <f>0.929799059*Deflactores!$U$5</f>
        <v>1.4232437950450472</v>
      </c>
      <c r="F93" s="42">
        <f>1.28399999965*Deflactores!$V$5</f>
        <v>1.8608401040684162</v>
      </c>
      <c r="G93" s="42">
        <f>1.39735526252999*Deflactores!$W$5</f>
        <v>1.790240888329411</v>
      </c>
      <c r="H93" s="42">
        <f>0*Deflactores!$X$5</f>
        <v>0</v>
      </c>
      <c r="I93" s="42">
        <f>0*Deflactores!$Y$5</f>
        <v>0</v>
      </c>
      <c r="J93" s="42">
        <f>0*Deflactores!$Z$5</f>
        <v>0</v>
      </c>
      <c r="K93" s="42">
        <f>0*Deflactores!$AA$5</f>
        <v>0</v>
      </c>
      <c r="L93" s="42"/>
      <c r="M93" s="47">
        <f t="shared" si="31"/>
        <v>100</v>
      </c>
      <c r="N93" s="47">
        <f t="shared" si="32"/>
        <v>84.604100000000003</v>
      </c>
      <c r="O93" s="47">
        <f t="shared" si="33"/>
        <v>99.999999972741421</v>
      </c>
      <c r="P93" s="47">
        <f t="shared" si="34"/>
        <v>99.173545956706178</v>
      </c>
      <c r="Q93" s="47">
        <f t="shared" si="35"/>
        <v>0</v>
      </c>
      <c r="R93" s="47">
        <f t="shared" si="36"/>
        <v>0</v>
      </c>
      <c r="S93" s="47">
        <f t="shared" si="37"/>
        <v>0</v>
      </c>
      <c r="T93" s="47">
        <f t="shared" si="38"/>
        <v>0</v>
      </c>
    </row>
    <row r="94" spans="2:20" ht="11.25" hidden="1" customHeight="1" x14ac:dyDescent="0.2">
      <c r="B94" s="32"/>
      <c r="C94" s="77" t="s">
        <v>61</v>
      </c>
      <c r="D94" s="42">
        <f>0.04776*Deflactores!$T$5</f>
        <v>7.4283261930186792E-2</v>
      </c>
      <c r="E94" s="42">
        <f>0.065677714*Deflactores!$U$5</f>
        <v>0.10053290333911084</v>
      </c>
      <c r="F94" s="42">
        <f>0*Deflactores!$V$5</f>
        <v>0</v>
      </c>
      <c r="G94" s="42">
        <f>0*Deflactores!$W$5</f>
        <v>0</v>
      </c>
      <c r="H94" s="42">
        <f>0*Deflactores!$X$5</f>
        <v>0</v>
      </c>
      <c r="I94" s="42">
        <f>0*Deflactores!$Y$5</f>
        <v>0</v>
      </c>
      <c r="J94" s="42">
        <f>0*Deflactores!$Z$5</f>
        <v>0</v>
      </c>
      <c r="K94" s="42">
        <f>0*Deflactores!$AA$5</f>
        <v>0</v>
      </c>
      <c r="L94" s="42"/>
      <c r="M94" s="47">
        <f t="shared" si="31"/>
        <v>43.816513761467881</v>
      </c>
      <c r="N94" s="47">
        <f t="shared" si="32"/>
        <v>99.511687878787868</v>
      </c>
      <c r="O94" s="47">
        <f t="shared" si="33"/>
        <v>0</v>
      </c>
      <c r="P94" s="47">
        <f t="shared" si="34"/>
        <v>0</v>
      </c>
      <c r="Q94" s="47">
        <f t="shared" si="35"/>
        <v>0</v>
      </c>
      <c r="R94" s="47">
        <f t="shared" si="36"/>
        <v>0</v>
      </c>
      <c r="S94" s="47">
        <f t="shared" si="37"/>
        <v>0</v>
      </c>
      <c r="T94" s="47">
        <f t="shared" si="38"/>
        <v>0</v>
      </c>
    </row>
    <row r="95" spans="2:20" ht="11.25" hidden="1" customHeight="1" x14ac:dyDescent="0.2">
      <c r="B95" s="32"/>
      <c r="C95" s="77" t="s">
        <v>103</v>
      </c>
      <c r="D95" s="42">
        <f>0*Deflactores!$T$5</f>
        <v>0</v>
      </c>
      <c r="E95" s="42">
        <f>0*Deflactores!$U$5</f>
        <v>0</v>
      </c>
      <c r="F95" s="42">
        <f>0*Deflactores!$V$5</f>
        <v>0</v>
      </c>
      <c r="G95" s="42">
        <f>0*Deflactores!$W$5</f>
        <v>0</v>
      </c>
      <c r="H95" s="42">
        <f>0*Deflactores!$X$5</f>
        <v>0</v>
      </c>
      <c r="I95" s="42">
        <f>0*Deflactores!$Y$5</f>
        <v>0</v>
      </c>
      <c r="J95" s="42">
        <f>0*Deflactores!$Z$5</f>
        <v>0</v>
      </c>
      <c r="K95" s="42">
        <f>0*Deflactores!$AA$5</f>
        <v>0</v>
      </c>
      <c r="L95" s="42"/>
      <c r="M95" s="47">
        <f t="shared" si="31"/>
        <v>0</v>
      </c>
      <c r="N95" s="47">
        <f t="shared" si="32"/>
        <v>0</v>
      </c>
      <c r="O95" s="47">
        <f t="shared" si="33"/>
        <v>0</v>
      </c>
      <c r="P95" s="47">
        <f t="shared" si="34"/>
        <v>0</v>
      </c>
      <c r="Q95" s="47">
        <f t="shared" si="35"/>
        <v>0</v>
      </c>
      <c r="R95" s="47">
        <f t="shared" si="36"/>
        <v>0</v>
      </c>
      <c r="S95" s="47">
        <f t="shared" si="37"/>
        <v>0</v>
      </c>
      <c r="T95" s="47">
        <f t="shared" si="38"/>
        <v>0</v>
      </c>
    </row>
    <row r="96" spans="2:20" x14ac:dyDescent="0.2">
      <c r="B96" s="32"/>
      <c r="C96" s="77" t="s">
        <v>104</v>
      </c>
      <c r="D96" s="42">
        <f>0*Deflactores!$T$5</f>
        <v>0</v>
      </c>
      <c r="E96" s="42">
        <f>0*Deflactores!$U$5</f>
        <v>0</v>
      </c>
      <c r="F96" s="42">
        <f>0*Deflactores!$V$5</f>
        <v>0</v>
      </c>
      <c r="G96" s="42">
        <f>15.80993647561*Deflactores!$W$5</f>
        <v>20.255117277250136</v>
      </c>
      <c r="H96" s="42">
        <f>52.60896149184*Deflactores!$X$5</f>
        <v>61.677062261564174</v>
      </c>
      <c r="I96" s="42">
        <f>0*Deflactores!$Y$5</f>
        <v>0</v>
      </c>
      <c r="J96" s="42">
        <f>0*Deflactores!$Z$5</f>
        <v>0</v>
      </c>
      <c r="K96" s="42">
        <f>0*Deflactores!$AA$5</f>
        <v>0</v>
      </c>
      <c r="L96" s="42"/>
      <c r="M96" s="47">
        <f t="shared" si="31"/>
        <v>0</v>
      </c>
      <c r="N96" s="47">
        <f t="shared" si="32"/>
        <v>0</v>
      </c>
      <c r="O96" s="47">
        <f t="shared" si="33"/>
        <v>0</v>
      </c>
      <c r="P96" s="47">
        <f t="shared" si="34"/>
        <v>99.999738700518392</v>
      </c>
      <c r="Q96" s="47">
        <f t="shared" si="35"/>
        <v>99.998261539034289</v>
      </c>
      <c r="R96" s="47">
        <f t="shared" si="36"/>
        <v>0</v>
      </c>
      <c r="S96" s="47">
        <f t="shared" si="37"/>
        <v>0</v>
      </c>
      <c r="T96" s="47">
        <f t="shared" si="38"/>
        <v>0</v>
      </c>
    </row>
    <row r="97" spans="2:21" x14ac:dyDescent="0.2">
      <c r="B97" s="34" t="s">
        <v>45</v>
      </c>
      <c r="C97" s="76" t="s">
        <v>46</v>
      </c>
      <c r="D97" s="41">
        <f>6959.40172850088*Deflactores!$T$5</f>
        <v>10824.26845635732</v>
      </c>
      <c r="E97" s="41">
        <f>6729.4852342876*Deflactores!$U$5</f>
        <v>10300.825765351836</v>
      </c>
      <c r="F97" s="41">
        <f>7598.02360959152*Deflactores!$V$5</f>
        <v>11011.454087414779</v>
      </c>
      <c r="G97" s="41">
        <f>7662.11537174356*Deflactores!$W$5</f>
        <v>9816.4243535013211</v>
      </c>
      <c r="H97" s="41">
        <f>8358.6898277071*Deflactores!$X$5</f>
        <v>9799.4603639639899</v>
      </c>
      <c r="I97" s="41">
        <f>10193.5715379068*Deflactores!$Y$5</f>
        <v>11359.902034419209</v>
      </c>
      <c r="J97" s="41">
        <f>10549.6319339336*Deflactores!$Z$5</f>
        <v>11186.097172454189</v>
      </c>
      <c r="K97" s="41">
        <f>3992.56170936263*Deflactores!$AA$5</f>
        <v>3992.5617093626302</v>
      </c>
      <c r="L97" s="71"/>
      <c r="M97" s="46">
        <f t="shared" si="31"/>
        <v>83.560200571574711</v>
      </c>
      <c r="N97" s="46">
        <f t="shared" si="32"/>
        <v>82.763814479801752</v>
      </c>
      <c r="O97" s="46">
        <f t="shared" si="33"/>
        <v>74.532166565740084</v>
      </c>
      <c r="P97" s="46">
        <f t="shared" si="34"/>
        <v>73.737791153056818</v>
      </c>
      <c r="Q97" s="46">
        <f t="shared" si="35"/>
        <v>73.422092826627662</v>
      </c>
      <c r="R97" s="46">
        <f t="shared" si="36"/>
        <v>75.414525697772746</v>
      </c>
      <c r="S97" s="46">
        <f t="shared" si="37"/>
        <v>76.536563096068761</v>
      </c>
      <c r="T97" s="46">
        <f t="shared" si="38"/>
        <v>25.01229363614879</v>
      </c>
    </row>
    <row r="98" spans="2:21" x14ac:dyDescent="0.2">
      <c r="B98" s="36" t="s">
        <v>47</v>
      </c>
      <c r="C98" s="78" t="s">
        <v>48</v>
      </c>
      <c r="D98" s="43">
        <f t="shared" ref="D98:K98" si="39">+D79+D97</f>
        <v>20145.395893950266</v>
      </c>
      <c r="E98" s="43">
        <f t="shared" si="39"/>
        <v>19584.862129036395</v>
      </c>
      <c r="F98" s="43">
        <f t="shared" si="39"/>
        <v>20619.659615942794</v>
      </c>
      <c r="G98" s="43">
        <f t="shared" si="39"/>
        <v>19240.316437785288</v>
      </c>
      <c r="H98" s="43">
        <f t="shared" si="39"/>
        <v>20169.863044989728</v>
      </c>
      <c r="I98" s="43">
        <f t="shared" si="39"/>
        <v>24689.67256197783</v>
      </c>
      <c r="J98" s="43">
        <f t="shared" si="39"/>
        <v>23588.206692139313</v>
      </c>
      <c r="K98" s="43">
        <f t="shared" si="39"/>
        <v>9815.8282191488688</v>
      </c>
      <c r="L98" s="71"/>
      <c r="M98" s="48">
        <f t="shared" si="31"/>
        <v>87.200538224514915</v>
      </c>
      <c r="N98" s="48">
        <f t="shared" si="32"/>
        <v>86.408679619437265</v>
      </c>
      <c r="O98" s="48">
        <f t="shared" si="33"/>
        <v>75.940409945614874</v>
      </c>
      <c r="P98" s="48">
        <f t="shared" si="34"/>
        <v>79.545294240649952</v>
      </c>
      <c r="Q98" s="48">
        <f t="shared" si="35"/>
        <v>79.188538065649212</v>
      </c>
      <c r="R98" s="48">
        <f t="shared" si="36"/>
        <v>82.101128618604079</v>
      </c>
      <c r="S98" s="48">
        <f t="shared" si="37"/>
        <v>84.49721498317669</v>
      </c>
      <c r="T98" s="48">
        <f t="shared" si="38"/>
        <v>33.024100909241938</v>
      </c>
    </row>
    <row r="99" spans="2:21" x14ac:dyDescent="0.2">
      <c r="B99" s="38" t="s">
        <v>49</v>
      </c>
      <c r="C99" s="79" t="s">
        <v>63</v>
      </c>
      <c r="D99" s="44">
        <f t="shared" ref="D99:K99" si="40">+D79+D87+D97</f>
        <v>20147.347478241296</v>
      </c>
      <c r="E99" s="44">
        <f t="shared" si="40"/>
        <v>19586.38590573478</v>
      </c>
      <c r="F99" s="44">
        <f t="shared" si="40"/>
        <v>20621.520456046863</v>
      </c>
      <c r="G99" s="44">
        <f t="shared" si="40"/>
        <v>19262.36179595087</v>
      </c>
      <c r="H99" s="44">
        <f t="shared" si="40"/>
        <v>20231.54010725129</v>
      </c>
      <c r="I99" s="44">
        <f t="shared" si="40"/>
        <v>24689.67256197783</v>
      </c>
      <c r="J99" s="44">
        <f t="shared" si="40"/>
        <v>23588.206692139313</v>
      </c>
      <c r="K99" s="44">
        <f t="shared" si="40"/>
        <v>9815.8282191488688</v>
      </c>
      <c r="L99" s="71"/>
      <c r="M99" s="45">
        <f t="shared" si="31"/>
        <v>87.201259880190022</v>
      </c>
      <c r="N99" s="45">
        <f t="shared" si="32"/>
        <v>86.40860409223157</v>
      </c>
      <c r="O99" s="45">
        <f t="shared" si="33"/>
        <v>75.942058711386835</v>
      </c>
      <c r="P99" s="45">
        <f t="shared" si="34"/>
        <v>79.563870927228606</v>
      </c>
      <c r="Q99" s="45">
        <f t="shared" si="35"/>
        <v>79.238807792718276</v>
      </c>
      <c r="R99" s="45">
        <f t="shared" si="36"/>
        <v>82.101128618604079</v>
      </c>
      <c r="S99" s="45">
        <f t="shared" si="37"/>
        <v>84.49721498317669</v>
      </c>
      <c r="T99" s="45">
        <f t="shared" si="38"/>
        <v>33.024100909241938</v>
      </c>
    </row>
    <row r="100" spans="2:21" s="5" customFormat="1" x14ac:dyDescent="0.2">
      <c r="B100" s="72" t="str">
        <f>+'C1 Aprop Resumen 2000-2026'!B20</f>
        <v>* Información con corte a 30 de Junio</v>
      </c>
      <c r="C100" s="68"/>
      <c r="D100" s="69"/>
      <c r="E100" s="69"/>
      <c r="F100" s="69"/>
      <c r="G100" s="69"/>
      <c r="H100" s="69"/>
      <c r="I100" s="69"/>
      <c r="M100" s="111"/>
      <c r="N100" s="111"/>
      <c r="O100" s="111"/>
      <c r="P100" s="111"/>
      <c r="Q100" s="111"/>
      <c r="R100" s="111"/>
      <c r="S100" s="111"/>
    </row>
    <row r="101" spans="2:21" x14ac:dyDescent="0.2">
      <c r="B101" s="1" t="s">
        <v>52</v>
      </c>
      <c r="M101" s="109"/>
      <c r="N101" s="109"/>
      <c r="O101" s="109"/>
      <c r="P101" s="109"/>
      <c r="Q101" s="109"/>
      <c r="R101" s="109"/>
      <c r="S101" s="109"/>
    </row>
    <row r="102" spans="2:21" x14ac:dyDescent="0.2">
      <c r="M102" s="109"/>
      <c r="N102" s="109"/>
      <c r="O102" s="109"/>
      <c r="P102" s="109"/>
      <c r="Q102" s="109"/>
      <c r="R102" s="109"/>
      <c r="S102" s="109"/>
    </row>
    <row r="103" spans="2:21" x14ac:dyDescent="0.2">
      <c r="M103" s="109"/>
      <c r="N103" s="109"/>
      <c r="O103" s="109"/>
      <c r="P103" s="109"/>
      <c r="Q103" s="109"/>
      <c r="R103" s="109"/>
      <c r="S103" s="109"/>
    </row>
    <row r="104" spans="2:21" x14ac:dyDescent="0.2">
      <c r="M104" s="109"/>
      <c r="N104" s="109"/>
      <c r="O104" s="109"/>
      <c r="P104" s="109"/>
      <c r="Q104" s="109"/>
      <c r="R104" s="109"/>
      <c r="S104" s="109"/>
    </row>
    <row r="105" spans="2:21" x14ac:dyDescent="0.2">
      <c r="M105" s="109"/>
      <c r="N105" s="109"/>
      <c r="O105" s="109"/>
      <c r="P105" s="109"/>
      <c r="Q105" s="109"/>
      <c r="R105" s="109"/>
      <c r="S105" s="109"/>
    </row>
    <row r="106" spans="2:21" x14ac:dyDescent="0.2">
      <c r="M106" s="109"/>
      <c r="N106" s="109"/>
      <c r="O106" s="109"/>
      <c r="P106" s="109"/>
      <c r="Q106" s="109"/>
      <c r="R106" s="109"/>
      <c r="S106" s="109"/>
    </row>
    <row r="107" spans="2:21" ht="18" customHeight="1" x14ac:dyDescent="0.2">
      <c r="C107" s="131"/>
      <c r="D107" s="164" t="s">
        <v>118</v>
      </c>
      <c r="E107" s="160"/>
      <c r="F107" s="160"/>
      <c r="G107" s="160"/>
      <c r="H107" s="160"/>
      <c r="I107" s="160"/>
      <c r="J107" s="160"/>
      <c r="K107" s="170"/>
      <c r="L107" s="170"/>
      <c r="M107" s="160"/>
      <c r="N107" s="160"/>
      <c r="O107" s="160"/>
      <c r="P107" s="160"/>
      <c r="Q107" s="160"/>
      <c r="R107" s="160"/>
      <c r="S107" s="160"/>
      <c r="T107" s="160"/>
    </row>
    <row r="109" spans="2:21" ht="12" customHeight="1" thickBot="1" x14ac:dyDescent="0.3">
      <c r="B109" s="115"/>
      <c r="C109" s="92"/>
      <c r="D109" s="173"/>
      <c r="E109" s="156"/>
      <c r="F109" s="156"/>
      <c r="G109" s="156"/>
      <c r="H109" s="156"/>
      <c r="I109" s="156"/>
      <c r="J109" s="156"/>
      <c r="K109" s="136"/>
      <c r="M109" s="173" t="s">
        <v>108</v>
      </c>
      <c r="N109" s="156"/>
      <c r="O109" s="156"/>
      <c r="P109" s="156"/>
      <c r="Q109" s="156"/>
      <c r="R109" s="156"/>
      <c r="S109" s="156"/>
      <c r="T109" s="156"/>
      <c r="U109" s="98"/>
    </row>
    <row r="110" spans="2:21" x14ac:dyDescent="0.2">
      <c r="B110" s="49"/>
      <c r="C110" s="175" t="s">
        <v>38</v>
      </c>
      <c r="D110" s="155">
        <v>2019</v>
      </c>
      <c r="E110" s="155">
        <v>2020</v>
      </c>
      <c r="F110" s="155">
        <v>2021</v>
      </c>
      <c r="G110" s="155">
        <v>2022</v>
      </c>
      <c r="H110" s="155">
        <v>2023</v>
      </c>
      <c r="I110" s="155">
        <v>2024</v>
      </c>
      <c r="J110" s="155">
        <v>2025</v>
      </c>
      <c r="K110" s="155" t="s">
        <v>36</v>
      </c>
      <c r="L110" s="114"/>
      <c r="M110" s="155">
        <v>2019</v>
      </c>
      <c r="N110" s="155">
        <v>2020</v>
      </c>
      <c r="O110" s="155">
        <v>2021</v>
      </c>
      <c r="P110" s="155">
        <v>2022</v>
      </c>
      <c r="Q110" s="155">
        <v>2023</v>
      </c>
      <c r="R110" s="155">
        <v>2024</v>
      </c>
      <c r="S110" s="155">
        <v>2025</v>
      </c>
      <c r="T110" s="155" t="s">
        <v>36</v>
      </c>
    </row>
    <row r="111" spans="2:21" ht="12" customHeight="1" thickBot="1" x14ac:dyDescent="0.25">
      <c r="B111" s="84"/>
      <c r="C111" s="156"/>
      <c r="D111" s="156"/>
      <c r="E111" s="156"/>
      <c r="F111" s="156"/>
      <c r="G111" s="156"/>
      <c r="H111" s="156"/>
      <c r="I111" s="156"/>
      <c r="J111" s="156"/>
      <c r="K111" s="156"/>
      <c r="L111" s="114"/>
      <c r="M111" s="156"/>
      <c r="N111" s="156"/>
      <c r="O111" s="156"/>
      <c r="P111" s="156"/>
      <c r="Q111" s="156"/>
      <c r="R111" s="156"/>
      <c r="S111" s="156"/>
      <c r="T111" s="156"/>
    </row>
    <row r="112" spans="2:21" x14ac:dyDescent="0.2">
      <c r="B112" s="34" t="s">
        <v>39</v>
      </c>
      <c r="C112" s="76" t="s">
        <v>40</v>
      </c>
      <c r="D112" s="41">
        <f t="shared" ref="D112:K112" si="41">+SUM(D113:D119)</f>
        <v>8937.8508544663491</v>
      </c>
      <c r="E112" s="41">
        <f t="shared" si="41"/>
        <v>9028.394815163263</v>
      </c>
      <c r="F112" s="41">
        <f t="shared" si="41"/>
        <v>9451.9409494122192</v>
      </c>
      <c r="G112" s="41">
        <f t="shared" si="41"/>
        <v>9293.1233415926963</v>
      </c>
      <c r="H112" s="41">
        <f t="shared" si="41"/>
        <v>10181.354111332141</v>
      </c>
      <c r="I112" s="41">
        <f t="shared" si="41"/>
        <v>13039.395613273253</v>
      </c>
      <c r="J112" s="41">
        <f t="shared" si="41"/>
        <v>12199.979574179348</v>
      </c>
      <c r="K112" s="41">
        <f t="shared" si="41"/>
        <v>5689.8773567551298</v>
      </c>
      <c r="M112" s="46">
        <f t="shared" ref="M112:M132" si="42">+IFERROR(D112/D14*100,0)</f>
        <v>88.070493047418779</v>
      </c>
      <c r="N112" s="46">
        <f t="shared" ref="N112:N132" si="43">+IFERROR(E112/E14*100,0)</f>
        <v>88.346184766888612</v>
      </c>
      <c r="O112" s="46">
        <f t="shared" ref="O112:O132" si="44">+IFERROR(F112/F14*100,0)</f>
        <v>76.358807886629748</v>
      </c>
      <c r="P112" s="46">
        <f t="shared" ref="P112:P132" si="45">+IFERROR(G112/G14*100,0)</f>
        <v>85.451922301375376</v>
      </c>
      <c r="Q112" s="46">
        <f t="shared" ref="Q112:Q132" si="46">+IFERROR(H112/H14*100,0)</f>
        <v>83.977280819168271</v>
      </c>
      <c r="R112" s="46">
        <f t="shared" ref="R112:R132" si="47">+IFERROR(I112/I14*100,0)</f>
        <v>86.877245917030677</v>
      </c>
      <c r="S112" s="46">
        <f t="shared" ref="S112:S132" si="48">+IFERROR(J112/J14*100,0)</f>
        <v>91.725074968849569</v>
      </c>
      <c r="T112" s="46">
        <f t="shared" ref="T112:T132" si="49">+IFERROR(K112/K14*100,0)</f>
        <v>41.348362320487588</v>
      </c>
    </row>
    <row r="113" spans="2:20" x14ac:dyDescent="0.2">
      <c r="B113" s="40"/>
      <c r="C113" s="77" t="s">
        <v>92</v>
      </c>
      <c r="D113" s="42">
        <f>1777.81986384859*Deflactores!$T$5</f>
        <v>2765.1226677335394</v>
      </c>
      <c r="E113" s="42">
        <f>1876.23022912936*Deflactores!$U$5</f>
        <v>2871.9463693115099</v>
      </c>
      <c r="F113" s="42">
        <f>2016.35645920928*Deflactores!$V$5</f>
        <v>2922.2094738448545</v>
      </c>
      <c r="G113" s="42">
        <f>2285.93848297032*Deflactores!$W$5</f>
        <v>2928.6614865640449</v>
      </c>
      <c r="H113" s="42">
        <f>2623.89421298016*Deflactores!$X$5</f>
        <v>3076.1695755358487</v>
      </c>
      <c r="I113" s="42">
        <f>3042.42943149226*Deflactores!$Y$5</f>
        <v>3390.5388469449908</v>
      </c>
      <c r="J113" s="42">
        <f>3321.09448975875*Deflactores!$Z$5</f>
        <v>3521.4579915198551</v>
      </c>
      <c r="K113" s="42">
        <f>1640.26552299446*Deflactores!$AA$5</f>
        <v>1640.2655229944601</v>
      </c>
      <c r="L113" s="52"/>
      <c r="M113" s="47">
        <f t="shared" si="42"/>
        <v>95.417093571800692</v>
      </c>
      <c r="N113" s="47">
        <f t="shared" si="43"/>
        <v>96.016675945299156</v>
      </c>
      <c r="O113" s="47">
        <f t="shared" si="44"/>
        <v>90.931047439274934</v>
      </c>
      <c r="P113" s="47">
        <f t="shared" si="45"/>
        <v>91.847560428285988</v>
      </c>
      <c r="Q113" s="47">
        <f t="shared" si="46"/>
        <v>92.995939469413443</v>
      </c>
      <c r="R113" s="47">
        <f t="shared" si="47"/>
        <v>92.827157573417082</v>
      </c>
      <c r="S113" s="47">
        <f t="shared" si="48"/>
        <v>95.196916180736906</v>
      </c>
      <c r="T113" s="47">
        <f t="shared" si="49"/>
        <v>39.00121003077107</v>
      </c>
    </row>
    <row r="114" spans="2:20" x14ac:dyDescent="0.2">
      <c r="B114" s="40"/>
      <c r="C114" s="77" t="s">
        <v>93</v>
      </c>
      <c r="D114" s="42">
        <f>677.85449709817*Deflactores!$T$5</f>
        <v>1054.2973860657121</v>
      </c>
      <c r="E114" s="42">
        <f>626.86868298353*Deflactores!$U$5</f>
        <v>959.54814615957764</v>
      </c>
      <c r="F114" s="42">
        <f>769.325592788099*Deflactores!$V$5</f>
        <v>1114.9469754957427</v>
      </c>
      <c r="G114" s="42">
        <f>818.668765471919*Deflactores!$W$5</f>
        <v>1048.8487339235503</v>
      </c>
      <c r="H114" s="42">
        <f>883.698180045949*Deflactores!$X$5</f>
        <v>1036.0194561069004</v>
      </c>
      <c r="I114" s="42">
        <f>1094.58546687968*Deflactores!$Y$5</f>
        <v>1219.8260075786466</v>
      </c>
      <c r="J114" s="42">
        <f>1370.90945881626*Deflactores!$Z$5</f>
        <v>1453.6171988739061</v>
      </c>
      <c r="K114" s="42">
        <f>565.23603853933*Deflactores!$AA$5</f>
        <v>565.23603853933002</v>
      </c>
      <c r="M114" s="47">
        <f t="shared" si="42"/>
        <v>85.717643601154975</v>
      </c>
      <c r="N114" s="47">
        <f t="shared" si="43"/>
        <v>76.70712399643368</v>
      </c>
      <c r="O114" s="47">
        <f t="shared" si="44"/>
        <v>83.721245610721695</v>
      </c>
      <c r="P114" s="47">
        <f t="shared" si="45"/>
        <v>84.743177357181693</v>
      </c>
      <c r="Q114" s="47">
        <f t="shared" si="46"/>
        <v>78.277866378770739</v>
      </c>
      <c r="R114" s="47">
        <f t="shared" si="47"/>
        <v>83.892829992271416</v>
      </c>
      <c r="S114" s="47">
        <f t="shared" si="48"/>
        <v>85.705062584905178</v>
      </c>
      <c r="T114" s="47">
        <f t="shared" si="49"/>
        <v>36.676712083023929</v>
      </c>
    </row>
    <row r="115" spans="2:20" x14ac:dyDescent="0.2">
      <c r="B115" s="40"/>
      <c r="C115" s="77" t="s">
        <v>58</v>
      </c>
      <c r="D115" s="42">
        <f>2035.26367946193*Deflactores!$T$5</f>
        <v>3165.5365368188081</v>
      </c>
      <c r="E115" s="42">
        <f>2180.11323424623*Deflactores!$U$5</f>
        <v>3337.1002079456143</v>
      </c>
      <c r="F115" s="42">
        <f>2296.62704005753*Deflactores!$V$5</f>
        <v>3328.3922908036839</v>
      </c>
      <c r="G115" s="42">
        <f>2415.72274837126*Deflactores!$W$5</f>
        <v>3094.9363808682215</v>
      </c>
      <c r="H115" s="42">
        <f>3592.07949941069*Deflactores!$X$5</f>
        <v>4211.2390104489159</v>
      </c>
      <c r="I115" s="42">
        <f>5785.70547408869*Deflactores!$Y$5</f>
        <v>6447.6957012798648</v>
      </c>
      <c r="J115" s="42">
        <f>4932.61669579893*Deflactores!$Z$5</f>
        <v>5230.2042402253937</v>
      </c>
      <c r="K115" s="42">
        <f>2781.66442699833*Deflactores!$AA$5</f>
        <v>2781.6644269983299</v>
      </c>
      <c r="L115" s="42"/>
      <c r="M115" s="47">
        <f t="shared" si="42"/>
        <v>87.859822862133868</v>
      </c>
      <c r="N115" s="47">
        <f t="shared" si="43"/>
        <v>89.890022642945283</v>
      </c>
      <c r="O115" s="47">
        <f t="shared" si="44"/>
        <v>66.435835528180647</v>
      </c>
      <c r="P115" s="47">
        <f t="shared" si="45"/>
        <v>82.905564564865784</v>
      </c>
      <c r="Q115" s="47">
        <f t="shared" si="46"/>
        <v>83.482976319643271</v>
      </c>
      <c r="R115" s="47">
        <f t="shared" si="47"/>
        <v>87.071695751332712</v>
      </c>
      <c r="S115" s="47">
        <f t="shared" si="48"/>
        <v>94.288997814439597</v>
      </c>
      <c r="T115" s="47">
        <f t="shared" si="49"/>
        <v>49.237815272585763</v>
      </c>
    </row>
    <row r="116" spans="2:20" x14ac:dyDescent="0.2">
      <c r="B116" s="40"/>
      <c r="C116" s="77" t="s">
        <v>94</v>
      </c>
      <c r="D116" s="42">
        <f>1099.49360443077*Deflactores!$T$5</f>
        <v>1710.0915286536028</v>
      </c>
      <c r="E116" s="42">
        <f>1035.7869693662*Deflactores!$U$5</f>
        <v>1585.4795322383291</v>
      </c>
      <c r="F116" s="42">
        <f>1241.63256146731*Deflactores!$V$5</f>
        <v>1799.4389918421864</v>
      </c>
      <c r="G116" s="42">
        <f>1462.52516368401*Deflactores!$W$5</f>
        <v>1873.7342023511262</v>
      </c>
      <c r="H116" s="42">
        <f>1394.46766281418*Deflactores!$X$5</f>
        <v>1634.8292462391273</v>
      </c>
      <c r="I116" s="42">
        <f>1540.36849746059*Deflactores!$Y$5</f>
        <v>1716.6147471459287</v>
      </c>
      <c r="J116" s="42">
        <f>1587.20455910097*Deflactores!$Z$5</f>
        <v>1682.9615044252696</v>
      </c>
      <c r="K116" s="42">
        <f>616.659040023819*Deflactores!$AA$5</f>
        <v>616.65904002381899</v>
      </c>
      <c r="L116" s="42"/>
      <c r="M116" s="47">
        <f t="shared" si="42"/>
        <v>79.798536759894645</v>
      </c>
      <c r="N116" s="47">
        <f t="shared" si="43"/>
        <v>80.981379130784376</v>
      </c>
      <c r="O116" s="47">
        <f t="shared" si="44"/>
        <v>72.288199564077487</v>
      </c>
      <c r="P116" s="47">
        <f t="shared" si="45"/>
        <v>80.969902292960029</v>
      </c>
      <c r="Q116" s="47">
        <f t="shared" si="46"/>
        <v>78.633256292534739</v>
      </c>
      <c r="R116" s="47">
        <f t="shared" si="47"/>
        <v>77.792238193268432</v>
      </c>
      <c r="S116" s="47">
        <f t="shared" si="48"/>
        <v>83.103744457948764</v>
      </c>
      <c r="T116" s="47">
        <f t="shared" si="49"/>
        <v>29.618694171190619</v>
      </c>
    </row>
    <row r="117" spans="2:20" x14ac:dyDescent="0.2">
      <c r="B117" s="40"/>
      <c r="C117" s="77" t="s">
        <v>95</v>
      </c>
      <c r="D117" s="42">
        <f>73.17248509815*Deflactores!$T$5</f>
        <v>113.80843544029663</v>
      </c>
      <c r="E117" s="42">
        <f>88.66551612843*Deflactores!$U$5</f>
        <v>135.7203413391006</v>
      </c>
      <c r="F117" s="42">
        <f>93.4329775578699*Deflactores!$V$5</f>
        <v>135.40796863676124</v>
      </c>
      <c r="G117" s="42">
        <f>162.94144234403*Deflactores!$W$5</f>
        <v>208.75466698390255</v>
      </c>
      <c r="H117" s="42">
        <f>93.51852258297*Deflactores!$X$5</f>
        <v>109.63812203086319</v>
      </c>
      <c r="I117" s="42">
        <f>119.4216127413*Deflactores!$Y$5</f>
        <v>133.0856232762645</v>
      </c>
      <c r="J117" s="42">
        <f>155.02019612622*Deflactores!$Z$5</f>
        <v>164.37265190106277</v>
      </c>
      <c r="K117" s="42">
        <f>55.9053735484199*Deflactores!$AA$5</f>
        <v>55.905373548419902</v>
      </c>
      <c r="L117" s="42"/>
      <c r="M117" s="47">
        <f t="shared" si="42"/>
        <v>90.590116872385934</v>
      </c>
      <c r="N117" s="47">
        <f t="shared" si="43"/>
        <v>85.987332074139744</v>
      </c>
      <c r="O117" s="47">
        <f t="shared" si="44"/>
        <v>88.693121734078986</v>
      </c>
      <c r="P117" s="47">
        <f t="shared" si="45"/>
        <v>95.784358009885793</v>
      </c>
      <c r="Q117" s="47">
        <f t="shared" si="46"/>
        <v>49.294312508174855</v>
      </c>
      <c r="R117" s="47">
        <f t="shared" si="47"/>
        <v>93.318337898955448</v>
      </c>
      <c r="S117" s="47">
        <f t="shared" si="48"/>
        <v>95.409739348639874</v>
      </c>
      <c r="T117" s="47">
        <f t="shared" si="49"/>
        <v>42.067082758480502</v>
      </c>
    </row>
    <row r="118" spans="2:20" x14ac:dyDescent="0.2">
      <c r="B118" s="40"/>
      <c r="C118" s="77" t="s">
        <v>96</v>
      </c>
      <c r="D118" s="42">
        <f>7.50318300614*Deflactores!$T$5</f>
        <v>11.670035773769348</v>
      </c>
      <c r="E118" s="42">
        <f>6.84796501064999*Deflactores!$U$5</f>
        <v>10.482182806869444</v>
      </c>
      <c r="F118" s="42">
        <f>7.74970486141*Deflactores!$V$5</f>
        <v>11.231278508361871</v>
      </c>
      <c r="G118" s="42">
        <f>10.74657216953*Deflactores!$W$5</f>
        <v>13.768118547349447</v>
      </c>
      <c r="H118" s="42">
        <f>7.86639170135999*Deflactores!$X$5</f>
        <v>9.222305800769055</v>
      </c>
      <c r="I118" s="42">
        <f>9.99702953998*Deflactores!$Y$5</f>
        <v>11.140872047353856</v>
      </c>
      <c r="J118" s="42">
        <f>8.948030302*Deflactores!$Z$5</f>
        <v>9.4878700116805987</v>
      </c>
      <c r="K118" s="42">
        <f>3.777328038*Deflactores!$AA$5</f>
        <v>3.7773280379999998</v>
      </c>
      <c r="L118" s="42"/>
      <c r="M118" s="47">
        <f t="shared" si="42"/>
        <v>89.78051689721427</v>
      </c>
      <c r="N118" s="47">
        <f t="shared" si="43"/>
        <v>95.827347157888667</v>
      </c>
      <c r="O118" s="47">
        <f t="shared" si="44"/>
        <v>39.041334314408054</v>
      </c>
      <c r="P118" s="47">
        <f t="shared" si="45"/>
        <v>60.023303002289985</v>
      </c>
      <c r="Q118" s="47">
        <f t="shared" si="46"/>
        <v>70.740073761334656</v>
      </c>
      <c r="R118" s="47">
        <f t="shared" si="47"/>
        <v>84.34098401164772</v>
      </c>
      <c r="S118" s="47">
        <f t="shared" si="48"/>
        <v>83.019208814273568</v>
      </c>
      <c r="T118" s="47">
        <f t="shared" si="49"/>
        <v>23.236515981791335</v>
      </c>
    </row>
    <row r="119" spans="2:20" x14ac:dyDescent="0.2">
      <c r="B119" s="40"/>
      <c r="C119" s="77" t="s">
        <v>97</v>
      </c>
      <c r="D119" s="42">
        <f>75.4329670253399*Deflactores!$T$5</f>
        <v>117.32426398062118</v>
      </c>
      <c r="E119" s="42">
        <f>83.69896228284*Deflactores!$U$5</f>
        <v>128.11803536226364</v>
      </c>
      <c r="F119" s="42">
        <f>96.8181722853699*Deflactores!$V$5</f>
        <v>140.31397028063199</v>
      </c>
      <c r="G119" s="42">
        <f>97.11463795103*Deflactores!$W$5</f>
        <v>124.41975235450171</v>
      </c>
      <c r="H119" s="42">
        <f>88.9109873015*Deflactores!$X$5</f>
        <v>104.23639516971508</v>
      </c>
      <c r="I119" s="42">
        <f>108.12261579003*Deflactores!$Y$5</f>
        <v>120.49381500020412</v>
      </c>
      <c r="J119" s="42">
        <f>130.03314435884*Deflactores!$Z$5</f>
        <v>137.87811722217972</v>
      </c>
      <c r="K119" s="42">
        <f>26.36962661277*Deflactores!$AA$5</f>
        <v>26.369626612769999</v>
      </c>
      <c r="L119" s="42"/>
      <c r="M119" s="47">
        <f t="shared" si="42"/>
        <v>86.24114508187894</v>
      </c>
      <c r="N119" s="47">
        <f t="shared" si="43"/>
        <v>92.645905153598335</v>
      </c>
      <c r="O119" s="47">
        <f t="shared" si="44"/>
        <v>92.128163715376999</v>
      </c>
      <c r="P119" s="47">
        <f t="shared" si="45"/>
        <v>77.329124721264989</v>
      </c>
      <c r="Q119" s="47">
        <f t="shared" si="46"/>
        <v>78.001713634824128</v>
      </c>
      <c r="R119" s="47">
        <f t="shared" si="47"/>
        <v>89.321880856187946</v>
      </c>
      <c r="S119" s="47">
        <f t="shared" si="48"/>
        <v>92.190063870470922</v>
      </c>
      <c r="T119" s="47">
        <f t="shared" si="49"/>
        <v>19.763200531494615</v>
      </c>
    </row>
    <row r="120" spans="2:20" x14ac:dyDescent="0.2">
      <c r="B120" s="34" t="s">
        <v>41</v>
      </c>
      <c r="C120" s="76" t="s">
        <v>42</v>
      </c>
      <c r="D120" s="41">
        <f t="shared" ref="D120:K120" si="50">+D121+D125</f>
        <v>1.9515842910285006</v>
      </c>
      <c r="E120" s="41">
        <f t="shared" si="50"/>
        <v>1.5237766983841581</v>
      </c>
      <c r="F120" s="41">
        <f t="shared" si="50"/>
        <v>1.8608401040684162</v>
      </c>
      <c r="G120" s="41">
        <f t="shared" si="50"/>
        <v>22.045358165579547</v>
      </c>
      <c r="H120" s="41">
        <f t="shared" si="50"/>
        <v>61.677062261564174</v>
      </c>
      <c r="I120" s="41">
        <f t="shared" si="50"/>
        <v>0</v>
      </c>
      <c r="J120" s="41">
        <f t="shared" si="50"/>
        <v>0</v>
      </c>
      <c r="K120" s="41">
        <f t="shared" si="50"/>
        <v>0</v>
      </c>
      <c r="L120" s="71"/>
      <c r="M120" s="46">
        <f t="shared" si="42"/>
        <v>95.3465045592705</v>
      </c>
      <c r="N120" s="46">
        <f t="shared" si="43"/>
        <v>85.448650042918459</v>
      </c>
      <c r="O120" s="46">
        <f t="shared" si="44"/>
        <v>99.999999972741421</v>
      </c>
      <c r="P120" s="46">
        <f t="shared" si="45"/>
        <v>99.932132737468109</v>
      </c>
      <c r="Q120" s="46">
        <f t="shared" si="46"/>
        <v>99.998261539034289</v>
      </c>
      <c r="R120" s="46">
        <f t="shared" si="47"/>
        <v>0</v>
      </c>
      <c r="S120" s="46">
        <f t="shared" si="48"/>
        <v>0</v>
      </c>
      <c r="T120" s="46">
        <f t="shared" si="49"/>
        <v>0</v>
      </c>
    </row>
    <row r="121" spans="2:20" ht="11.25" hidden="1" customHeight="1" x14ac:dyDescent="0.2">
      <c r="B121" s="34"/>
      <c r="C121" s="76" t="s">
        <v>43</v>
      </c>
      <c r="D121" s="41">
        <f>+SUM(D122:D124)</f>
        <v>0</v>
      </c>
      <c r="E121" s="41">
        <f>+SUM(E122:E124)</f>
        <v>0</v>
      </c>
      <c r="F121" s="41"/>
      <c r="G121" s="41"/>
      <c r="H121" s="41"/>
      <c r="I121" s="41"/>
      <c r="J121" s="41"/>
      <c r="K121" s="41"/>
      <c r="L121" s="71"/>
      <c r="M121" s="46">
        <f t="shared" si="42"/>
        <v>0</v>
      </c>
      <c r="N121" s="46">
        <f t="shared" si="43"/>
        <v>0</v>
      </c>
      <c r="O121" s="46">
        <f t="shared" si="44"/>
        <v>0</v>
      </c>
      <c r="P121" s="46">
        <f t="shared" si="45"/>
        <v>0</v>
      </c>
      <c r="Q121" s="46">
        <f t="shared" si="46"/>
        <v>0</v>
      </c>
      <c r="R121" s="46">
        <f t="shared" si="47"/>
        <v>0</v>
      </c>
      <c r="S121" s="46">
        <f t="shared" si="48"/>
        <v>0</v>
      </c>
      <c r="T121" s="46">
        <f t="shared" si="49"/>
        <v>0</v>
      </c>
    </row>
    <row r="122" spans="2:20" ht="11.25" hidden="1" customHeight="1" x14ac:dyDescent="0.2">
      <c r="B122" s="34"/>
      <c r="C122" s="86" t="s">
        <v>98</v>
      </c>
      <c r="D122" s="50">
        <f>0*Deflactores!$T$5</f>
        <v>0</v>
      </c>
      <c r="E122" s="50">
        <f>0*Deflactores!$U$5</f>
        <v>0</v>
      </c>
      <c r="F122" s="50"/>
      <c r="G122" s="50"/>
      <c r="H122" s="50"/>
      <c r="I122" s="50"/>
      <c r="J122" s="50"/>
      <c r="K122" s="50"/>
      <c r="L122" s="42"/>
      <c r="M122" s="116">
        <f t="shared" si="42"/>
        <v>0</v>
      </c>
      <c r="N122" s="116">
        <f t="shared" si="43"/>
        <v>0</v>
      </c>
      <c r="O122" s="116">
        <f t="shared" si="44"/>
        <v>0</v>
      </c>
      <c r="P122" s="116">
        <f t="shared" si="45"/>
        <v>0</v>
      </c>
      <c r="Q122" s="116">
        <f t="shared" si="46"/>
        <v>0</v>
      </c>
      <c r="R122" s="116">
        <f t="shared" si="47"/>
        <v>0</v>
      </c>
      <c r="S122" s="116">
        <f t="shared" si="48"/>
        <v>0</v>
      </c>
      <c r="T122" s="116">
        <f t="shared" si="49"/>
        <v>0</v>
      </c>
    </row>
    <row r="123" spans="2:20" ht="11.25" hidden="1" customHeight="1" x14ac:dyDescent="0.2">
      <c r="B123" s="34"/>
      <c r="C123" s="86" t="s">
        <v>61</v>
      </c>
      <c r="D123" s="50">
        <f>0*Deflactores!$T$5</f>
        <v>0</v>
      </c>
      <c r="E123" s="50">
        <f>0*Deflactores!$U$5</f>
        <v>0</v>
      </c>
      <c r="F123" s="50"/>
      <c r="G123" s="50"/>
      <c r="H123" s="50"/>
      <c r="I123" s="50"/>
      <c r="J123" s="50"/>
      <c r="K123" s="50"/>
      <c r="L123" s="42"/>
      <c r="M123" s="116">
        <f t="shared" si="42"/>
        <v>0</v>
      </c>
      <c r="N123" s="116">
        <f t="shared" si="43"/>
        <v>0</v>
      </c>
      <c r="O123" s="116">
        <f t="shared" si="44"/>
        <v>0</v>
      </c>
      <c r="P123" s="116">
        <f t="shared" si="45"/>
        <v>0</v>
      </c>
      <c r="Q123" s="116">
        <f t="shared" si="46"/>
        <v>0</v>
      </c>
      <c r="R123" s="116">
        <f t="shared" si="47"/>
        <v>0</v>
      </c>
      <c r="S123" s="116">
        <f t="shared" si="48"/>
        <v>0</v>
      </c>
      <c r="T123" s="116">
        <f t="shared" si="49"/>
        <v>0</v>
      </c>
    </row>
    <row r="124" spans="2:20" ht="11.25" hidden="1" customHeight="1" x14ac:dyDescent="0.2">
      <c r="B124" s="34"/>
      <c r="C124" s="86" t="s">
        <v>103</v>
      </c>
      <c r="D124" s="50">
        <f>0*Deflactores!$T$5</f>
        <v>0</v>
      </c>
      <c r="E124" s="50">
        <f>0*Deflactores!$U$5</f>
        <v>0</v>
      </c>
      <c r="F124" s="50"/>
      <c r="G124" s="50"/>
      <c r="H124" s="50"/>
      <c r="I124" s="50"/>
      <c r="J124" s="50"/>
      <c r="K124" s="50"/>
      <c r="L124" s="42"/>
      <c r="M124" s="116">
        <f t="shared" si="42"/>
        <v>0</v>
      </c>
      <c r="N124" s="116">
        <f t="shared" si="43"/>
        <v>0</v>
      </c>
      <c r="O124" s="116">
        <f t="shared" si="44"/>
        <v>0</v>
      </c>
      <c r="P124" s="116">
        <f t="shared" si="45"/>
        <v>0</v>
      </c>
      <c r="Q124" s="116">
        <f t="shared" si="46"/>
        <v>0</v>
      </c>
      <c r="R124" s="116">
        <f t="shared" si="47"/>
        <v>0</v>
      </c>
      <c r="S124" s="116">
        <f t="shared" si="48"/>
        <v>0</v>
      </c>
      <c r="T124" s="116">
        <f t="shared" si="49"/>
        <v>0</v>
      </c>
    </row>
    <row r="125" spans="2:20" x14ac:dyDescent="0.2">
      <c r="B125" s="34"/>
      <c r="C125" s="76" t="s">
        <v>44</v>
      </c>
      <c r="D125" s="41">
        <f t="shared" ref="D125:K125" si="51">+SUM(D126:D129)</f>
        <v>1.9515842910285006</v>
      </c>
      <c r="E125" s="41">
        <f t="shared" si="51"/>
        <v>1.5237766983841581</v>
      </c>
      <c r="F125" s="41">
        <f t="shared" si="51"/>
        <v>1.8608401040684162</v>
      </c>
      <c r="G125" s="41">
        <f t="shared" si="51"/>
        <v>22.045358165579547</v>
      </c>
      <c r="H125" s="41">
        <f t="shared" si="51"/>
        <v>61.677062261564174</v>
      </c>
      <c r="I125" s="41">
        <f t="shared" si="51"/>
        <v>0</v>
      </c>
      <c r="J125" s="41">
        <f t="shared" si="51"/>
        <v>0</v>
      </c>
      <c r="K125" s="41">
        <f t="shared" si="51"/>
        <v>0</v>
      </c>
      <c r="L125" s="71"/>
      <c r="M125" s="46">
        <f t="shared" si="42"/>
        <v>95.3465045592705</v>
      </c>
      <c r="N125" s="46">
        <f t="shared" si="43"/>
        <v>85.448650042918459</v>
      </c>
      <c r="O125" s="46">
        <f t="shared" si="44"/>
        <v>99.999999972741421</v>
      </c>
      <c r="P125" s="46">
        <f t="shared" si="45"/>
        <v>99.932132737468109</v>
      </c>
      <c r="Q125" s="46">
        <f t="shared" si="46"/>
        <v>99.998261539034289</v>
      </c>
      <c r="R125" s="46">
        <f t="shared" si="47"/>
        <v>0</v>
      </c>
      <c r="S125" s="46">
        <f t="shared" si="48"/>
        <v>0</v>
      </c>
      <c r="T125" s="46">
        <f t="shared" si="49"/>
        <v>0</v>
      </c>
    </row>
    <row r="126" spans="2:20" x14ac:dyDescent="0.2">
      <c r="B126" s="32"/>
      <c r="C126" s="77" t="s">
        <v>98</v>
      </c>
      <c r="D126" s="42">
        <f>1.207*Deflactores!$T$5</f>
        <v>1.8773010290983139</v>
      </c>
      <c r="E126" s="42">
        <f>0.929799059*Deflactores!$U$5</f>
        <v>1.4232437950450472</v>
      </c>
      <c r="F126" s="42">
        <f>1.28399999965*Deflactores!$V$5</f>
        <v>1.8608401040684162</v>
      </c>
      <c r="G126" s="42">
        <f>1.39735526252999*Deflactores!$W$5</f>
        <v>1.790240888329411</v>
      </c>
      <c r="H126" s="42">
        <f>0*Deflactores!$X$5</f>
        <v>0</v>
      </c>
      <c r="I126" s="42">
        <f>0*Deflactores!$Y$5</f>
        <v>0</v>
      </c>
      <c r="J126" s="42">
        <f>0*Deflactores!$Z$5</f>
        <v>0</v>
      </c>
      <c r="K126" s="42">
        <f>0*Deflactores!$AA$5</f>
        <v>0</v>
      </c>
      <c r="L126" s="42"/>
      <c r="M126" s="47">
        <f t="shared" si="42"/>
        <v>100</v>
      </c>
      <c r="N126" s="47">
        <f t="shared" si="43"/>
        <v>84.604100000000003</v>
      </c>
      <c r="O126" s="47">
        <f t="shared" si="44"/>
        <v>99.999999972741421</v>
      </c>
      <c r="P126" s="47">
        <f t="shared" si="45"/>
        <v>99.173545956706178</v>
      </c>
      <c r="Q126" s="47">
        <f t="shared" si="46"/>
        <v>0</v>
      </c>
      <c r="R126" s="47">
        <f t="shared" si="47"/>
        <v>0</v>
      </c>
      <c r="S126" s="47">
        <f t="shared" si="48"/>
        <v>0</v>
      </c>
      <c r="T126" s="47">
        <f t="shared" si="49"/>
        <v>0</v>
      </c>
    </row>
    <row r="127" spans="2:20" ht="11.25" hidden="1" customHeight="1" x14ac:dyDescent="0.2">
      <c r="B127" s="32"/>
      <c r="C127" s="77" t="s">
        <v>61</v>
      </c>
      <c r="D127" s="42">
        <f>0.04776*Deflactores!$T$5</f>
        <v>7.4283261930186792E-2</v>
      </c>
      <c r="E127" s="42">
        <f>0.065677714*Deflactores!$U$5</f>
        <v>0.10053290333911084</v>
      </c>
      <c r="F127" s="42">
        <f>0*Deflactores!$V$5</f>
        <v>0</v>
      </c>
      <c r="G127" s="42">
        <f>0*Deflactores!$W$5</f>
        <v>0</v>
      </c>
      <c r="H127" s="42">
        <f>0*Deflactores!$X$5</f>
        <v>0</v>
      </c>
      <c r="I127" s="42">
        <f>0*Deflactores!$Y$5</f>
        <v>0</v>
      </c>
      <c r="J127" s="42">
        <f>0*Deflactores!$Z$5</f>
        <v>0</v>
      </c>
      <c r="K127" s="42">
        <f>0*Deflactores!$AA$5</f>
        <v>0</v>
      </c>
      <c r="L127" s="42"/>
      <c r="M127" s="47">
        <f t="shared" si="42"/>
        <v>43.816513761467881</v>
      </c>
      <c r="N127" s="47">
        <f t="shared" si="43"/>
        <v>99.511687878787868</v>
      </c>
      <c r="O127" s="47">
        <f t="shared" si="44"/>
        <v>0</v>
      </c>
      <c r="P127" s="47">
        <f t="shared" si="45"/>
        <v>0</v>
      </c>
      <c r="Q127" s="47">
        <f t="shared" si="46"/>
        <v>0</v>
      </c>
      <c r="R127" s="47">
        <f t="shared" si="47"/>
        <v>0</v>
      </c>
      <c r="S127" s="47">
        <f t="shared" si="48"/>
        <v>0</v>
      </c>
      <c r="T127" s="47">
        <f t="shared" si="49"/>
        <v>0</v>
      </c>
    </row>
    <row r="128" spans="2:20" ht="11.25" hidden="1" customHeight="1" x14ac:dyDescent="0.2">
      <c r="B128" s="32"/>
      <c r="C128" s="77" t="s">
        <v>103</v>
      </c>
      <c r="D128" s="42">
        <f>0*Deflactores!$T$5</f>
        <v>0</v>
      </c>
      <c r="E128" s="42">
        <f>0*Deflactores!$U$5</f>
        <v>0</v>
      </c>
      <c r="F128" s="42">
        <f>0*Deflactores!$V$5</f>
        <v>0</v>
      </c>
      <c r="G128" s="42">
        <f>0*Deflactores!$W$5</f>
        <v>0</v>
      </c>
      <c r="H128" s="42">
        <f>0*Deflactores!$X$5</f>
        <v>0</v>
      </c>
      <c r="I128" s="42">
        <f>0*Deflactores!$Y$5</f>
        <v>0</v>
      </c>
      <c r="J128" s="42">
        <f>0*Deflactores!$Z$5</f>
        <v>0</v>
      </c>
      <c r="K128" s="42">
        <f>0*Deflactores!$AA$5</f>
        <v>0</v>
      </c>
      <c r="L128" s="42"/>
      <c r="M128" s="47">
        <f t="shared" si="42"/>
        <v>0</v>
      </c>
      <c r="N128" s="47">
        <f t="shared" si="43"/>
        <v>0</v>
      </c>
      <c r="O128" s="47">
        <f t="shared" si="44"/>
        <v>0</v>
      </c>
      <c r="P128" s="47">
        <f t="shared" si="45"/>
        <v>0</v>
      </c>
      <c r="Q128" s="47">
        <f t="shared" si="46"/>
        <v>0</v>
      </c>
      <c r="R128" s="47">
        <f t="shared" si="47"/>
        <v>0</v>
      </c>
      <c r="S128" s="47">
        <f t="shared" si="48"/>
        <v>0</v>
      </c>
      <c r="T128" s="47">
        <f t="shared" si="49"/>
        <v>0</v>
      </c>
    </row>
    <row r="129" spans="2:20" x14ac:dyDescent="0.2">
      <c r="B129" s="32"/>
      <c r="C129" s="77" t="s">
        <v>104</v>
      </c>
      <c r="D129" s="42">
        <f>0*Deflactores!$T$5</f>
        <v>0</v>
      </c>
      <c r="E129" s="42">
        <f>0*Deflactores!$U$5</f>
        <v>0</v>
      </c>
      <c r="F129" s="42">
        <f>0*Deflactores!$V$5</f>
        <v>0</v>
      </c>
      <c r="G129" s="42">
        <f>15.80993647561*Deflactores!$W$5</f>
        <v>20.255117277250136</v>
      </c>
      <c r="H129" s="42">
        <f>52.60896149184*Deflactores!$X$5</f>
        <v>61.677062261564174</v>
      </c>
      <c r="I129" s="42">
        <f>0*Deflactores!$Y$5</f>
        <v>0</v>
      </c>
      <c r="J129" s="42">
        <f>0*Deflactores!$Z$5</f>
        <v>0</v>
      </c>
      <c r="K129" s="42">
        <f>0*Deflactores!$AA$5</f>
        <v>0</v>
      </c>
      <c r="L129" s="42"/>
      <c r="M129" s="47">
        <f t="shared" si="42"/>
        <v>0</v>
      </c>
      <c r="N129" s="47">
        <f t="shared" si="43"/>
        <v>0</v>
      </c>
      <c r="O129" s="47">
        <f t="shared" si="44"/>
        <v>0</v>
      </c>
      <c r="P129" s="47">
        <f t="shared" si="45"/>
        <v>99.999738700518392</v>
      </c>
      <c r="Q129" s="47">
        <f t="shared" si="46"/>
        <v>99.998261539034289</v>
      </c>
      <c r="R129" s="47">
        <f t="shared" si="47"/>
        <v>0</v>
      </c>
      <c r="S129" s="47">
        <f t="shared" si="48"/>
        <v>0</v>
      </c>
      <c r="T129" s="47">
        <f t="shared" si="49"/>
        <v>0</v>
      </c>
    </row>
    <row r="130" spans="2:20" x14ac:dyDescent="0.2">
      <c r="B130" s="34" t="s">
        <v>45</v>
      </c>
      <c r="C130" s="76" t="s">
        <v>46</v>
      </c>
      <c r="D130" s="41">
        <f>6532.93259677042*Deflactores!$T$5</f>
        <v>10160.961961016594</v>
      </c>
      <c r="E130" s="41">
        <f>6233.86656176937*Deflactores!$U$5</f>
        <v>9542.1820632075487</v>
      </c>
      <c r="F130" s="41">
        <f>7315.66648140949*Deflactores!$V$5</f>
        <v>10602.24733668742</v>
      </c>
      <c r="G130" s="41">
        <f>7321.85827349704*Deflactores!$W$5</f>
        <v>9380.4992983923203</v>
      </c>
      <c r="H130" s="41">
        <f>7908.28377368452*Deflactores!$X$5</f>
        <v>9271.4187252548727</v>
      </c>
      <c r="I130" s="41">
        <f>9391.88622206542*Deflactores!$Y$5</f>
        <v>10466.489297134332</v>
      </c>
      <c r="J130" s="41">
        <f>10207.098206267*Deflactores!$Z$5</f>
        <v>10822.898192004746</v>
      </c>
      <c r="K130" s="41">
        <f>3768.53910779635*Deflactores!$AA$5</f>
        <v>3768.53910779635</v>
      </c>
      <c r="L130" s="71"/>
      <c r="M130" s="46">
        <f t="shared" si="42"/>
        <v>78.439667575319731</v>
      </c>
      <c r="N130" s="46">
        <f t="shared" si="43"/>
        <v>76.668356887291438</v>
      </c>
      <c r="O130" s="46">
        <f t="shared" si="44"/>
        <v>71.76240832464687</v>
      </c>
      <c r="P130" s="46">
        <f t="shared" si="45"/>
        <v>70.46326373711976</v>
      </c>
      <c r="Q130" s="46">
        <f t="shared" si="46"/>
        <v>69.465760459980629</v>
      </c>
      <c r="R130" s="46">
        <f t="shared" si="47"/>
        <v>69.483462416545024</v>
      </c>
      <c r="S130" s="46">
        <f t="shared" si="48"/>
        <v>74.051513909114675</v>
      </c>
      <c r="T130" s="46">
        <f t="shared" si="49"/>
        <v>23.608854065416576</v>
      </c>
    </row>
    <row r="131" spans="2:20" x14ac:dyDescent="0.2">
      <c r="B131" s="36" t="s">
        <v>47</v>
      </c>
      <c r="C131" s="78" t="s">
        <v>48</v>
      </c>
      <c r="D131" s="43">
        <f t="shared" ref="D131:K131" si="52">+D112+D130</f>
        <v>19098.812815482943</v>
      </c>
      <c r="E131" s="43">
        <f t="shared" si="52"/>
        <v>18570.576878370812</v>
      </c>
      <c r="F131" s="43">
        <f t="shared" si="52"/>
        <v>20054.188286099641</v>
      </c>
      <c r="G131" s="43">
        <f t="shared" si="52"/>
        <v>18673.622639985017</v>
      </c>
      <c r="H131" s="43">
        <f t="shared" si="52"/>
        <v>19452.772836587013</v>
      </c>
      <c r="I131" s="43">
        <f t="shared" si="52"/>
        <v>23505.884910407585</v>
      </c>
      <c r="J131" s="43">
        <f t="shared" si="52"/>
        <v>23022.877766184094</v>
      </c>
      <c r="K131" s="43">
        <f t="shared" si="52"/>
        <v>9458.4164645514793</v>
      </c>
      <c r="L131" s="71"/>
      <c r="M131" s="48">
        <f t="shared" si="42"/>
        <v>82.670341438140184</v>
      </c>
      <c r="N131" s="48">
        <f t="shared" si="43"/>
        <v>81.933639218844206</v>
      </c>
      <c r="O131" s="48">
        <f t="shared" si="44"/>
        <v>73.857828302628931</v>
      </c>
      <c r="P131" s="48">
        <f t="shared" si="45"/>
        <v>77.202410482155855</v>
      </c>
      <c r="Q131" s="48">
        <f t="shared" si="46"/>
        <v>76.373183041277429</v>
      </c>
      <c r="R131" s="48">
        <f t="shared" si="47"/>
        <v>78.164652669208252</v>
      </c>
      <c r="S131" s="48">
        <f t="shared" si="48"/>
        <v>82.472104705990361</v>
      </c>
      <c r="T131" s="48">
        <f t="shared" si="49"/>
        <v>31.821634689738669</v>
      </c>
    </row>
    <row r="132" spans="2:20" x14ac:dyDescent="0.2">
      <c r="B132" s="38" t="s">
        <v>49</v>
      </c>
      <c r="C132" s="79" t="s">
        <v>63</v>
      </c>
      <c r="D132" s="44">
        <f t="shared" ref="D132:K132" si="53">+D112+D120+D130</f>
        <v>19100.764399773972</v>
      </c>
      <c r="E132" s="44">
        <f t="shared" si="53"/>
        <v>18572.100655069196</v>
      </c>
      <c r="F132" s="44">
        <f t="shared" si="53"/>
        <v>20056.04912620371</v>
      </c>
      <c r="G132" s="44">
        <f t="shared" si="53"/>
        <v>18695.667998150595</v>
      </c>
      <c r="H132" s="44">
        <f t="shared" si="53"/>
        <v>19514.449898848579</v>
      </c>
      <c r="I132" s="44">
        <f t="shared" si="53"/>
        <v>23505.884910407585</v>
      </c>
      <c r="J132" s="44">
        <f t="shared" si="53"/>
        <v>23022.877766184094</v>
      </c>
      <c r="K132" s="44">
        <f t="shared" si="53"/>
        <v>9458.4164645514793</v>
      </c>
      <c r="L132" s="71"/>
      <c r="M132" s="45">
        <f t="shared" si="42"/>
        <v>82.671464426460901</v>
      </c>
      <c r="N132" s="45">
        <f t="shared" si="43"/>
        <v>81.933915750892865</v>
      </c>
      <c r="O132" s="45">
        <f t="shared" si="44"/>
        <v>73.859619784437456</v>
      </c>
      <c r="P132" s="45">
        <f t="shared" si="45"/>
        <v>77.223122027323711</v>
      </c>
      <c r="Q132" s="45">
        <f t="shared" si="46"/>
        <v>76.430253777925444</v>
      </c>
      <c r="R132" s="45">
        <f t="shared" si="47"/>
        <v>78.164652669208252</v>
      </c>
      <c r="S132" s="45">
        <f t="shared" si="48"/>
        <v>82.472104705990361</v>
      </c>
      <c r="T132" s="45">
        <f t="shared" si="49"/>
        <v>31.821634689738669</v>
      </c>
    </row>
    <row r="133" spans="2:20" s="5" customFormat="1" x14ac:dyDescent="0.2">
      <c r="B133" s="72" t="str">
        <f>+'C1 Aprop Resumen 2000-2026'!B20</f>
        <v>* Información con corte a 30 de Junio</v>
      </c>
      <c r="C133" s="68"/>
      <c r="D133" s="69"/>
      <c r="E133" s="69"/>
      <c r="F133" s="69"/>
      <c r="G133" s="69"/>
      <c r="H133" s="69"/>
      <c r="I133" s="69"/>
      <c r="M133" s="111"/>
      <c r="N133" s="111"/>
      <c r="O133" s="111"/>
      <c r="P133" s="111"/>
      <c r="Q133" s="111"/>
      <c r="R133" s="111"/>
      <c r="S133" s="111"/>
    </row>
    <row r="134" spans="2:20" x14ac:dyDescent="0.2">
      <c r="B134" s="1" t="s">
        <v>52</v>
      </c>
      <c r="M134" s="109"/>
      <c r="N134" s="109"/>
      <c r="O134" s="109"/>
      <c r="P134" s="109"/>
      <c r="Q134" s="109"/>
      <c r="R134" s="109"/>
      <c r="S134" s="109"/>
    </row>
    <row r="135" spans="2:20" x14ac:dyDescent="0.2">
      <c r="M135" s="109"/>
      <c r="N135" s="109"/>
      <c r="O135" s="109"/>
      <c r="P135" s="109"/>
      <c r="Q135" s="109"/>
      <c r="R135" s="109"/>
      <c r="S135" s="109"/>
    </row>
    <row r="136" spans="2:20" x14ac:dyDescent="0.2">
      <c r="M136" s="109"/>
      <c r="N136" s="109"/>
      <c r="O136" s="109"/>
      <c r="P136" s="109"/>
      <c r="Q136" s="109"/>
      <c r="R136" s="109"/>
      <c r="S136" s="109"/>
    </row>
    <row r="137" spans="2:20" x14ac:dyDescent="0.2">
      <c r="M137" s="109"/>
      <c r="N137" s="109"/>
      <c r="O137" s="109"/>
      <c r="P137" s="109"/>
      <c r="Q137" s="109"/>
      <c r="R137" s="109"/>
      <c r="S137" s="109"/>
    </row>
    <row r="138" spans="2:20" x14ac:dyDescent="0.2">
      <c r="M138" s="109"/>
      <c r="N138" s="109"/>
      <c r="O138" s="109"/>
      <c r="P138" s="109"/>
      <c r="Q138" s="109"/>
      <c r="R138" s="109"/>
      <c r="S138" s="109"/>
    </row>
  </sheetData>
  <mergeCells count="95">
    <mergeCell ref="B12:B13"/>
    <mergeCell ref="N77:N78"/>
    <mergeCell ref="P6:P7"/>
    <mergeCell ref="P77:P78"/>
    <mergeCell ref="R6:R7"/>
    <mergeCell ref="D45:D46"/>
    <mergeCell ref="F45:F46"/>
    <mergeCell ref="M11:T11"/>
    <mergeCell ref="I6:I7"/>
    <mergeCell ref="K6:K7"/>
    <mergeCell ref="A7:C7"/>
    <mergeCell ref="D11:K11"/>
    <mergeCell ref="C12:C13"/>
    <mergeCell ref="G6:G7"/>
    <mergeCell ref="Q6:Q7"/>
    <mergeCell ref="S6:S7"/>
    <mergeCell ref="M109:T109"/>
    <mergeCell ref="H45:H46"/>
    <mergeCell ref="J45:J46"/>
    <mergeCell ref="K77:K78"/>
    <mergeCell ref="D107:T107"/>
    <mergeCell ref="D109:J109"/>
    <mergeCell ref="M45:M46"/>
    <mergeCell ref="R77:R78"/>
    <mergeCell ref="O110:O111"/>
    <mergeCell ref="Q110:Q111"/>
    <mergeCell ref="D74:T74"/>
    <mergeCell ref="E12:E13"/>
    <mergeCell ref="G12:G13"/>
    <mergeCell ref="F110:F111"/>
    <mergeCell ref="H110:H111"/>
    <mergeCell ref="R110:R111"/>
    <mergeCell ref="T110:T111"/>
    <mergeCell ref="I77:I78"/>
    <mergeCell ref="T45:T46"/>
    <mergeCell ref="D44:K44"/>
    <mergeCell ref="M44:T44"/>
    <mergeCell ref="K45:K46"/>
    <mergeCell ref="K110:K111"/>
    <mergeCell ref="M110:M111"/>
    <mergeCell ref="M4:T4"/>
    <mergeCell ref="I45:I46"/>
    <mergeCell ref="J77:J78"/>
    <mergeCell ref="D77:D78"/>
    <mergeCell ref="C45:C46"/>
    <mergeCell ref="O45:O46"/>
    <mergeCell ref="D12:D13"/>
    <mergeCell ref="R45:R46"/>
    <mergeCell ref="H12:H13"/>
    <mergeCell ref="J12:J13"/>
    <mergeCell ref="L6:L7"/>
    <mergeCell ref="N6:N7"/>
    <mergeCell ref="O77:O78"/>
    <mergeCell ref="D42:T42"/>
    <mergeCell ref="G77:G78"/>
    <mergeCell ref="Q77:Q78"/>
    <mergeCell ref="T6:T7"/>
    <mergeCell ref="T77:T78"/>
    <mergeCell ref="D4:K4"/>
    <mergeCell ref="J110:J111"/>
    <mergeCell ref="C77:C78"/>
    <mergeCell ref="D110:D111"/>
    <mergeCell ref="D6:D7"/>
    <mergeCell ref="N45:N46"/>
    <mergeCell ref="N110:N111"/>
    <mergeCell ref="F6:F7"/>
    <mergeCell ref="P45:P46"/>
    <mergeCell ref="P110:P111"/>
    <mergeCell ref="F12:F13"/>
    <mergeCell ref="H6:H7"/>
    <mergeCell ref="S77:S78"/>
    <mergeCell ref="J6:J7"/>
    <mergeCell ref="I12:I13"/>
    <mergeCell ref="K12:K13"/>
    <mergeCell ref="M6:M7"/>
    <mergeCell ref="M77:M78"/>
    <mergeCell ref="E6:E7"/>
    <mergeCell ref="D76:K76"/>
    <mergeCell ref="E77:E78"/>
    <mergeCell ref="D2:T2"/>
    <mergeCell ref="C110:C111"/>
    <mergeCell ref="E110:E111"/>
    <mergeCell ref="F77:F78"/>
    <mergeCell ref="E45:E46"/>
    <mergeCell ref="H77:H78"/>
    <mergeCell ref="G110:G111"/>
    <mergeCell ref="G45:G46"/>
    <mergeCell ref="I110:I111"/>
    <mergeCell ref="Q45:Q46"/>
    <mergeCell ref="S45:S46"/>
    <mergeCell ref="S110:S111"/>
    <mergeCell ref="D9:T9"/>
    <mergeCell ref="A5:C6"/>
    <mergeCell ref="M76:T76"/>
    <mergeCell ref="O6:O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Indice</vt:lpstr>
      <vt:lpstr>Deflactores</vt:lpstr>
      <vt:lpstr>C1 Aprop Resumen 2000-2026</vt:lpstr>
      <vt:lpstr>C2 Ejecución 00-18</vt:lpstr>
      <vt:lpstr>C3 Ejecución Nación 00-18</vt:lpstr>
      <vt:lpstr>C4 Ejecución Propios 00-18</vt:lpstr>
      <vt:lpstr>C5 Ejecución PGN 2019-2026</vt:lpstr>
      <vt:lpstr>C6 Ejec. Nac 19-26</vt:lpstr>
      <vt:lpstr>C7 Ejec. Prop 19-26</vt:lpstr>
      <vt:lpstr>C8 A Ejec. Sect. PGN 00-18</vt:lpstr>
      <vt:lpstr>C8 B Ejec. Sect. PGN 19-26</vt:lpstr>
      <vt:lpstr>C9 A Ejec. Sect. Nac 00-18</vt:lpstr>
      <vt:lpstr>C9 B Ejec. Sect. Nac 19-26</vt:lpstr>
      <vt:lpstr>C10 A Ejec. Sect Prop 00-18</vt:lpstr>
      <vt:lpstr>C10 B Ejec. Sect Prop 19-26</vt:lpstr>
      <vt:lpstr>C11 A Sec. Fto 00-18</vt:lpstr>
      <vt:lpstr>C11 B Sec. Fto 19-26</vt:lpstr>
      <vt:lpstr>C12 A Sec. Fto. Nac 00-18</vt:lpstr>
      <vt:lpstr>C12 B Sec. Fto. Nac 19-26</vt:lpstr>
      <vt:lpstr>C13 A Sec. Fto. Prop 00-18</vt:lpstr>
      <vt:lpstr>C13 B Sec. Fto. Prop 19-26</vt:lpstr>
      <vt:lpstr>C14 A Sec. Invsión 00-18</vt:lpstr>
      <vt:lpstr>C14 B Sec. Invsión 19-26</vt:lpstr>
      <vt:lpstr>C15 A Sec. Invsión Nac 00-18</vt:lpstr>
      <vt:lpstr>C15 B Sec. Invsión Nac 19-26</vt:lpstr>
      <vt:lpstr>C16 A Sec. Invsión Prop 00-18</vt:lpstr>
      <vt:lpstr>C16 B Sec. Invsión Prop 19-26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2012-12-14T21:56:21Z</dcterms:created>
  <dcterms:modified xsi:type="dcterms:W3CDTF">2026-07-01T16:31:45Z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2025-12-15T09:23:40Z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15dafff2-3f42-4f81-917d-a0b4d4694282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